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20" windowWidth="29040" windowHeight="15840"/>
  </bookViews>
  <sheets>
    <sheet name="برنامه 5 ساله" sheetId="18" r:id="rId1"/>
    <sheet name="خرید و فروش نسبتی" sheetId="63" r:id="rId2"/>
    <sheet name="Linux" sheetId="76" r:id="rId3"/>
    <sheet name="دلار" sheetId="69" r:id="rId4"/>
    <sheet name="AgentBased" sheetId="44" r:id="rId5"/>
    <sheet name="سهام بنیادی" sheetId="70" r:id="rId6"/>
    <sheet name="وسپه" sheetId="74" r:id="rId7"/>
    <sheet name="تاپیکو" sheetId="75" r:id="rId8"/>
    <sheet name="ومهان" sheetId="73" r:id="rId9"/>
    <sheet name="وغدیر" sheetId="60" r:id="rId10"/>
    <sheet name="نیرو کنترل بدر" sheetId="79" r:id="rId11"/>
    <sheet name="مهدی" sheetId="72" r:id="rId12"/>
    <sheet name="فروردین 98" sheetId="58" r:id="rId13"/>
    <sheet name="نقدینگی" sheetId="71" r:id="rId14"/>
    <sheet name="بدهی خانه" sheetId="10" r:id="rId15"/>
    <sheet name="سکه" sheetId="36" r:id="rId16"/>
    <sheet name="سارا" sheetId="20" r:id="rId17"/>
    <sheet name="مسکن ایلیا" sheetId="15" r:id="rId18"/>
    <sheet name="خرید و فروش سکه فیزیکی" sheetId="52" r:id="rId19"/>
    <sheet name="مسکن مریم یاران" sheetId="13" r:id="rId20"/>
    <sheet name="معاملات مرتبط" sheetId="68" r:id="rId21"/>
    <sheet name="مسکن علی سید الشهدا" sheetId="16" r:id="rId22"/>
    <sheet name="استراتژی جدید" sheetId="62" r:id="rId23"/>
    <sheet name="strategy" sheetId="49" r:id="rId24"/>
    <sheet name="مسکن مریم سید الشهدا" sheetId="14" r:id="rId25"/>
    <sheet name="شهریور 95" sheetId="6" r:id="rId26"/>
    <sheet name="سرمایه گذاری ها" sheetId="59" r:id="rId27"/>
    <sheet name="اردیبهشت95" sheetId="5" r:id="rId28"/>
    <sheet name="خرداد 95" sheetId="4" r:id="rId29"/>
    <sheet name="تیرماه95" sheetId="2" r:id="rId30"/>
    <sheet name="مرداد 95" sheetId="3" r:id="rId31"/>
    <sheet name="مهر 95" sheetId="7" r:id="rId32"/>
    <sheet name="آبان 95" sheetId="8" r:id="rId33"/>
    <sheet name="آذر 95" sheetId="9" r:id="rId34"/>
    <sheet name="دی 95" sheetId="11" r:id="rId35"/>
    <sheet name="بهمن 95" sheetId="12" r:id="rId36"/>
    <sheet name="اسفند 95" sheetId="17" r:id="rId37"/>
    <sheet name="فروردین 96" sheetId="19" r:id="rId38"/>
    <sheet name="اردیبهشت 96" sheetId="21" r:id="rId39"/>
    <sheet name="خرداد 96" sheetId="22" r:id="rId40"/>
    <sheet name="تیر 96" sheetId="23" r:id="rId41"/>
    <sheet name="مرداد 96" sheetId="24" r:id="rId42"/>
    <sheet name="شهریور 96" sheetId="25" r:id="rId43"/>
    <sheet name="مهر96" sheetId="26" r:id="rId44"/>
    <sheet name="آبان 96" sheetId="27" r:id="rId45"/>
    <sheet name="آذر 96" sheetId="28" r:id="rId46"/>
    <sheet name="دی 96" sheetId="29" r:id="rId47"/>
    <sheet name="بهمن 96" sheetId="30" r:id="rId48"/>
    <sheet name="اسفند 96" sheetId="31" r:id="rId49"/>
    <sheet name="فروردین 97" sheetId="34" r:id="rId50"/>
    <sheet name="اردیبهشت 97" sheetId="38" r:id="rId51"/>
    <sheet name="خرداد 97" sheetId="42" r:id="rId52"/>
    <sheet name="تیر97" sheetId="43" r:id="rId53"/>
    <sheet name="مرداد97" sheetId="45" r:id="rId54"/>
    <sheet name="شهریور97" sheetId="46" r:id="rId55"/>
    <sheet name="مهر97" sheetId="48" r:id="rId56"/>
    <sheet name="آبان97" sheetId="50" r:id="rId57"/>
    <sheet name="آذر 97" sheetId="51" r:id="rId58"/>
    <sheet name="دی 97" sheetId="54" r:id="rId59"/>
    <sheet name="بهمن 97" sheetId="55" r:id="rId60"/>
    <sheet name="اسفند97" sheetId="57" r:id="rId61"/>
    <sheet name="لیست خرید و فروش" sheetId="32" r:id="rId62"/>
    <sheet name="اوراق بدون ریسک" sheetId="33" r:id="rId63"/>
    <sheet name="نکات" sheetId="35" r:id="rId64"/>
    <sheet name="apply" sheetId="37" r:id="rId65"/>
    <sheet name="بیمه" sheetId="39" r:id="rId66"/>
    <sheet name="آرشیو قیمت ارجینال" sheetId="40" r:id="rId67"/>
    <sheet name="تحلیل1" sheetId="41" r:id="rId68"/>
    <sheet name="Sheet1" sheetId="53" r:id="rId69"/>
    <sheet name="ومهان بورسی" sheetId="65" r:id="rId70"/>
    <sheet name="صبحانه" sheetId="56" r:id="rId71"/>
    <sheet name="شارژ ساختمان" sheetId="61" r:id="rId72"/>
    <sheet name="خرید خانه" sheetId="67" r:id="rId73"/>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Y606" i="18" l="1"/>
  <c r="Q66" i="63" l="1"/>
  <c r="R66" i="63" s="1"/>
  <c r="R64" i="63"/>
  <c r="P29" i="18"/>
  <c r="P46" i="18"/>
  <c r="P45" i="18"/>
  <c r="P44" i="18"/>
  <c r="P43" i="18"/>
  <c r="P42" i="18"/>
  <c r="T59" i="63"/>
  <c r="Y605" i="18" l="1"/>
  <c r="Q102" i="63" l="1"/>
  <c r="O102" i="63"/>
  <c r="T98" i="63"/>
  <c r="O85" i="63"/>
  <c r="R54" i="18"/>
  <c r="Y604" i="18"/>
  <c r="C13" i="71" l="1"/>
  <c r="H97" i="63" l="1"/>
  <c r="I97" i="63"/>
  <c r="J97" i="63" s="1"/>
  <c r="K97" i="63" s="1"/>
  <c r="H93" i="63"/>
  <c r="I93" i="63"/>
  <c r="G93" i="63"/>
  <c r="Q54" i="18"/>
  <c r="P54" i="18"/>
  <c r="J93" i="63" l="1"/>
  <c r="K93" i="63" s="1"/>
  <c r="R106" i="63"/>
  <c r="I103" i="63"/>
  <c r="H103" i="63"/>
  <c r="L104" i="63" s="1"/>
  <c r="G103" i="63"/>
  <c r="G105" i="63"/>
  <c r="H105" i="63"/>
  <c r="I105" i="63"/>
  <c r="J105" i="63" s="1"/>
  <c r="K105" i="63" s="1"/>
  <c r="G108" i="63"/>
  <c r="H108" i="63"/>
  <c r="I108" i="63"/>
  <c r="J108" i="63" s="1"/>
  <c r="K108" i="63" s="1"/>
  <c r="T99" i="63"/>
  <c r="N29" i="18"/>
  <c r="P106" i="63"/>
  <c r="J103" i="63" l="1"/>
  <c r="K103" i="63" s="1"/>
  <c r="R111" i="63"/>
  <c r="T100" i="63"/>
  <c r="T102" i="63" s="1"/>
  <c r="U102" i="63"/>
  <c r="Y603" i="18"/>
  <c r="P122" i="63"/>
  <c r="O121" i="63"/>
  <c r="T106" i="63" l="1"/>
  <c r="I68" i="63"/>
  <c r="I69" i="63"/>
  <c r="I70" i="63"/>
  <c r="I71" i="63"/>
  <c r="I72" i="63"/>
  <c r="I73" i="63"/>
  <c r="I74" i="63"/>
  <c r="I75" i="63"/>
  <c r="I76" i="63"/>
  <c r="I77" i="63"/>
  <c r="I78" i="63"/>
  <c r="I79" i="63"/>
  <c r="I80" i="63"/>
  <c r="I81" i="63"/>
  <c r="I82" i="63"/>
  <c r="I83" i="63"/>
  <c r="I84" i="63"/>
  <c r="I85" i="63"/>
  <c r="I86" i="63"/>
  <c r="I87" i="63"/>
  <c r="I88" i="63"/>
  <c r="I89" i="63"/>
  <c r="I90" i="63"/>
  <c r="I91" i="63"/>
  <c r="I67" i="63"/>
  <c r="G83" i="63" l="1"/>
  <c r="Y602" i="18" l="1"/>
  <c r="I4" i="60" l="1"/>
  <c r="I3" i="60"/>
  <c r="M96" i="63" l="1"/>
  <c r="M97" i="63"/>
  <c r="M99" i="63"/>
  <c r="M100" i="63"/>
  <c r="M101" i="63"/>
  <c r="M102" i="63"/>
  <c r="N28" i="18"/>
  <c r="G100" i="63"/>
  <c r="H100" i="63"/>
  <c r="I100" i="63"/>
  <c r="J100" i="63" s="1"/>
  <c r="K100" i="63" s="1"/>
  <c r="G101" i="63"/>
  <c r="H101" i="63"/>
  <c r="L101" i="63" s="1"/>
  <c r="I101" i="63"/>
  <c r="G102" i="63"/>
  <c r="H102" i="63"/>
  <c r="I102" i="63"/>
  <c r="J102" i="63" s="1"/>
  <c r="K102" i="63" s="1"/>
  <c r="I18" i="60"/>
  <c r="I99" i="63"/>
  <c r="G99" i="63"/>
  <c r="H99" i="63"/>
  <c r="G97" i="63"/>
  <c r="L100" i="63" l="1"/>
  <c r="L102" i="63"/>
  <c r="J101" i="63"/>
  <c r="K101" i="63" s="1"/>
  <c r="J99" i="63"/>
  <c r="K99" i="63" s="1"/>
  <c r="M95" i="63"/>
  <c r="G96" i="63"/>
  <c r="G95" i="63"/>
  <c r="Q113" i="63" s="1"/>
  <c r="O117" i="63" s="1"/>
  <c r="R117" i="63" s="1"/>
  <c r="H63" i="63"/>
  <c r="H96" i="63"/>
  <c r="I96" i="63"/>
  <c r="I95" i="63"/>
  <c r="H95" i="63"/>
  <c r="P34" i="18"/>
  <c r="N34" i="18" s="1"/>
  <c r="J96" i="63" l="1"/>
  <c r="K96" i="63" s="1"/>
  <c r="L97" i="63"/>
  <c r="L96" i="63"/>
  <c r="J95" i="63"/>
  <c r="K95" i="63" s="1"/>
  <c r="Q54" i="63"/>
  <c r="U99" i="18" l="1"/>
  <c r="O39" i="18"/>
  <c r="O38" i="18"/>
  <c r="O37" i="18"/>
  <c r="K296" i="18" l="1"/>
  <c r="Y601" i="18"/>
  <c r="R104" i="63" l="1"/>
  <c r="P104" i="63"/>
  <c r="G67" i="63"/>
  <c r="H67" i="63"/>
  <c r="G68" i="63"/>
  <c r="H68" i="63"/>
  <c r="G69" i="63"/>
  <c r="H69" i="63"/>
  <c r="G70" i="63"/>
  <c r="H70" i="63"/>
  <c r="G71" i="63"/>
  <c r="H71" i="63"/>
  <c r="G72" i="63"/>
  <c r="H72" i="63"/>
  <c r="G73" i="63"/>
  <c r="H73" i="63"/>
  <c r="G74" i="63"/>
  <c r="H74" i="63"/>
  <c r="G75" i="63"/>
  <c r="H75" i="63"/>
  <c r="G76" i="63"/>
  <c r="H76" i="63"/>
  <c r="G77" i="63"/>
  <c r="H77" i="63"/>
  <c r="G78" i="63"/>
  <c r="H78" i="63"/>
  <c r="G79" i="63"/>
  <c r="H79" i="63"/>
  <c r="G80" i="63"/>
  <c r="H80" i="63"/>
  <c r="G81" i="63"/>
  <c r="H81" i="63"/>
  <c r="G82" i="63"/>
  <c r="H82" i="63"/>
  <c r="H83" i="63"/>
  <c r="L77" i="63" l="1"/>
  <c r="L68" i="63"/>
  <c r="L83" i="63"/>
  <c r="L82" i="63"/>
  <c r="L81" i="63"/>
  <c r="L80" i="63"/>
  <c r="L79" i="63"/>
  <c r="L78" i="63"/>
  <c r="L76" i="63"/>
  <c r="L75" i="63"/>
  <c r="L74" i="63"/>
  <c r="L73" i="63"/>
  <c r="L72" i="63"/>
  <c r="L71" i="63"/>
  <c r="L69" i="63"/>
  <c r="L70" i="63"/>
  <c r="J68" i="63"/>
  <c r="K68" i="63" s="1"/>
  <c r="J69" i="63"/>
  <c r="K69" i="63" s="1"/>
  <c r="J83" i="63"/>
  <c r="K83" i="63" s="1"/>
  <c r="J75" i="63"/>
  <c r="K75" i="63" s="1"/>
  <c r="J71" i="63"/>
  <c r="K71" i="63" s="1"/>
  <c r="J77" i="63"/>
  <c r="K77" i="63" s="1"/>
  <c r="J73" i="63"/>
  <c r="K73" i="63" s="1"/>
  <c r="J67" i="63"/>
  <c r="K67" i="63" s="1"/>
  <c r="J81" i="63"/>
  <c r="K81" i="63" s="1"/>
  <c r="J82" i="63"/>
  <c r="K82" i="63" s="1"/>
  <c r="J79" i="63"/>
  <c r="K79" i="63" s="1"/>
  <c r="J72" i="63"/>
  <c r="K72" i="63" s="1"/>
  <c r="J70" i="63"/>
  <c r="K70" i="63" s="1"/>
  <c r="J76" i="63"/>
  <c r="K76" i="63" s="1"/>
  <c r="J74" i="63"/>
  <c r="K74" i="63" s="1"/>
  <c r="J80" i="63"/>
  <c r="K80" i="63" s="1"/>
  <c r="J78" i="63"/>
  <c r="K78" i="63" s="1"/>
  <c r="E19" i="70"/>
  <c r="D19" i="70"/>
  <c r="C19" i="70"/>
  <c r="B19" i="70"/>
  <c r="C20" i="70"/>
  <c r="B20" i="70"/>
  <c r="O91" i="63"/>
  <c r="Y600" i="18" l="1"/>
  <c r="U71" i="18"/>
  <c r="Y599" i="18" l="1"/>
  <c r="W611" i="18"/>
  <c r="U140" i="18"/>
  <c r="E33" i="75" l="1"/>
  <c r="E34" i="75" s="1"/>
  <c r="E35" i="75" s="1"/>
  <c r="D34" i="75"/>
  <c r="D35" i="75"/>
  <c r="D36" i="75"/>
  <c r="D37" i="75"/>
  <c r="D33" i="75"/>
  <c r="D49" i="75"/>
  <c r="D50" i="75"/>
  <c r="D51" i="75"/>
  <c r="D48" i="75"/>
  <c r="E48" i="75" s="1"/>
  <c r="E36" i="75" l="1"/>
  <c r="E37" i="75" s="1"/>
  <c r="E38" i="75" s="1"/>
  <c r="F38" i="75" s="1"/>
  <c r="E49" i="75"/>
  <c r="E50" i="75"/>
  <c r="E51" i="75" s="1"/>
  <c r="E52" i="75" s="1"/>
  <c r="U139" i="18"/>
  <c r="U138" i="18"/>
  <c r="U70" i="18"/>
  <c r="U69" i="18"/>
  <c r="I65" i="63"/>
  <c r="G65" i="63"/>
  <c r="H65" i="63"/>
  <c r="K37" i="75" l="1"/>
  <c r="F52" i="75"/>
  <c r="J65" i="63"/>
  <c r="K65" i="63" s="1"/>
  <c r="Y598" i="18"/>
  <c r="U137" i="18"/>
  <c r="Y597" i="18" l="1"/>
  <c r="U136" i="18"/>
  <c r="Y596" i="18" l="1"/>
  <c r="U135" i="18" l="1"/>
  <c r="U134" i="18" l="1"/>
  <c r="P33" i="18" l="1"/>
  <c r="Y595" i="18" l="1"/>
  <c r="I71" i="18" l="1"/>
  <c r="Y594" i="18"/>
  <c r="U68" i="18" l="1"/>
  <c r="U67" i="18" l="1"/>
  <c r="U66" i="18" l="1"/>
  <c r="U65" i="18" l="1"/>
  <c r="H90" i="63" l="1"/>
  <c r="J90" i="63" l="1"/>
  <c r="K90" i="63" s="1"/>
  <c r="P57" i="18" l="1"/>
  <c r="P62" i="63" l="1"/>
  <c r="Y593" i="18" l="1"/>
  <c r="T175" i="18" l="1"/>
  <c r="U133" i="18" l="1"/>
  <c r="U98" i="18"/>
  <c r="G90" i="63"/>
  <c r="U132" i="18" l="1"/>
  <c r="U131" i="18"/>
  <c r="I63" i="63"/>
  <c r="I64" i="63"/>
  <c r="G89" i="63"/>
  <c r="G64" i="63" l="1"/>
  <c r="H64" i="63"/>
  <c r="L65" i="63" s="1"/>
  <c r="J64" i="63" l="1"/>
  <c r="K64" i="63" s="1"/>
  <c r="U130" i="18"/>
  <c r="L44" i="18"/>
  <c r="I62" i="63"/>
  <c r="G63" i="63"/>
  <c r="L64" i="63" l="1"/>
  <c r="J63" i="63"/>
  <c r="K63" i="63" s="1"/>
  <c r="L43" i="18" l="1"/>
  <c r="D13" i="74" l="1"/>
  <c r="C13" i="74"/>
  <c r="D3" i="74"/>
  <c r="E3" i="74" s="1"/>
  <c r="C3" i="74"/>
  <c r="D15" i="74"/>
  <c r="C15" i="74"/>
  <c r="D14" i="74"/>
  <c r="E14" i="74" s="1"/>
  <c r="C14" i="74"/>
  <c r="D9" i="74"/>
  <c r="C9" i="74"/>
  <c r="D8" i="74"/>
  <c r="E8" i="74" s="1"/>
  <c r="C8" i="74"/>
  <c r="H7" i="74"/>
  <c r="I7" i="74" s="1"/>
  <c r="F7" i="74"/>
  <c r="D7" i="74"/>
  <c r="E7" i="74" s="1"/>
  <c r="C7" i="74"/>
  <c r="D4" i="74"/>
  <c r="C4" i="74"/>
  <c r="D5" i="74"/>
  <c r="E5" i="74" s="1"/>
  <c r="C5" i="74"/>
  <c r="H11" i="74"/>
  <c r="F11" i="74"/>
  <c r="D11" i="74"/>
  <c r="E11" i="74" s="1"/>
  <c r="C11" i="74"/>
  <c r="D10" i="74"/>
  <c r="E10" i="74" s="1"/>
  <c r="C10" i="74"/>
  <c r="E12" i="74"/>
  <c r="E13" i="74"/>
  <c r="E15" i="74"/>
  <c r="E16" i="74"/>
  <c r="E2" i="74"/>
  <c r="E4" i="74"/>
  <c r="E6" i="74"/>
  <c r="E9" i="74"/>
  <c r="E18" i="74" l="1"/>
  <c r="G88" i="63"/>
  <c r="H88" i="63" l="1"/>
  <c r="G87" i="63"/>
  <c r="H87" i="63"/>
  <c r="L88" i="63" l="1"/>
  <c r="J88" i="63"/>
  <c r="K88" i="63" s="1"/>
  <c r="J87" i="63"/>
  <c r="K87" i="63" s="1"/>
  <c r="U64" i="18" l="1"/>
  <c r="H84" i="63"/>
  <c r="L84" i="63" s="1"/>
  <c r="H85" i="63"/>
  <c r="L85" i="63" s="1"/>
  <c r="H86" i="63"/>
  <c r="H89" i="63"/>
  <c r="H91" i="63"/>
  <c r="L86" i="63" l="1"/>
  <c r="L87" i="63"/>
  <c r="L89" i="63"/>
  <c r="L90" i="63"/>
  <c r="J91" i="63"/>
  <c r="K91" i="63" s="1"/>
  <c r="L91" i="63"/>
  <c r="J89" i="63"/>
  <c r="K89" i="63" s="1"/>
  <c r="J86" i="63"/>
  <c r="K86" i="63" s="1"/>
  <c r="J85" i="63"/>
  <c r="K85" i="63" s="1"/>
  <c r="J84" i="63"/>
  <c r="K84" i="63" s="1"/>
  <c r="U63" i="18"/>
  <c r="G85" i="63"/>
  <c r="G50" i="10"/>
  <c r="K3" i="73" l="1"/>
  <c r="U62" i="18" l="1"/>
  <c r="G84" i="63"/>
  <c r="U61" i="18" l="1"/>
  <c r="U60" i="18" l="1"/>
  <c r="U59" i="18" l="1"/>
  <c r="G76" i="10" l="1"/>
  <c r="U58" i="18" l="1"/>
  <c r="G86" i="63" l="1"/>
  <c r="G91" i="63"/>
  <c r="U57" i="18" l="1"/>
  <c r="U56" i="18"/>
  <c r="I61" i="63"/>
  <c r="G62" i="63"/>
  <c r="H62" i="63"/>
  <c r="L63" i="63" s="1"/>
  <c r="J62" i="63" l="1"/>
  <c r="K62" i="63" s="1"/>
  <c r="U55" i="18"/>
  <c r="U54" i="18"/>
  <c r="G61" i="63"/>
  <c r="H61" i="63"/>
  <c r="U97" i="18"/>
  <c r="P39" i="18"/>
  <c r="N39" i="18" s="1"/>
  <c r="L62" i="63" l="1"/>
  <c r="J61" i="63"/>
  <c r="K61" i="63" s="1"/>
  <c r="U129" i="18" l="1"/>
  <c r="I92" i="63"/>
  <c r="H92" i="63"/>
  <c r="L93" i="63" s="1"/>
  <c r="G92" i="63"/>
  <c r="U53" i="18"/>
  <c r="J92" i="63" l="1"/>
  <c r="K92" i="63" s="1"/>
  <c r="N12" i="74"/>
  <c r="U111" i="18" l="1"/>
  <c r="U41" i="18"/>
  <c r="D17" i="75" l="1"/>
  <c r="C15" i="75"/>
  <c r="D15" i="75" s="1"/>
  <c r="C14" i="75"/>
  <c r="D14" i="75" s="1"/>
  <c r="C13" i="75"/>
  <c r="D13" i="75" s="1"/>
  <c r="C12" i="75"/>
  <c r="D12" i="75" s="1"/>
  <c r="C11" i="75"/>
  <c r="D11" i="75" s="1"/>
  <c r="C10" i="75"/>
  <c r="D10" i="75" s="1"/>
  <c r="C9" i="75"/>
  <c r="D9" i="75" s="1"/>
  <c r="C8" i="75"/>
  <c r="C7" i="75"/>
  <c r="D7" i="75" s="1"/>
  <c r="C6" i="75"/>
  <c r="D6" i="75" s="1"/>
  <c r="C5" i="75"/>
  <c r="C4" i="75"/>
  <c r="C3" i="75"/>
  <c r="D3" i="75" s="1"/>
  <c r="C2" i="75"/>
  <c r="D2" i="75" s="1"/>
  <c r="I17" i="75"/>
  <c r="G17" i="75"/>
  <c r="D4" i="75"/>
  <c r="D5" i="75"/>
  <c r="D8" i="75"/>
  <c r="D16" i="75"/>
  <c r="D18" i="75"/>
  <c r="D19" i="75"/>
  <c r="D21" i="75" l="1"/>
  <c r="O17" i="75"/>
  <c r="M17" i="75"/>
  <c r="K17" i="75"/>
  <c r="O15" i="75"/>
  <c r="M15" i="75"/>
  <c r="K15" i="75"/>
  <c r="I15" i="75"/>
  <c r="G15" i="75"/>
  <c r="H15" i="75" s="1"/>
  <c r="O14" i="75"/>
  <c r="M14" i="75"/>
  <c r="K14" i="75"/>
  <c r="I14" i="75"/>
  <c r="G14" i="75"/>
  <c r="H14" i="75" s="1"/>
  <c r="H16" i="75"/>
  <c r="H17" i="75"/>
  <c r="H18" i="75"/>
  <c r="H19" i="75"/>
  <c r="O12" i="75"/>
  <c r="C41" i="70"/>
  <c r="M12" i="75" s="1"/>
  <c r="B41" i="70"/>
  <c r="K12" i="75" s="1"/>
  <c r="I12" i="75"/>
  <c r="G12" i="75"/>
  <c r="H12" i="75" s="1"/>
  <c r="O11" i="75"/>
  <c r="M11" i="75"/>
  <c r="K11" i="75"/>
  <c r="I11" i="75"/>
  <c r="G11" i="75"/>
  <c r="O10" i="75"/>
  <c r="M10" i="75"/>
  <c r="K10" i="75"/>
  <c r="I10" i="75"/>
  <c r="G10" i="75"/>
  <c r="O9" i="75"/>
  <c r="M9" i="75"/>
  <c r="K9" i="75"/>
  <c r="I9" i="75"/>
  <c r="G9" i="75"/>
  <c r="O8" i="75"/>
  <c r="M8" i="75"/>
  <c r="K8" i="75"/>
  <c r="I8" i="75"/>
  <c r="G8" i="75"/>
  <c r="O7" i="75"/>
  <c r="M7" i="75"/>
  <c r="K7" i="75"/>
  <c r="I7" i="75"/>
  <c r="G7" i="75"/>
  <c r="O6" i="75"/>
  <c r="M6" i="75"/>
  <c r="K6" i="75"/>
  <c r="I6" i="75"/>
  <c r="G6" i="75"/>
  <c r="M4" i="75"/>
  <c r="K4" i="75"/>
  <c r="I4" i="75"/>
  <c r="G4" i="75"/>
  <c r="O5" i="75"/>
  <c r="M5" i="75"/>
  <c r="K5" i="75"/>
  <c r="I5" i="75"/>
  <c r="G5" i="75"/>
  <c r="O2" i="75"/>
  <c r="M2" i="75"/>
  <c r="K2" i="75"/>
  <c r="I2" i="75"/>
  <c r="J2" i="75" s="1"/>
  <c r="G2" i="75"/>
  <c r="O3" i="75"/>
  <c r="I3" i="75"/>
  <c r="G3" i="75"/>
  <c r="C11" i="70"/>
  <c r="M3" i="75" s="1"/>
  <c r="B11" i="70"/>
  <c r="K3" i="75" s="1"/>
  <c r="U52" i="18" l="1"/>
  <c r="I58" i="63" l="1"/>
  <c r="I59" i="63"/>
  <c r="I60" i="63"/>
  <c r="Y592" i="18" l="1"/>
  <c r="Y591" i="18"/>
  <c r="G3" i="63" l="1"/>
  <c r="U51" i="18" l="1"/>
  <c r="G75" i="10" l="1"/>
  <c r="U50" i="18" l="1"/>
  <c r="Y590" i="18" l="1"/>
  <c r="Y589" i="18" l="1"/>
  <c r="Y588" i="18" l="1"/>
  <c r="Y587" i="18" l="1"/>
  <c r="Y586" i="18" l="1"/>
  <c r="L45" i="18" l="1"/>
  <c r="Y585" i="18"/>
  <c r="Y584" i="18" l="1"/>
  <c r="Y609" i="18"/>
  <c r="Y610" i="18"/>
  <c r="L46" i="18"/>
  <c r="U49" i="18" l="1"/>
  <c r="I57" i="63" l="1"/>
  <c r="P27" i="18" l="1"/>
  <c r="U48" i="18" l="1"/>
  <c r="G54" i="63"/>
  <c r="H54" i="63"/>
  <c r="I54" i="63"/>
  <c r="G55" i="63"/>
  <c r="H55" i="63"/>
  <c r="I55" i="63"/>
  <c r="G56" i="63"/>
  <c r="H56" i="63"/>
  <c r="I56" i="63"/>
  <c r="G57" i="63"/>
  <c r="H57" i="63"/>
  <c r="G58" i="63"/>
  <c r="H58" i="63"/>
  <c r="G59" i="63"/>
  <c r="H59" i="63"/>
  <c r="L59" i="63" s="1"/>
  <c r="G60" i="63"/>
  <c r="H60" i="63"/>
  <c r="L57" i="63" l="1"/>
  <c r="L55" i="63"/>
  <c r="L60" i="63"/>
  <c r="L61" i="63"/>
  <c r="L58" i="63"/>
  <c r="L56" i="63"/>
  <c r="J59" i="63"/>
  <c r="K59" i="63" s="1"/>
  <c r="J60" i="63"/>
  <c r="K60" i="63" s="1"/>
  <c r="J58" i="63"/>
  <c r="K58" i="63" s="1"/>
  <c r="J57" i="63"/>
  <c r="K57" i="63" s="1"/>
  <c r="J54" i="63"/>
  <c r="K54" i="63" s="1"/>
  <c r="J56" i="63"/>
  <c r="K56" i="63" s="1"/>
  <c r="J55" i="63"/>
  <c r="K55" i="63" s="1"/>
  <c r="U47" i="18"/>
  <c r="G49" i="63"/>
  <c r="H49" i="63"/>
  <c r="I49" i="63"/>
  <c r="G50" i="63"/>
  <c r="H50" i="63"/>
  <c r="I50" i="63"/>
  <c r="G51" i="63"/>
  <c r="H51" i="63"/>
  <c r="I51" i="63"/>
  <c r="G52" i="63"/>
  <c r="H52" i="63"/>
  <c r="I52" i="63"/>
  <c r="G53" i="63"/>
  <c r="H53" i="63"/>
  <c r="I53" i="63"/>
  <c r="L53" i="63" l="1"/>
  <c r="L50" i="63"/>
  <c r="L51" i="63"/>
  <c r="L52" i="63"/>
  <c r="L54" i="63"/>
  <c r="J53" i="63"/>
  <c r="K53" i="63" s="1"/>
  <c r="J49" i="63"/>
  <c r="K49" i="63" s="1"/>
  <c r="J51" i="63"/>
  <c r="K51" i="63" s="1"/>
  <c r="J50" i="63"/>
  <c r="K50" i="63" s="1"/>
  <c r="J52" i="63"/>
  <c r="K52" i="63" s="1"/>
  <c r="N15" i="74"/>
  <c r="N14" i="74"/>
  <c r="N13" i="74"/>
  <c r="N7" i="74"/>
  <c r="L14" i="74"/>
  <c r="J14" i="74"/>
  <c r="H15" i="74"/>
  <c r="I15" i="74" s="1"/>
  <c r="H14" i="74"/>
  <c r="I14" i="74" s="1"/>
  <c r="I11" i="74"/>
  <c r="H10" i="74"/>
  <c r="I10" i="74" s="1"/>
  <c r="H9" i="74"/>
  <c r="I9" i="74" s="1"/>
  <c r="H5" i="74"/>
  <c r="I5" i="74" s="1"/>
  <c r="H4" i="74"/>
  <c r="I4" i="74" s="1"/>
  <c r="H8" i="74"/>
  <c r="I8" i="74" s="1"/>
  <c r="I6" i="74"/>
  <c r="I12" i="74"/>
  <c r="I13" i="74"/>
  <c r="I16" i="74"/>
  <c r="I2" i="74"/>
  <c r="H3" i="74"/>
  <c r="I3" i="74" s="1"/>
  <c r="F3" i="74"/>
  <c r="F14" i="74"/>
  <c r="I18" i="74" l="1"/>
  <c r="U46" i="18"/>
  <c r="H46" i="63"/>
  <c r="I46" i="63"/>
  <c r="H47" i="63"/>
  <c r="I47" i="63"/>
  <c r="H48" i="63"/>
  <c r="I48" i="63"/>
  <c r="L48" i="63" l="1"/>
  <c r="L49" i="63"/>
  <c r="L47" i="63"/>
  <c r="J46" i="63"/>
  <c r="K46" i="63" s="1"/>
  <c r="J47" i="63"/>
  <c r="K47" i="63" s="1"/>
  <c r="J48" i="63"/>
  <c r="K48" i="63" s="1"/>
  <c r="E4" i="73"/>
  <c r="I20" i="60" l="1"/>
  <c r="I17" i="60"/>
  <c r="U45" i="18"/>
  <c r="U44" i="18"/>
  <c r="U128" i="18" l="1"/>
  <c r="J14" i="75"/>
  <c r="J15" i="75"/>
  <c r="J16" i="75"/>
  <c r="J17" i="75"/>
  <c r="J18" i="75"/>
  <c r="J19" i="75"/>
  <c r="J3" i="75"/>
  <c r="J4" i="75"/>
  <c r="J5" i="75"/>
  <c r="J6" i="75"/>
  <c r="J7" i="75"/>
  <c r="J8" i="75"/>
  <c r="J9" i="75"/>
  <c r="J10" i="75"/>
  <c r="J11" i="75"/>
  <c r="J12" i="75"/>
  <c r="E10" i="73"/>
  <c r="D10" i="73"/>
  <c r="K7" i="73" l="1"/>
  <c r="I7" i="73"/>
  <c r="G7" i="73"/>
  <c r="E7" i="73"/>
  <c r="C7" i="73"/>
  <c r="U127" i="18" l="1"/>
  <c r="G48" i="63"/>
  <c r="E5" i="73" l="1"/>
  <c r="E2" i="73"/>
  <c r="F2" i="73" s="1"/>
  <c r="U126" i="18"/>
  <c r="G47" i="63"/>
  <c r="I133" i="63"/>
  <c r="I134" i="63"/>
  <c r="G134" i="63"/>
  <c r="H134" i="63"/>
  <c r="G133" i="63"/>
  <c r="H133" i="63"/>
  <c r="H45" i="63"/>
  <c r="I45" i="63"/>
  <c r="G46" i="63"/>
  <c r="L46" i="63" l="1"/>
  <c r="J45" i="63"/>
  <c r="K45" i="63" s="1"/>
  <c r="J134" i="63"/>
  <c r="K134" i="63" s="1"/>
  <c r="L134" i="63"/>
  <c r="J133" i="63"/>
  <c r="K133" i="63" s="1"/>
  <c r="J3" i="60"/>
  <c r="J4" i="60"/>
  <c r="J5" i="60"/>
  <c r="J6" i="60"/>
  <c r="J8" i="60"/>
  <c r="J9" i="60"/>
  <c r="I22" i="60"/>
  <c r="I23" i="60"/>
  <c r="I19" i="60"/>
  <c r="J16" i="60" l="1"/>
  <c r="J17" i="60"/>
  <c r="J18" i="60"/>
  <c r="J19" i="60"/>
  <c r="J20" i="60"/>
  <c r="J22" i="60"/>
  <c r="J23" i="60"/>
  <c r="I21" i="60"/>
  <c r="J21" i="60" s="1"/>
  <c r="G48" i="10" l="1"/>
  <c r="C12" i="71" l="1"/>
  <c r="E12" i="71"/>
  <c r="G12" i="71"/>
  <c r="E13" i="71"/>
  <c r="G13" i="71"/>
  <c r="Y583" i="18"/>
  <c r="F10" i="74" l="1"/>
  <c r="U125" i="18" l="1"/>
  <c r="G41" i="63"/>
  <c r="H41" i="63"/>
  <c r="I41" i="63"/>
  <c r="G42" i="63"/>
  <c r="H42" i="63"/>
  <c r="I42" i="63"/>
  <c r="G43" i="63"/>
  <c r="H43" i="63"/>
  <c r="I43" i="63"/>
  <c r="G44" i="63"/>
  <c r="H44" i="63"/>
  <c r="I44" i="63"/>
  <c r="G45" i="63"/>
  <c r="E12" i="73"/>
  <c r="G132" i="63"/>
  <c r="H132" i="63"/>
  <c r="L133" i="63" s="1"/>
  <c r="I130" i="63"/>
  <c r="I131" i="63"/>
  <c r="I132" i="63"/>
  <c r="I136" i="63"/>
  <c r="J136" i="63" s="1"/>
  <c r="K136" i="63" s="1"/>
  <c r="L136" i="63"/>
  <c r="G131" i="63"/>
  <c r="H131" i="63"/>
  <c r="G35" i="63"/>
  <c r="H35" i="63"/>
  <c r="I35" i="63"/>
  <c r="G36" i="63"/>
  <c r="H36" i="63"/>
  <c r="I36" i="63"/>
  <c r="G37" i="63"/>
  <c r="H37" i="63"/>
  <c r="I37" i="63"/>
  <c r="G38" i="63"/>
  <c r="H38" i="63"/>
  <c r="I38" i="63"/>
  <c r="G39" i="63"/>
  <c r="H39" i="63"/>
  <c r="I39" i="63"/>
  <c r="G40" i="63"/>
  <c r="H40" i="63"/>
  <c r="I40" i="63"/>
  <c r="P26" i="18"/>
  <c r="L37" i="63" l="1"/>
  <c r="L40" i="63"/>
  <c r="L36" i="63"/>
  <c r="L44" i="63"/>
  <c r="L45" i="63"/>
  <c r="L38" i="63"/>
  <c r="L41" i="63"/>
  <c r="L39" i="63"/>
  <c r="L42" i="63"/>
  <c r="L43" i="63"/>
  <c r="J132" i="63"/>
  <c r="K132" i="63" s="1"/>
  <c r="J44" i="63"/>
  <c r="K44" i="63" s="1"/>
  <c r="J41" i="63"/>
  <c r="K41" i="63" s="1"/>
  <c r="J42" i="63"/>
  <c r="K42" i="63" s="1"/>
  <c r="J43" i="63"/>
  <c r="K43" i="63" s="1"/>
  <c r="J39" i="63"/>
  <c r="K39" i="63" s="1"/>
  <c r="J35" i="63"/>
  <c r="K35" i="63" s="1"/>
  <c r="L132" i="63"/>
  <c r="J131" i="63"/>
  <c r="K131" i="63" s="1"/>
  <c r="J38" i="63"/>
  <c r="K38" i="63" s="1"/>
  <c r="J37" i="63"/>
  <c r="K37" i="63" s="1"/>
  <c r="J36" i="63"/>
  <c r="K36" i="63" s="1"/>
  <c r="J40" i="63"/>
  <c r="K40" i="63" s="1"/>
  <c r="U124" i="18"/>
  <c r="G34" i="63"/>
  <c r="H34" i="63"/>
  <c r="G33" i="63"/>
  <c r="H33" i="63"/>
  <c r="G32" i="63"/>
  <c r="H32" i="63"/>
  <c r="I30" i="63"/>
  <c r="I31" i="63"/>
  <c r="I32" i="63"/>
  <c r="I33" i="63"/>
  <c r="I34" i="63"/>
  <c r="G31" i="63"/>
  <c r="H31" i="63"/>
  <c r="I129" i="63"/>
  <c r="G130" i="63"/>
  <c r="H130" i="63"/>
  <c r="I127" i="63"/>
  <c r="I128" i="63"/>
  <c r="G129" i="63"/>
  <c r="H129" i="63"/>
  <c r="L32" i="63" l="1"/>
  <c r="L34" i="63"/>
  <c r="L33" i="63"/>
  <c r="L35" i="63"/>
  <c r="L130" i="63"/>
  <c r="J130" i="63"/>
  <c r="K130" i="63" s="1"/>
  <c r="L131" i="63"/>
  <c r="J32" i="63"/>
  <c r="K32" i="63" s="1"/>
  <c r="J33" i="63"/>
  <c r="K33" i="63" s="1"/>
  <c r="J31" i="63"/>
  <c r="K31" i="63" s="1"/>
  <c r="J34" i="63"/>
  <c r="K34" i="63" s="1"/>
  <c r="J129" i="63"/>
  <c r="K129" i="63" s="1"/>
  <c r="Y582" i="18" l="1"/>
  <c r="U123" i="18"/>
  <c r="H127" i="63"/>
  <c r="H128" i="63"/>
  <c r="L129" i="63" s="1"/>
  <c r="G128" i="63"/>
  <c r="L128" i="63" l="1"/>
  <c r="J128" i="63"/>
  <c r="K128" i="63" s="1"/>
  <c r="J127" i="63"/>
  <c r="K127" i="63" s="1"/>
  <c r="H27" i="63"/>
  <c r="I27" i="63"/>
  <c r="H28" i="63"/>
  <c r="I28" i="63"/>
  <c r="H29" i="63"/>
  <c r="L29" i="63" s="1"/>
  <c r="I29" i="63"/>
  <c r="H30" i="63"/>
  <c r="G30" i="63"/>
  <c r="G29" i="63"/>
  <c r="G28" i="63"/>
  <c r="L30" i="63" l="1"/>
  <c r="L31" i="63"/>
  <c r="L28" i="63"/>
  <c r="J30" i="63"/>
  <c r="K30" i="63" s="1"/>
  <c r="J29" i="63"/>
  <c r="K29" i="63" s="1"/>
  <c r="J27" i="63"/>
  <c r="K27" i="63" s="1"/>
  <c r="J28" i="63"/>
  <c r="K28" i="63" s="1"/>
  <c r="G4" i="63" l="1"/>
  <c r="H4" i="63"/>
  <c r="I4" i="63"/>
  <c r="J4" i="63" l="1"/>
  <c r="K4" i="63" s="1"/>
  <c r="Y581" i="18"/>
  <c r="I15" i="60" l="1"/>
  <c r="J15" i="60" s="1"/>
  <c r="J26" i="60" s="1"/>
  <c r="I2" i="60"/>
  <c r="I10" i="60" s="1"/>
  <c r="C12" i="73"/>
  <c r="E9" i="73"/>
  <c r="F9" i="73" s="1"/>
  <c r="C9" i="73"/>
  <c r="K12" i="73"/>
  <c r="F7" i="73"/>
  <c r="F8" i="73"/>
  <c r="F10" i="73"/>
  <c r="F11" i="73"/>
  <c r="F12" i="73"/>
  <c r="F13" i="73"/>
  <c r="F14" i="73"/>
  <c r="F3" i="73"/>
  <c r="F4" i="73"/>
  <c r="F5" i="73"/>
  <c r="K6" i="73"/>
  <c r="E6" i="73"/>
  <c r="F6" i="73" s="1"/>
  <c r="C6" i="73"/>
  <c r="G6" i="63"/>
  <c r="H6" i="63"/>
  <c r="I6" i="63"/>
  <c r="G7" i="63"/>
  <c r="H7" i="63"/>
  <c r="I7" i="63"/>
  <c r="Y579" i="18"/>
  <c r="Y580" i="18"/>
  <c r="L7" i="63" l="1"/>
  <c r="J2" i="60"/>
  <c r="J10" i="60" s="1"/>
  <c r="F16" i="73"/>
  <c r="J7" i="63"/>
  <c r="K7" i="63" s="1"/>
  <c r="J6" i="63"/>
  <c r="K6" i="63" s="1"/>
  <c r="I14" i="63"/>
  <c r="G9" i="63"/>
  <c r="H9" i="63"/>
  <c r="I9" i="63"/>
  <c r="G11" i="63"/>
  <c r="H11" i="63"/>
  <c r="I11" i="63"/>
  <c r="F14" i="63"/>
  <c r="H14" i="63" s="1"/>
  <c r="J14" i="63" l="1"/>
  <c r="K14" i="63" s="1"/>
  <c r="J9" i="63"/>
  <c r="K9" i="63" s="1"/>
  <c r="J11" i="63"/>
  <c r="K11" i="63" s="1"/>
  <c r="H15" i="63"/>
  <c r="L15" i="63" s="1"/>
  <c r="G15" i="63"/>
  <c r="I15" i="63"/>
  <c r="I16" i="63"/>
  <c r="I17" i="63"/>
  <c r="I18" i="63"/>
  <c r="I19" i="63"/>
  <c r="I20" i="63"/>
  <c r="I21" i="63"/>
  <c r="I22" i="63"/>
  <c r="I23" i="63"/>
  <c r="I24" i="63"/>
  <c r="I25" i="63"/>
  <c r="I26" i="63"/>
  <c r="Y578" i="18"/>
  <c r="Y577" i="18"/>
  <c r="Y576" i="18"/>
  <c r="G27" i="63"/>
  <c r="G17" i="63"/>
  <c r="J15" i="63" l="1"/>
  <c r="K15" i="63" s="1"/>
  <c r="H22" i="63"/>
  <c r="G22" i="63"/>
  <c r="H17" i="63"/>
  <c r="H26" i="63"/>
  <c r="G26" i="63"/>
  <c r="G1" i="63"/>
  <c r="J22" i="63" l="1"/>
  <c r="K22" i="63" s="1"/>
  <c r="J17" i="63"/>
  <c r="K17" i="63" s="1"/>
  <c r="L27" i="63"/>
  <c r="J26" i="63"/>
  <c r="K26" i="63" s="1"/>
  <c r="G19" i="63"/>
  <c r="H19" i="63"/>
  <c r="G23" i="63"/>
  <c r="H23" i="63"/>
  <c r="L23" i="63" s="1"/>
  <c r="H20" i="63"/>
  <c r="G20" i="63"/>
  <c r="G18" i="63"/>
  <c r="H18" i="63"/>
  <c r="L18" i="63" s="1"/>
  <c r="G24" i="63"/>
  <c r="H24" i="63"/>
  <c r="G16" i="63"/>
  <c r="H16" i="63"/>
  <c r="L16" i="63" s="1"/>
  <c r="G25" i="63"/>
  <c r="H25" i="63"/>
  <c r="H21" i="63"/>
  <c r="G21" i="63"/>
  <c r="L25" i="63" l="1"/>
  <c r="L17" i="63"/>
  <c r="L20" i="63"/>
  <c r="L21" i="63"/>
  <c r="L22" i="63"/>
  <c r="L24" i="63"/>
  <c r="L19" i="63"/>
  <c r="L26" i="63"/>
  <c r="J24" i="63"/>
  <c r="K24" i="63" s="1"/>
  <c r="J16" i="63"/>
  <c r="K16" i="63" s="1"/>
  <c r="J18" i="63"/>
  <c r="K18" i="63" s="1"/>
  <c r="J25" i="63"/>
  <c r="K25" i="63" s="1"/>
  <c r="J20" i="63"/>
  <c r="K20" i="63" s="1"/>
  <c r="J19" i="63"/>
  <c r="K19" i="63" s="1"/>
  <c r="J21" i="63"/>
  <c r="K21" i="63" s="1"/>
  <c r="J23" i="63"/>
  <c r="K23" i="63" s="1"/>
  <c r="G110" i="63" l="1"/>
  <c r="H110" i="63"/>
  <c r="I110" i="63"/>
  <c r="G111" i="63"/>
  <c r="H111" i="63"/>
  <c r="I111" i="63"/>
  <c r="G112" i="63"/>
  <c r="H112" i="63"/>
  <c r="I112" i="63"/>
  <c r="G113" i="63"/>
  <c r="H113" i="63"/>
  <c r="I113" i="63"/>
  <c r="G114" i="63"/>
  <c r="H114" i="63"/>
  <c r="I114" i="63"/>
  <c r="G115" i="63"/>
  <c r="H115" i="63"/>
  <c r="I115" i="63"/>
  <c r="G116" i="63"/>
  <c r="H116" i="63"/>
  <c r="I116" i="63"/>
  <c r="G117" i="63"/>
  <c r="H117" i="63"/>
  <c r="I117" i="63"/>
  <c r="G118" i="63"/>
  <c r="H118" i="63"/>
  <c r="I118" i="63"/>
  <c r="G119" i="63"/>
  <c r="H119" i="63"/>
  <c r="I119" i="63"/>
  <c r="G120" i="63"/>
  <c r="H120" i="63"/>
  <c r="I120" i="63"/>
  <c r="G121" i="63"/>
  <c r="H121" i="63"/>
  <c r="I121" i="63"/>
  <c r="G122" i="63"/>
  <c r="H122" i="63"/>
  <c r="I122" i="63"/>
  <c r="G123" i="63"/>
  <c r="H123" i="63"/>
  <c r="I123" i="63"/>
  <c r="G124" i="63"/>
  <c r="H124" i="63"/>
  <c r="I124" i="63"/>
  <c r="G125" i="63"/>
  <c r="H125" i="63"/>
  <c r="I125" i="63"/>
  <c r="G126" i="63"/>
  <c r="H126" i="63"/>
  <c r="L127" i="63" s="1"/>
  <c r="I126" i="63"/>
  <c r="G127" i="63"/>
  <c r="J120" i="63" l="1"/>
  <c r="K120" i="63" s="1"/>
  <c r="J119" i="63"/>
  <c r="K119" i="63" s="1"/>
  <c r="L115" i="63"/>
  <c r="J114" i="63"/>
  <c r="K114" i="63" s="1"/>
  <c r="L114" i="63"/>
  <c r="L121" i="63"/>
  <c r="L117" i="63"/>
  <c r="J113" i="63"/>
  <c r="K113" i="63" s="1"/>
  <c r="L123" i="63"/>
  <c r="L119" i="63"/>
  <c r="J110" i="63"/>
  <c r="K110" i="63" s="1"/>
  <c r="L126" i="63"/>
  <c r="J122" i="63"/>
  <c r="K122" i="63" s="1"/>
  <c r="J121" i="63"/>
  <c r="K121" i="63" s="1"/>
  <c r="J116" i="63"/>
  <c r="K116" i="63" s="1"/>
  <c r="J115" i="63"/>
  <c r="K115" i="63" s="1"/>
  <c r="J123" i="63"/>
  <c r="K123" i="63" s="1"/>
  <c r="J118" i="63"/>
  <c r="K118" i="63" s="1"/>
  <c r="J117" i="63"/>
  <c r="K117" i="63" s="1"/>
  <c r="J112" i="63"/>
  <c r="K112" i="63" s="1"/>
  <c r="L112" i="63"/>
  <c r="J124" i="63"/>
  <c r="K124" i="63" s="1"/>
  <c r="J126" i="63"/>
  <c r="K126" i="63" s="1"/>
  <c r="L125" i="63"/>
  <c r="L118" i="63"/>
  <c r="L116" i="63"/>
  <c r="J125" i="63"/>
  <c r="K125" i="63" s="1"/>
  <c r="L122" i="63"/>
  <c r="J111" i="63"/>
  <c r="K111" i="63" s="1"/>
  <c r="L113" i="63"/>
  <c r="L111" i="63"/>
  <c r="L124" i="63"/>
  <c r="L120" i="63"/>
  <c r="U122" i="18"/>
  <c r="G109" i="63"/>
  <c r="H109" i="63"/>
  <c r="L110" i="63" s="1"/>
  <c r="I109" i="63"/>
  <c r="J109" i="63" l="1"/>
  <c r="K109" i="63" s="1"/>
  <c r="Y575" i="18"/>
  <c r="O13" i="75" l="1"/>
  <c r="M13" i="75"/>
  <c r="K13" i="75"/>
  <c r="I13" i="75"/>
  <c r="G13" i="75"/>
  <c r="H13" i="75" s="1"/>
  <c r="J13" i="75" l="1"/>
  <c r="J21" i="75" s="1"/>
  <c r="J43" i="60"/>
  <c r="J44" i="60"/>
  <c r="J45" i="60"/>
  <c r="J47" i="60"/>
  <c r="J48" i="60"/>
  <c r="I46" i="60"/>
  <c r="J46" i="60" s="1"/>
  <c r="I42" i="60"/>
  <c r="U43" i="18" l="1"/>
  <c r="L109" i="63"/>
  <c r="Y574" i="18"/>
  <c r="Y573" i="18"/>
  <c r="Y572" i="18" l="1"/>
  <c r="J42" i="60" l="1"/>
  <c r="J50" i="60" s="1"/>
  <c r="Y571" i="18" l="1"/>
  <c r="Y570" i="18" l="1"/>
  <c r="Y569" i="18" l="1"/>
  <c r="Y568" i="18" l="1"/>
  <c r="Y567" i="18"/>
  <c r="K2" i="70" l="1"/>
  <c r="J2" i="70"/>
  <c r="Y566" i="18" l="1"/>
  <c r="Y565" i="18" l="1"/>
  <c r="U121" i="18" l="1"/>
  <c r="Y564" i="18" l="1"/>
  <c r="Y563" i="18" l="1"/>
  <c r="Y562" i="18"/>
  <c r="T317" i="18" l="1"/>
  <c r="Y561" i="18"/>
  <c r="Y560" i="18" l="1"/>
  <c r="Y559" i="18"/>
  <c r="Y558" i="18"/>
  <c r="Y557" i="18" l="1"/>
  <c r="U120" i="18" l="1"/>
  <c r="Y553" i="18"/>
  <c r="Y556" i="18"/>
  <c r="Y555" i="18" l="1"/>
  <c r="Y554" i="18"/>
  <c r="Y552" i="18"/>
  <c r="Y551" i="18" l="1"/>
  <c r="Y550" i="18" l="1"/>
  <c r="P23" i="18"/>
  <c r="N23" i="18" s="1"/>
  <c r="P22" i="18"/>
  <c r="N22" i="18" s="1"/>
  <c r="Y549" i="18"/>
  <c r="Y548" i="18" l="1"/>
  <c r="Y547" i="18"/>
  <c r="AL282" i="18"/>
  <c r="Y546" i="18"/>
  <c r="Y545" i="18"/>
  <c r="Y544" i="18"/>
  <c r="Y543" i="18"/>
  <c r="Y542" i="18"/>
  <c r="X630" i="18"/>
  <c r="U119" i="18" l="1"/>
  <c r="G14" i="63"/>
  <c r="G12" i="63" l="1"/>
  <c r="G13" i="63"/>
  <c r="I13" i="63"/>
  <c r="H13" i="63"/>
  <c r="U118" i="18"/>
  <c r="H12" i="63"/>
  <c r="L12" i="63" s="1"/>
  <c r="L47" i="60"/>
  <c r="L13" i="63" l="1"/>
  <c r="L14" i="63"/>
  <c r="J13" i="63"/>
  <c r="K13" i="63" s="1"/>
  <c r="F5" i="60"/>
  <c r="E4" i="60"/>
  <c r="F4" i="60" s="1"/>
  <c r="Y541" i="18"/>
  <c r="Y540" i="18"/>
  <c r="Y539" i="18"/>
  <c r="L15" i="74"/>
  <c r="J15" i="74"/>
  <c r="F15" i="74"/>
  <c r="N11" i="74"/>
  <c r="L11" i="74"/>
  <c r="J11" i="74"/>
  <c r="N5" i="74"/>
  <c r="L5" i="74"/>
  <c r="J5" i="74"/>
  <c r="F5" i="74"/>
  <c r="N10" i="74"/>
  <c r="N9" i="74"/>
  <c r="L9" i="74"/>
  <c r="J9" i="74"/>
  <c r="F9" i="74"/>
  <c r="N8" i="74"/>
  <c r="L8" i="74"/>
  <c r="J8" i="74"/>
  <c r="F8" i="74"/>
  <c r="G8" i="74" s="1"/>
  <c r="N4" i="74"/>
  <c r="L4" i="74"/>
  <c r="J4" i="74"/>
  <c r="K4" i="74" s="1"/>
  <c r="F4" i="74"/>
  <c r="N3" i="74"/>
  <c r="L3" i="74"/>
  <c r="J3" i="74"/>
  <c r="G3" i="74"/>
  <c r="Y538" i="18"/>
  <c r="Y537" i="18"/>
  <c r="Y536" i="18"/>
  <c r="Q57" i="18" l="1"/>
  <c r="N42" i="18"/>
  <c r="K2" i="73" l="1"/>
  <c r="C2" i="73"/>
  <c r="I2" i="73"/>
  <c r="J2" i="73" s="1"/>
  <c r="G2" i="73"/>
  <c r="I3" i="73"/>
  <c r="G3" i="73"/>
  <c r="C3" i="73"/>
  <c r="K4" i="73"/>
  <c r="I4" i="73"/>
  <c r="G4" i="73"/>
  <c r="C4" i="73"/>
  <c r="K5" i="73"/>
  <c r="I5" i="73"/>
  <c r="J5" i="73" s="1"/>
  <c r="G5" i="73"/>
  <c r="C5" i="73"/>
  <c r="D34" i="60" l="1"/>
  <c r="X631" i="18" l="1"/>
  <c r="X632" i="18"/>
  <c r="X633" i="18"/>
  <c r="H10" i="63" l="1"/>
  <c r="G43" i="60"/>
  <c r="H43" i="60" s="1"/>
  <c r="E43" i="60"/>
  <c r="F43" i="60" s="1"/>
  <c r="C43" i="60"/>
  <c r="D43" i="60" s="1"/>
  <c r="K43" i="60"/>
  <c r="L43" i="60" s="1"/>
  <c r="G44" i="60"/>
  <c r="H44" i="60" s="1"/>
  <c r="E44" i="60"/>
  <c r="C44" i="60"/>
  <c r="D44" i="60" s="1"/>
  <c r="K44" i="60"/>
  <c r="L44" i="60" s="1"/>
  <c r="H47" i="60"/>
  <c r="F47" i="60"/>
  <c r="D47" i="60"/>
  <c r="G42" i="60"/>
  <c r="H42" i="60" s="1"/>
  <c r="E42" i="60"/>
  <c r="C42" i="60"/>
  <c r="K42" i="60"/>
  <c r="L42" i="60" s="1"/>
  <c r="G46" i="60"/>
  <c r="H46" i="60" s="1"/>
  <c r="E46" i="60"/>
  <c r="F46" i="60" s="1"/>
  <c r="C46" i="60"/>
  <c r="D46" i="60" s="1"/>
  <c r="K46" i="60"/>
  <c r="L46" i="60" s="1"/>
  <c r="G45" i="60"/>
  <c r="H45" i="60" s="1"/>
  <c r="E45" i="60"/>
  <c r="F45" i="60" s="1"/>
  <c r="C45" i="60"/>
  <c r="D45" i="60" s="1"/>
  <c r="K45" i="60"/>
  <c r="L45" i="60" s="1"/>
  <c r="G23" i="60"/>
  <c r="H23" i="60" s="1"/>
  <c r="E23" i="60"/>
  <c r="F23" i="60" s="1"/>
  <c r="C23" i="60"/>
  <c r="D23" i="60" s="1"/>
  <c r="K23" i="60"/>
  <c r="L23" i="60" s="1"/>
  <c r="G22" i="60"/>
  <c r="H22" i="60" s="1"/>
  <c r="E22" i="60"/>
  <c r="F22" i="60" s="1"/>
  <c r="C22" i="60"/>
  <c r="D22" i="60" s="1"/>
  <c r="K22" i="60"/>
  <c r="L22" i="60" s="1"/>
  <c r="G21" i="60"/>
  <c r="H21" i="60" s="1"/>
  <c r="E21" i="60"/>
  <c r="F21" i="60" s="1"/>
  <c r="C21" i="60"/>
  <c r="D21" i="60" s="1"/>
  <c r="K21" i="60"/>
  <c r="L21" i="60" s="1"/>
  <c r="G20" i="60"/>
  <c r="H20" i="60" s="1"/>
  <c r="E20" i="60"/>
  <c r="F20" i="60" s="1"/>
  <c r="C20" i="60"/>
  <c r="D20" i="60" s="1"/>
  <c r="G19" i="60"/>
  <c r="H19" i="60" s="1"/>
  <c r="E19" i="60"/>
  <c r="F19" i="60" s="1"/>
  <c r="C19" i="60"/>
  <c r="D19" i="60" s="1"/>
  <c r="K19" i="60"/>
  <c r="L19" i="60" s="1"/>
  <c r="G18" i="60"/>
  <c r="H18" i="60" s="1"/>
  <c r="E18" i="60"/>
  <c r="F18" i="60" s="1"/>
  <c r="C18" i="60"/>
  <c r="D18" i="60" s="1"/>
  <c r="K18" i="60"/>
  <c r="L18" i="60" s="1"/>
  <c r="G17" i="60"/>
  <c r="H17" i="60" s="1"/>
  <c r="E17" i="60"/>
  <c r="F17" i="60" s="1"/>
  <c r="C17" i="60"/>
  <c r="D17" i="60" s="1"/>
  <c r="H16" i="60"/>
  <c r="E16" i="60"/>
  <c r="F16" i="60" s="1"/>
  <c r="C16" i="60"/>
  <c r="D16" i="60" s="1"/>
  <c r="G15" i="60"/>
  <c r="H15" i="60" s="1"/>
  <c r="E15" i="60"/>
  <c r="F15" i="60" s="1"/>
  <c r="C15" i="60"/>
  <c r="D15" i="60" s="1"/>
  <c r="G3" i="60"/>
  <c r="H3" i="60" s="1"/>
  <c r="E3" i="60"/>
  <c r="C3" i="60"/>
  <c r="D3" i="60" s="1"/>
  <c r="G2" i="60"/>
  <c r="H2" i="60" s="1"/>
  <c r="E2" i="60"/>
  <c r="C2" i="60"/>
  <c r="K20" i="60"/>
  <c r="L20" i="60" s="1"/>
  <c r="K17" i="60"/>
  <c r="L17" i="60" s="1"/>
  <c r="K16" i="60"/>
  <c r="L16" i="60" s="1"/>
  <c r="K15" i="60"/>
  <c r="L15" i="60" s="1"/>
  <c r="K3" i="60"/>
  <c r="L3" i="60" s="1"/>
  <c r="K2" i="60"/>
  <c r="L10" i="63" l="1"/>
  <c r="L11" i="63"/>
  <c r="H26" i="60"/>
  <c r="G4" i="60" s="1"/>
  <c r="D50" i="60"/>
  <c r="L50" i="60"/>
  <c r="H50" i="60"/>
  <c r="F26" i="60"/>
  <c r="L26" i="60"/>
  <c r="K4" i="60" s="1"/>
  <c r="L4" i="60" s="1"/>
  <c r="D26" i="60"/>
  <c r="F44" i="60"/>
  <c r="F50" i="60" s="1"/>
  <c r="O16" i="74"/>
  <c r="M16" i="74"/>
  <c r="K16" i="74"/>
  <c r="G16" i="74"/>
  <c r="O15" i="74"/>
  <c r="M15" i="74"/>
  <c r="K15" i="74"/>
  <c r="G15" i="74"/>
  <c r="O14" i="74"/>
  <c r="M14" i="74"/>
  <c r="K14" i="74"/>
  <c r="G14" i="74"/>
  <c r="O13" i="74"/>
  <c r="M13" i="74"/>
  <c r="K13" i="74"/>
  <c r="G13" i="74"/>
  <c r="O12" i="74"/>
  <c r="M12" i="74"/>
  <c r="K12" i="74"/>
  <c r="G12" i="74"/>
  <c r="O11" i="74"/>
  <c r="M11" i="74"/>
  <c r="K11" i="74"/>
  <c r="G11" i="74"/>
  <c r="O10" i="74"/>
  <c r="M10" i="74"/>
  <c r="K10" i="74"/>
  <c r="G10" i="74"/>
  <c r="O9" i="74"/>
  <c r="M9" i="74"/>
  <c r="K9" i="74"/>
  <c r="G9" i="74"/>
  <c r="O8" i="74"/>
  <c r="M8" i="74"/>
  <c r="K8" i="74"/>
  <c r="O7" i="74"/>
  <c r="M7" i="74"/>
  <c r="K7" i="74"/>
  <c r="G7" i="74"/>
  <c r="O6" i="74"/>
  <c r="M6" i="74"/>
  <c r="K6" i="74"/>
  <c r="G6" i="74"/>
  <c r="O5" i="74"/>
  <c r="M5" i="74"/>
  <c r="K5" i="74"/>
  <c r="G5" i="74"/>
  <c r="O4" i="74"/>
  <c r="M4" i="74"/>
  <c r="G4" i="74"/>
  <c r="O3" i="74"/>
  <c r="M3" i="74"/>
  <c r="K3" i="74"/>
  <c r="O2" i="74"/>
  <c r="M2" i="74"/>
  <c r="K2" i="74"/>
  <c r="G2" i="74"/>
  <c r="P19" i="75"/>
  <c r="N19" i="75"/>
  <c r="L19" i="75"/>
  <c r="P18" i="75"/>
  <c r="N18" i="75"/>
  <c r="L18" i="75"/>
  <c r="P17" i="75"/>
  <c r="N17" i="75"/>
  <c r="L17" i="75"/>
  <c r="P16" i="75"/>
  <c r="N16" i="75"/>
  <c r="L16" i="75"/>
  <c r="P15" i="75"/>
  <c r="N15" i="75"/>
  <c r="L15" i="75"/>
  <c r="P14" i="75"/>
  <c r="N14" i="75"/>
  <c r="L14" i="75"/>
  <c r="P13" i="75"/>
  <c r="N13" i="75"/>
  <c r="L13" i="75"/>
  <c r="P12" i="75"/>
  <c r="N12" i="75"/>
  <c r="L12" i="75"/>
  <c r="P11" i="75"/>
  <c r="N11" i="75"/>
  <c r="L11" i="75"/>
  <c r="H11" i="75"/>
  <c r="P10" i="75"/>
  <c r="N10" i="75"/>
  <c r="L10" i="75"/>
  <c r="H10" i="75"/>
  <c r="P9" i="75"/>
  <c r="N9" i="75"/>
  <c r="L9" i="75"/>
  <c r="H9" i="75"/>
  <c r="P8" i="75"/>
  <c r="N8" i="75"/>
  <c r="L8" i="75"/>
  <c r="H8" i="75"/>
  <c r="P7" i="75"/>
  <c r="N7" i="75"/>
  <c r="L7" i="75"/>
  <c r="H7" i="75"/>
  <c r="P6" i="75"/>
  <c r="N6" i="75"/>
  <c r="L6" i="75"/>
  <c r="H6" i="75"/>
  <c r="P5" i="75"/>
  <c r="N5" i="75"/>
  <c r="L5" i="75"/>
  <c r="H5" i="75"/>
  <c r="P4" i="75"/>
  <c r="N4" i="75"/>
  <c r="L4" i="75"/>
  <c r="H4" i="75"/>
  <c r="P3" i="75"/>
  <c r="N3" i="75"/>
  <c r="L3" i="75"/>
  <c r="H3" i="75"/>
  <c r="P2" i="75"/>
  <c r="N2" i="75"/>
  <c r="L2" i="75"/>
  <c r="H2" i="75"/>
  <c r="N15" i="73"/>
  <c r="M14" i="73"/>
  <c r="N14" i="73" s="1"/>
  <c r="L14" i="73"/>
  <c r="J14" i="73"/>
  <c r="H14" i="73"/>
  <c r="D14" i="73"/>
  <c r="M13" i="73"/>
  <c r="N13" i="73" s="1"/>
  <c r="L13" i="73"/>
  <c r="J13" i="73"/>
  <c r="H13" i="73"/>
  <c r="D13" i="73"/>
  <c r="M12" i="73"/>
  <c r="N12" i="73" s="1"/>
  <c r="L12" i="73"/>
  <c r="J12" i="73"/>
  <c r="H12" i="73"/>
  <c r="D12" i="73"/>
  <c r="M11" i="73"/>
  <c r="N11" i="73" s="1"/>
  <c r="L11" i="73"/>
  <c r="J11" i="73"/>
  <c r="H11" i="73"/>
  <c r="D11" i="73"/>
  <c r="M10" i="73"/>
  <c r="N10" i="73" s="1"/>
  <c r="L10" i="73"/>
  <c r="J10" i="73"/>
  <c r="H10" i="73"/>
  <c r="M9" i="73"/>
  <c r="N9" i="73" s="1"/>
  <c r="L9" i="73"/>
  <c r="J9" i="73"/>
  <c r="H9" i="73"/>
  <c r="D9" i="73"/>
  <c r="M8" i="73"/>
  <c r="N8" i="73" s="1"/>
  <c r="L8" i="73"/>
  <c r="J8" i="73"/>
  <c r="H8" i="73"/>
  <c r="D8" i="73"/>
  <c r="M7" i="73"/>
  <c r="N7" i="73" s="1"/>
  <c r="L7" i="73"/>
  <c r="J7" i="73"/>
  <c r="H7" i="73"/>
  <c r="D7" i="73"/>
  <c r="M6" i="73"/>
  <c r="N6" i="73" s="1"/>
  <c r="L6" i="73"/>
  <c r="J6" i="73"/>
  <c r="H6" i="73"/>
  <c r="D6" i="73"/>
  <c r="M5" i="73"/>
  <c r="N5" i="73" s="1"/>
  <c r="L5" i="73"/>
  <c r="H5" i="73"/>
  <c r="D5" i="73"/>
  <c r="M4" i="73"/>
  <c r="N4" i="73" s="1"/>
  <c r="L4" i="73"/>
  <c r="J4" i="73"/>
  <c r="H4" i="73"/>
  <c r="D4" i="73"/>
  <c r="N3" i="73"/>
  <c r="L3" i="73"/>
  <c r="J3" i="73"/>
  <c r="H3" i="73"/>
  <c r="D3" i="73"/>
  <c r="M2" i="73"/>
  <c r="N2" i="73" s="1"/>
  <c r="L2" i="73"/>
  <c r="H2" i="73"/>
  <c r="D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C4" i="60" l="1"/>
  <c r="D4" i="60" s="1"/>
  <c r="H27" i="60"/>
  <c r="O18" i="74"/>
  <c r="O20" i="74" s="1"/>
  <c r="N21" i="75"/>
  <c r="K18" i="74"/>
  <c r="L21" i="75"/>
  <c r="M18" i="74"/>
  <c r="G18" i="74"/>
  <c r="H4" i="60"/>
  <c r="H16" i="73"/>
  <c r="J16" i="73"/>
  <c r="L16" i="73"/>
  <c r="L18" i="73" s="1"/>
  <c r="D16" i="73"/>
  <c r="N16" i="73"/>
  <c r="N18" i="73" s="1"/>
  <c r="C5" i="60"/>
  <c r="D5" i="60" s="1"/>
  <c r="G5" i="60"/>
  <c r="H5" i="60" s="1"/>
  <c r="H21" i="75"/>
  <c r="F21" i="75" s="1"/>
  <c r="P21" i="75"/>
  <c r="P23" i="75" s="1"/>
  <c r="D142" i="72"/>
  <c r="Y535" i="18"/>
  <c r="H10" i="60" l="1"/>
  <c r="E142" i="72"/>
  <c r="D141" i="72"/>
  <c r="Y534" i="18"/>
  <c r="Y533" i="18"/>
  <c r="Y532" i="18"/>
  <c r="E141" i="72" l="1"/>
  <c r="D140" i="72"/>
  <c r="X156" i="18"/>
  <c r="D139" i="72" l="1"/>
  <c r="E140" i="72"/>
  <c r="D138" i="72" l="1"/>
  <c r="E139" i="72"/>
  <c r="E138" i="72" l="1"/>
  <c r="D137" i="72"/>
  <c r="E137" i="72" l="1"/>
  <c r="D136" i="72"/>
  <c r="D135" i="72" l="1"/>
  <c r="E136" i="72"/>
  <c r="P32" i="18"/>
  <c r="P31" i="18"/>
  <c r="D134" i="72" l="1"/>
  <c r="E135" i="72"/>
  <c r="E134" i="72" l="1"/>
  <c r="D133" i="72"/>
  <c r="D132" i="72" l="1"/>
  <c r="E133" i="72"/>
  <c r="E132" i="72" l="1"/>
  <c r="D131" i="72"/>
  <c r="Y531" i="18"/>
  <c r="E131" i="72" l="1"/>
  <c r="D130" i="72"/>
  <c r="S92" i="63"/>
  <c r="S91" i="63"/>
  <c r="S90" i="63"/>
  <c r="E130" i="72" l="1"/>
  <c r="D129" i="72"/>
  <c r="Y530" i="18"/>
  <c r="D128" i="72" l="1"/>
  <c r="E129" i="72"/>
  <c r="E128" i="72" l="1"/>
  <c r="D127" i="72"/>
  <c r="E127" i="72" l="1"/>
  <c r="D126" i="72"/>
  <c r="Y529" i="18"/>
  <c r="Y528" i="18"/>
  <c r="D125" i="72" l="1"/>
  <c r="E126" i="72"/>
  <c r="D124" i="72" l="1"/>
  <c r="E125" i="72"/>
  <c r="E124" i="72" l="1"/>
  <c r="D123" i="72"/>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E111" i="72" l="1"/>
  <c r="D110" i="72"/>
  <c r="Y526" i="18"/>
  <c r="D109" i="72" l="1"/>
  <c r="E110" i="72"/>
  <c r="Y525" i="18"/>
  <c r="N27" i="18"/>
  <c r="N26" i="18"/>
  <c r="E109" i="72" l="1"/>
  <c r="D108" i="72"/>
  <c r="E108" i="72" l="1"/>
  <c r="D107" i="72"/>
  <c r="Y524" i="18"/>
  <c r="E107" i="72" l="1"/>
  <c r="D106" i="72"/>
  <c r="E106" i="72" l="1"/>
  <c r="D105" i="72"/>
  <c r="D104" i="72" l="1"/>
  <c r="E105" i="72"/>
  <c r="E104" i="72" l="1"/>
  <c r="D103" i="72"/>
  <c r="Y523" i="18"/>
  <c r="U96" i="18"/>
  <c r="Y522" i="18"/>
  <c r="Y521" i="18"/>
  <c r="E103" i="72" l="1"/>
  <c r="D102" i="72"/>
  <c r="E159" i="63"/>
  <c r="Y520" i="18"/>
  <c r="D101" i="72" l="1"/>
  <c r="E102" i="72"/>
  <c r="T632" i="18"/>
  <c r="Y519" i="18"/>
  <c r="AC112" i="18"/>
  <c r="AC113" i="18"/>
  <c r="AC114" i="18"/>
  <c r="AC115" i="18"/>
  <c r="AC116" i="18"/>
  <c r="AC111" i="18"/>
  <c r="D100" i="72" l="1"/>
  <c r="E101" i="72"/>
  <c r="R57" i="18" l="1"/>
  <c r="E100" i="72"/>
  <c r="D99" i="72"/>
  <c r="E99" i="72" l="1"/>
  <c r="D98" i="72"/>
  <c r="E98" i="72" l="1"/>
  <c r="D97" i="72"/>
  <c r="D158" i="63"/>
  <c r="E158" i="63"/>
  <c r="G158" i="63" s="1"/>
  <c r="D159" i="63"/>
  <c r="G159" i="63"/>
  <c r="D160" i="63"/>
  <c r="E160" i="63"/>
  <c r="G160" i="63" s="1"/>
  <c r="D161" i="63"/>
  <c r="E161" i="63"/>
  <c r="G161" i="63" s="1"/>
  <c r="D162" i="63"/>
  <c r="E162" i="63"/>
  <c r="G162" i="63" s="1"/>
  <c r="D163" i="63"/>
  <c r="E163" i="63"/>
  <c r="G163" i="63" s="1"/>
  <c r="D164" i="63"/>
  <c r="E164" i="63"/>
  <c r="G164" i="63" s="1"/>
  <c r="D165" i="63"/>
  <c r="E165" i="63"/>
  <c r="G165" i="63" s="1"/>
  <c r="D166" i="63"/>
  <c r="E166" i="63"/>
  <c r="G166" i="63" s="1"/>
  <c r="D167" i="63"/>
  <c r="E167" i="63"/>
  <c r="G167" i="63" s="1"/>
  <c r="D168" i="63"/>
  <c r="E168" i="63"/>
  <c r="G168" i="63" s="1"/>
  <c r="D169" i="63"/>
  <c r="E169" i="63"/>
  <c r="G169" i="63" s="1"/>
  <c r="D170" i="63"/>
  <c r="E170" i="63"/>
  <c r="G170" i="63" s="1"/>
  <c r="D171" i="63"/>
  <c r="E171" i="63"/>
  <c r="G171" i="63" s="1"/>
  <c r="D172" i="63"/>
  <c r="E172" i="63"/>
  <c r="G172" i="63" s="1"/>
  <c r="D173" i="63"/>
  <c r="E173" i="63"/>
  <c r="G173" i="63" s="1"/>
  <c r="D174" i="63"/>
  <c r="E174" i="63"/>
  <c r="G174" i="63" s="1"/>
  <c r="D175" i="63"/>
  <c r="E175" i="63"/>
  <c r="G175" i="63" s="1"/>
  <c r="D176" i="63"/>
  <c r="E176" i="63"/>
  <c r="D177" i="63"/>
  <c r="E177" i="63"/>
  <c r="D178" i="63"/>
  <c r="E178" i="63"/>
  <c r="D179" i="63"/>
  <c r="E179" i="63"/>
  <c r="E157" i="63"/>
  <c r="G157" i="63" s="1"/>
  <c r="D157" i="63"/>
  <c r="D96" i="72" l="1"/>
  <c r="E97" i="72"/>
  <c r="Y518"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Y517" i="18"/>
  <c r="D92" i="72" l="1"/>
  <c r="E93" i="72"/>
  <c r="D176" i="58"/>
  <c r="E92" i="72" l="1"/>
  <c r="D91" i="72"/>
  <c r="E91" i="72" l="1"/>
  <c r="D90" i="72"/>
  <c r="Y516" i="18"/>
  <c r="D89" i="72" l="1"/>
  <c r="E90" i="72"/>
  <c r="D88" i="72" l="1"/>
  <c r="E89" i="72"/>
  <c r="Y515" i="18"/>
  <c r="E88" i="72" l="1"/>
  <c r="D87" i="72"/>
  <c r="Y514" i="18"/>
  <c r="D86" i="72" l="1"/>
  <c r="E87" i="72"/>
  <c r="E86" i="72" l="1"/>
  <c r="D85" i="72"/>
  <c r="E85" i="72" l="1"/>
  <c r="D84" i="72"/>
  <c r="D83" i="72" l="1"/>
  <c r="E84" i="72"/>
  <c r="Y513" i="18"/>
  <c r="D82" i="72" l="1"/>
  <c r="E83" i="72"/>
  <c r="D81" i="72" l="1"/>
  <c r="E82" i="72"/>
  <c r="D80" i="72" l="1"/>
  <c r="E81" i="72"/>
  <c r="Y512" i="18"/>
  <c r="D79" i="72" l="1"/>
  <c r="E80" i="72"/>
  <c r="Y511" i="18"/>
  <c r="D78" i="72" l="1"/>
  <c r="E79" i="72"/>
  <c r="Y510" i="18"/>
  <c r="D77" i="72" l="1"/>
  <c r="E78" i="72"/>
  <c r="Y509" i="18"/>
  <c r="E77" i="72" l="1"/>
  <c r="D76" i="72"/>
  <c r="D75" i="72" l="1"/>
  <c r="E76" i="72"/>
  <c r="D74" i="72" l="1"/>
  <c r="E75" i="72"/>
  <c r="E74" i="72" l="1"/>
  <c r="D73" i="72"/>
  <c r="E73" i="72" l="1"/>
  <c r="D72" i="72"/>
  <c r="D71" i="72" l="1"/>
  <c r="E72" i="72"/>
  <c r="Y508" i="18"/>
  <c r="I10" i="63"/>
  <c r="I12" i="63"/>
  <c r="D70" i="72" l="1"/>
  <c r="E71" i="72"/>
  <c r="J12" i="63"/>
  <c r="K12" i="63" s="1"/>
  <c r="Y507" i="18"/>
  <c r="E70" i="72" l="1"/>
  <c r="D69" i="72"/>
  <c r="Y506" i="18"/>
  <c r="E69" i="72" l="1"/>
  <c r="D68" i="72"/>
  <c r="U117" i="18"/>
  <c r="G10" i="63"/>
  <c r="I8" i="63"/>
  <c r="G8" i="63"/>
  <c r="H8" i="63"/>
  <c r="L8" i="63" l="1"/>
  <c r="L9" i="63"/>
  <c r="D67" i="72"/>
  <c r="E68" i="72"/>
  <c r="J10" i="63"/>
  <c r="K10" i="63" s="1"/>
  <c r="J8" i="63"/>
  <c r="K8" i="63" s="1"/>
  <c r="D66" i="72" l="1"/>
  <c r="E67" i="72"/>
  <c r="Y505"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Y504" i="18"/>
  <c r="E64" i="72" l="1"/>
  <c r="D63" i="72"/>
  <c r="E63" i="72" l="1"/>
  <c r="D62" i="72"/>
  <c r="D61" i="72" l="1"/>
  <c r="E62" i="72"/>
  <c r="D60" i="72" l="1"/>
  <c r="E61" i="72"/>
  <c r="D59" i="72" l="1"/>
  <c r="E60" i="72"/>
  <c r="E59" i="72" l="1"/>
  <c r="D58" i="72"/>
  <c r="D57" i="72" l="1"/>
  <c r="E58" i="72"/>
  <c r="I5" i="63"/>
  <c r="E57" i="72" l="1"/>
  <c r="D56" i="72"/>
  <c r="I3" i="63"/>
  <c r="E56" i="72" l="1"/>
  <c r="D55" i="72"/>
  <c r="E55" i="72" l="1"/>
  <c r="D54" i="72"/>
  <c r="E54" i="72" l="1"/>
  <c r="D53" i="72"/>
  <c r="AN281" i="18"/>
  <c r="AN280" i="18" s="1"/>
  <c r="AN279" i="18" l="1"/>
  <c r="AO280" i="18"/>
  <c r="D52" i="72"/>
  <c r="E53" i="72"/>
  <c r="AO279" i="18" l="1"/>
  <c r="AN278" i="18"/>
  <c r="E52" i="72"/>
  <c r="D51" i="72"/>
  <c r="AN277" i="18" l="1"/>
  <c r="AO278" i="18"/>
  <c r="E51" i="72"/>
  <c r="D50" i="72"/>
  <c r="S93" i="63"/>
  <c r="AO277" i="18" l="1"/>
  <c r="AN276" i="18"/>
  <c r="D49" i="72"/>
  <c r="E50" i="72"/>
  <c r="AN275" i="18" l="1"/>
  <c r="AO276" i="18"/>
  <c r="D48" i="72"/>
  <c r="E49" i="72"/>
  <c r="AO275" i="18" l="1"/>
  <c r="AN274" i="18"/>
  <c r="E48" i="72"/>
  <c r="D47" i="72"/>
  <c r="AO274" i="18" l="1"/>
  <c r="AN273" i="18"/>
  <c r="E47" i="72"/>
  <c r="D46" i="72"/>
  <c r="L2" i="60"/>
  <c r="AN272" i="18" l="1"/>
  <c r="AO273" i="18"/>
  <c r="D45" i="72"/>
  <c r="E46" i="72"/>
  <c r="Y500" i="18"/>
  <c r="Y495" i="18"/>
  <c r="Y496" i="18"/>
  <c r="Y497" i="18"/>
  <c r="Y498" i="18"/>
  <c r="Y499" i="18"/>
  <c r="Y501" i="18"/>
  <c r="Y502" i="18"/>
  <c r="Y503" i="18"/>
  <c r="Y527" i="18"/>
  <c r="AN271" i="18" l="1"/>
  <c r="AO272" i="18"/>
  <c r="D44" i="72"/>
  <c r="E45" i="72"/>
  <c r="Y494" i="18"/>
  <c r="AN270" i="18" l="1"/>
  <c r="AO271" i="18"/>
  <c r="D43" i="72"/>
  <c r="E44" i="72"/>
  <c r="F3" i="60"/>
  <c r="AO270" i="18" l="1"/>
  <c r="AN269" i="18"/>
  <c r="E43" i="72"/>
  <c r="D42" i="72"/>
  <c r="F30" i="60"/>
  <c r="AN268" i="18" l="1"/>
  <c r="AO269" i="18"/>
  <c r="E42" i="72"/>
  <c r="D41" i="72"/>
  <c r="AN267" i="18" l="1"/>
  <c r="AO268" i="18"/>
  <c r="D40" i="72"/>
  <c r="E41" i="72"/>
  <c r="F2" i="60"/>
  <c r="F10" i="60" s="1"/>
  <c r="AN266" i="18" l="1"/>
  <c r="AO267" i="18"/>
  <c r="E40" i="72"/>
  <c r="D39" i="72"/>
  <c r="AN265" i="18" l="1"/>
  <c r="AO266" i="18"/>
  <c r="E39" i="72"/>
  <c r="D38" i="72"/>
  <c r="Y493" i="18"/>
  <c r="AN264" i="18" l="1"/>
  <c r="AO265" i="18"/>
  <c r="D37" i="72"/>
  <c r="E38" i="72"/>
  <c r="AN263" i="18" l="1"/>
  <c r="AO264" i="18"/>
  <c r="D36" i="72"/>
  <c r="E37" i="72"/>
  <c r="Y492" i="18"/>
  <c r="Y491" i="18"/>
  <c r="Y490" i="18"/>
  <c r="AN262" i="18" l="1"/>
  <c r="AO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AN261" i="18" l="1"/>
  <c r="AO262" i="18"/>
  <c r="H41" i="68"/>
  <c r="E35" i="72"/>
  <c r="D34" i="72"/>
  <c r="I29" i="68"/>
  <c r="I41" i="68" s="1"/>
  <c r="Y489" i="18"/>
  <c r="AN260" i="18" l="1"/>
  <c r="AO261" i="18"/>
  <c r="E34" i="72"/>
  <c r="D33" i="72"/>
  <c r="AN259" i="18" l="1"/>
  <c r="AO260" i="18"/>
  <c r="D32" i="72"/>
  <c r="E33" i="72"/>
  <c r="Y488" i="18"/>
  <c r="AN258" i="18" l="1"/>
  <c r="AO259" i="18"/>
  <c r="E32" i="72"/>
  <c r="D31" i="72"/>
  <c r="Y487" i="18"/>
  <c r="N46" i="18"/>
  <c r="AN257" i="18" l="1"/>
  <c r="AO258" i="18"/>
  <c r="E31" i="72"/>
  <c r="D30" i="72"/>
  <c r="G5" i="63"/>
  <c r="H5" i="63"/>
  <c r="H3" i="63"/>
  <c r="L5" i="63" l="1"/>
  <c r="L6" i="63"/>
  <c r="L4" i="63"/>
  <c r="AN256" i="18"/>
  <c r="AO257" i="18"/>
  <c r="D29" i="72"/>
  <c r="E30" i="72"/>
  <c r="J5" i="63"/>
  <c r="K5" i="63" s="1"/>
  <c r="J3" i="63"/>
  <c r="K3" i="63" s="1"/>
  <c r="Y486" i="18"/>
  <c r="I2" i="63"/>
  <c r="G2" i="63"/>
  <c r="H2" i="63"/>
  <c r="L3" i="63" s="1"/>
  <c r="AN255" i="18" l="1"/>
  <c r="AO256" i="18"/>
  <c r="D28" i="72"/>
  <c r="E29" i="72"/>
  <c r="J2" i="63"/>
  <c r="K2" i="63" s="1"/>
  <c r="AN254" i="18" l="1"/>
  <c r="AO255" i="18"/>
  <c r="E28" i="72"/>
  <c r="D27" i="72"/>
  <c r="Y485" i="18"/>
  <c r="L1" i="63"/>
  <c r="I1" i="63"/>
  <c r="H1" i="63"/>
  <c r="L2" i="63" s="1"/>
  <c r="AO254" i="18" l="1"/>
  <c r="AN253" i="18"/>
  <c r="E27" i="72"/>
  <c r="D26" i="72"/>
  <c r="J1" i="63"/>
  <c r="K1" i="63" s="1"/>
  <c r="AN252" i="18" l="1"/>
  <c r="AO253" i="18"/>
  <c r="D25" i="72"/>
  <c r="E26" i="72"/>
  <c r="AN251" i="18" l="1"/>
  <c r="AO252" i="18"/>
  <c r="D24" i="72"/>
  <c r="E25" i="72"/>
  <c r="AN250" i="18" l="1"/>
  <c r="AO251" i="18"/>
  <c r="E24" i="72"/>
  <c r="D23" i="72"/>
  <c r="N54" i="63"/>
  <c r="AN249" i="18" l="1"/>
  <c r="AO250" i="18"/>
  <c r="E23" i="72"/>
  <c r="D22" i="72"/>
  <c r="AN248" i="18" l="1"/>
  <c r="AO249" i="18"/>
  <c r="E22" i="72"/>
  <c r="D21" i="72"/>
  <c r="AN247" i="18" l="1"/>
  <c r="AO248" i="18"/>
  <c r="D20" i="72"/>
  <c r="E21" i="72"/>
  <c r="Y484" i="18"/>
  <c r="E20" i="72" l="1"/>
  <c r="D19" i="72"/>
  <c r="Y483" i="18"/>
  <c r="E19" i="72" l="1"/>
  <c r="D18" i="72"/>
  <c r="D17" i="72" l="1"/>
  <c r="E18" i="72"/>
  <c r="D16" i="72" l="1"/>
  <c r="E17" i="72"/>
  <c r="Y482" i="18"/>
  <c r="E16" i="72" l="1"/>
  <c r="D15" i="72"/>
  <c r="Y481"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Y480" i="18"/>
  <c r="Y479" i="18"/>
  <c r="E9" i="72" l="1"/>
  <c r="D8" i="72"/>
  <c r="E8" i="72" l="1"/>
  <c r="D7" i="72"/>
  <c r="E7" i="72" l="1"/>
  <c r="D6" i="72"/>
  <c r="D5" i="72" l="1"/>
  <c r="E6" i="72"/>
  <c r="Y478" i="18"/>
  <c r="D4" i="72" l="1"/>
  <c r="E5" i="72"/>
  <c r="Y477" i="18"/>
  <c r="E4" i="72" l="1"/>
  <c r="D3" i="72"/>
  <c r="E3" i="72" s="1"/>
  <c r="Y476" i="18"/>
  <c r="Y475" i="18"/>
  <c r="Y474" i="18"/>
  <c r="Y473"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G17" i="67" l="1"/>
  <c r="H17" i="67" s="1"/>
  <c r="Y472" i="18" l="1"/>
  <c r="Y471" i="18" l="1"/>
  <c r="Y470" i="18"/>
  <c r="Y469" i="18" l="1"/>
  <c r="AN246" i="18"/>
  <c r="AN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U237" i="18"/>
  <c r="Y468" i="18" l="1"/>
  <c r="Y467" i="18" l="1"/>
  <c r="N33" i="18"/>
  <c r="N45" i="18"/>
  <c r="Y465" i="18" l="1"/>
  <c r="AL511" i="18" l="1"/>
  <c r="Y464" i="18" l="1"/>
  <c r="Y463" i="18"/>
  <c r="Y462" i="18"/>
  <c r="Y466" i="18"/>
  <c r="Y461" i="18"/>
  <c r="Y460" i="18"/>
  <c r="Y380" i="18"/>
  <c r="D2" i="60" l="1"/>
  <c r="Y459" i="18" l="1"/>
  <c r="Y458" i="18" l="1"/>
  <c r="Y457" i="18"/>
  <c r="AN244" i="18"/>
  <c r="AN243" i="18" s="1"/>
  <c r="AN242" i="18" s="1"/>
  <c r="Y456" i="18" l="1"/>
  <c r="Y455" i="18" l="1"/>
  <c r="Y452" i="18" l="1"/>
  <c r="Y453" i="18"/>
  <c r="Y454" i="18"/>
  <c r="Y451" i="18" l="1"/>
  <c r="Y450" i="18" l="1"/>
  <c r="Y449" i="18" l="1"/>
  <c r="G49" i="10" l="1"/>
  <c r="B68" i="60" l="1"/>
  <c r="B65" i="60"/>
  <c r="Y448" i="18" l="1"/>
  <c r="Y447" i="18" l="1"/>
  <c r="Y446" i="18" l="1"/>
  <c r="X157" i="18" l="1"/>
  <c r="V154" i="18" s="1"/>
  <c r="Y445" i="18"/>
  <c r="V153" i="18" l="1"/>
  <c r="V151" i="18"/>
  <c r="V152" i="18"/>
  <c r="P37" i="18"/>
  <c r="G4" i="67" s="1"/>
  <c r="Y444" i="18"/>
  <c r="H4" i="67" l="1"/>
  <c r="H10" i="67" s="1"/>
  <c r="G19" i="67"/>
  <c r="H19" i="67" s="1"/>
  <c r="H23" i="67" s="1"/>
  <c r="Y443" i="18"/>
  <c r="E26" i="67" l="1"/>
  <c r="Y440" i="18" l="1"/>
  <c r="Y439" i="18" l="1"/>
  <c r="F58" i="60" l="1"/>
  <c r="G57" i="60" s="1"/>
  <c r="Y438" i="18" l="1"/>
  <c r="Y437" i="18" l="1"/>
  <c r="Y436" i="18" l="1"/>
  <c r="Y435" i="18" l="1"/>
  <c r="O473" i="52" l="1"/>
  <c r="J473" i="52"/>
  <c r="Y430" i="18" l="1"/>
  <c r="Y431" i="18"/>
  <c r="Y432" i="18"/>
  <c r="Y433" i="18"/>
  <c r="Y434" i="18"/>
  <c r="Y441" i="18"/>
  <c r="Y442" i="18"/>
  <c r="AN510" i="18"/>
  <c r="AN509" i="18" s="1"/>
  <c r="O472" i="52"/>
  <c r="J472" i="52"/>
  <c r="AN508" i="18" l="1"/>
  <c r="AO509" i="18"/>
  <c r="AO510" i="18"/>
  <c r="AN507" i="18" l="1"/>
  <c r="AO507" i="18" s="1"/>
  <c r="AO508" i="18"/>
  <c r="AN478" i="18"/>
  <c r="Y429" i="18"/>
  <c r="Y428" i="18"/>
  <c r="Y427" i="18"/>
  <c r="Y426" i="18"/>
  <c r="Y425" i="18"/>
  <c r="J468" i="52"/>
  <c r="O468" i="52"/>
  <c r="AN506" i="18" l="1"/>
  <c r="AO506" i="18" s="1"/>
  <c r="AN477" i="18"/>
  <c r="AO478" i="18"/>
  <c r="AN505" i="18" l="1"/>
  <c r="AO505" i="18" s="1"/>
  <c r="AO477" i="18"/>
  <c r="AN476" i="18"/>
  <c r="AN504" i="18" l="1"/>
  <c r="AO504" i="18" s="1"/>
  <c r="AN475" i="18"/>
  <c r="AO476" i="18"/>
  <c r="AN503" i="18" l="1"/>
  <c r="AO503" i="18" s="1"/>
  <c r="AO475" i="18"/>
  <c r="AN474" i="18"/>
  <c r="O465" i="52"/>
  <c r="AN502" i="18" l="1"/>
  <c r="AN473" i="18"/>
  <c r="AO474" i="18"/>
  <c r="AN501" i="18" l="1"/>
  <c r="AO502" i="18"/>
  <c r="AO473" i="18"/>
  <c r="AN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O501" i="18" l="1"/>
  <c r="AN500" i="18"/>
  <c r="P547" i="52"/>
  <c r="P519" i="52"/>
  <c r="P475" i="52"/>
  <c r="P506" i="52"/>
  <c r="AN471" i="18"/>
  <c r="AO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9" i="18" l="1"/>
  <c r="AO500" i="18"/>
  <c r="AO471" i="18"/>
  <c r="AN470" i="18"/>
  <c r="Y419" i="18"/>
  <c r="Y420" i="18"/>
  <c r="Y421" i="18"/>
  <c r="Y422" i="18"/>
  <c r="Y423" i="18"/>
  <c r="Y424" i="18"/>
  <c r="AO499" i="18" l="1"/>
  <c r="AN498" i="18"/>
  <c r="AN469" i="18"/>
  <c r="AO469" i="18" s="1"/>
  <c r="AO470" i="18"/>
  <c r="O454" i="52"/>
  <c r="J454" i="52"/>
  <c r="AN497" i="18" l="1"/>
  <c r="AO498" i="18"/>
  <c r="Y418" i="18"/>
  <c r="AO497" i="18" l="1"/>
  <c r="AN496" i="18"/>
  <c r="Y417" i="18"/>
  <c r="Y416" i="18"/>
  <c r="AN495" i="18" l="1"/>
  <c r="AO496" i="18"/>
  <c r="Y415" i="18"/>
  <c r="Y414" i="18"/>
  <c r="AO495" i="18" l="1"/>
  <c r="AN494" i="18"/>
  <c r="Y413" i="18"/>
  <c r="AN493" i="18" l="1"/>
  <c r="AO494" i="18"/>
  <c r="Y412" i="18"/>
  <c r="AO493" i="18" l="1"/>
  <c r="AN492" i="18"/>
  <c r="Y411" i="18"/>
  <c r="AN491" i="18" l="1"/>
  <c r="AO492" i="18"/>
  <c r="Y410" i="18"/>
  <c r="AO491" i="18" l="1"/>
  <c r="AN490" i="18"/>
  <c r="Y409" i="18"/>
  <c r="AN489" i="18" l="1"/>
  <c r="AO490" i="18"/>
  <c r="Y408" i="18"/>
  <c r="AO489" i="18" l="1"/>
  <c r="AN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Y407" i="18"/>
  <c r="AN487" i="18" l="1"/>
  <c r="AO488" i="18"/>
  <c r="P454" i="52"/>
  <c r="P456" i="52"/>
  <c r="P460" i="52"/>
  <c r="P453" i="52"/>
  <c r="P449" i="52"/>
  <c r="P445" i="52"/>
  <c r="P461" i="52"/>
  <c r="P452" i="52"/>
  <c r="P448" i="52"/>
  <c r="P459" i="52"/>
  <c r="P450" i="52"/>
  <c r="P446" i="52"/>
  <c r="P442" i="52"/>
  <c r="P457" i="52"/>
  <c r="P455" i="52"/>
  <c r="P451" i="52"/>
  <c r="P447" i="52"/>
  <c r="P462" i="52"/>
  <c r="P458" i="52"/>
  <c r="P444" i="52"/>
  <c r="P443" i="52"/>
  <c r="Y406" i="18"/>
  <c r="AO487" i="18" l="1"/>
  <c r="AN486" i="18"/>
  <c r="Y405" i="18"/>
  <c r="AN485" i="18" l="1"/>
  <c r="AO486" i="18"/>
  <c r="Y404" i="18"/>
  <c r="AO485" i="18" l="1"/>
  <c r="AN484" i="18"/>
  <c r="Y403" i="18"/>
  <c r="AN483" i="18" l="1"/>
  <c r="AO484" i="18"/>
  <c r="Y402" i="18"/>
  <c r="AO483" i="18" l="1"/>
  <c r="AN482" i="18"/>
  <c r="AN481" i="18" l="1"/>
  <c r="AO482" i="18"/>
  <c r="Y401" i="18"/>
  <c r="AN480" i="18" l="1"/>
  <c r="AO481" i="18"/>
  <c r="Y400" i="18"/>
  <c r="AO480" i="18" l="1"/>
  <c r="AN479" i="18"/>
  <c r="AO479" i="18" s="1"/>
  <c r="Y399" i="18"/>
  <c r="Y398" i="18" l="1"/>
  <c r="Y397" i="18" l="1"/>
  <c r="Y396" i="18" l="1"/>
  <c r="Y395" i="18" l="1"/>
  <c r="Y391" i="18" l="1"/>
  <c r="Y394" i="18"/>
  <c r="Y393" i="18" l="1"/>
  <c r="Y392" i="18" l="1"/>
  <c r="Y390" i="18" l="1"/>
  <c r="Y389" i="18" l="1"/>
  <c r="Y387" i="18" l="1"/>
  <c r="Y386" i="18"/>
  <c r="Y385" i="18"/>
  <c r="Y382" i="18"/>
  <c r="Y383" i="18"/>
  <c r="Y384" i="18"/>
  <c r="Y381" i="18"/>
  <c r="Y388" i="18"/>
  <c r="Y379" i="18" l="1"/>
  <c r="Y378" i="18" l="1"/>
  <c r="Y377" i="18" l="1"/>
  <c r="Y376" i="18" l="1"/>
  <c r="Y375" i="18" l="1"/>
  <c r="Y374" i="18" l="1"/>
  <c r="Y373" i="18"/>
  <c r="O55"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Y372"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Y371" i="18"/>
  <c r="Y370" i="18" l="1"/>
  <c r="Y369" i="18" l="1"/>
  <c r="Y368" i="18" l="1"/>
  <c r="Y367" i="18" l="1"/>
  <c r="Y366" i="18"/>
  <c r="Y365" i="18"/>
  <c r="Y364" i="18"/>
  <c r="Y363" i="18" l="1"/>
  <c r="Y362" i="18" l="1"/>
  <c r="N55" i="63" l="1"/>
  <c r="AO281" i="18" l="1"/>
  <c r="AO247" i="18" l="1"/>
  <c r="AO246" i="18" l="1"/>
  <c r="AO245" i="18" l="1"/>
  <c r="AO244" i="18" l="1"/>
  <c r="Q390" i="52"/>
  <c r="O390" i="52"/>
  <c r="J390" i="52"/>
  <c r="AO243" i="18" l="1"/>
  <c r="Y361" i="18"/>
  <c r="AN241" i="18" l="1"/>
  <c r="AO242" i="18"/>
  <c r="AN240" i="18" l="1"/>
  <c r="AO241" i="18"/>
  <c r="Y360" i="18"/>
  <c r="AN239" i="18" l="1"/>
  <c r="AO240" i="18"/>
  <c r="Y359" i="18"/>
  <c r="AN238" i="18" l="1"/>
  <c r="AO239" i="18"/>
  <c r="AN237" i="18" l="1"/>
  <c r="AO238" i="18"/>
  <c r="AN236" i="18" l="1"/>
  <c r="AO237" i="18"/>
  <c r="G57" i="10"/>
  <c r="G58" i="10"/>
  <c r="G59" i="10"/>
  <c r="G60" i="10"/>
  <c r="G61" i="10"/>
  <c r="G62" i="10"/>
  <c r="G63" i="10"/>
  <c r="G64" i="10"/>
  <c r="G65" i="10"/>
  <c r="G66" i="10"/>
  <c r="G67" i="10"/>
  <c r="G68" i="10"/>
  <c r="G69" i="10"/>
  <c r="G70" i="10"/>
  <c r="G71" i="10"/>
  <c r="G72" i="10"/>
  <c r="G73" i="10"/>
  <c r="G74" i="10"/>
  <c r="G56" i="10"/>
  <c r="AN235" i="18" l="1"/>
  <c r="AO236" i="18"/>
  <c r="Y358" i="18"/>
  <c r="Y357" i="18"/>
  <c r="Y356" i="18"/>
  <c r="Y355" i="18"/>
  <c r="Y354" i="18"/>
  <c r="AN234" i="18" l="1"/>
  <c r="AO235" i="18"/>
  <c r="AN233" i="18" l="1"/>
  <c r="AO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N232" i="18"/>
  <c r="AO233" i="18"/>
  <c r="P395" i="52"/>
  <c r="P394" i="52"/>
  <c r="P393" i="52"/>
  <c r="P392" i="52"/>
  <c r="P383" i="52"/>
  <c r="P391" i="52"/>
  <c r="P390" i="52"/>
  <c r="P389" i="52"/>
  <c r="P388" i="52"/>
  <c r="P387" i="52"/>
  <c r="P386" i="52"/>
  <c r="P385" i="52"/>
  <c r="P382" i="52"/>
  <c r="P384" i="52"/>
  <c r="P381" i="52"/>
  <c r="P380" i="52"/>
  <c r="P379" i="52"/>
  <c r="P378" i="52"/>
  <c r="P377" i="52"/>
  <c r="AN231" i="18" l="1"/>
  <c r="AO232" i="18"/>
  <c r="Y349" i="18"/>
  <c r="Y350" i="18"/>
  <c r="Y351" i="18"/>
  <c r="Y352" i="18"/>
  <c r="Y353" i="18"/>
  <c r="AN230" i="18" l="1"/>
  <c r="AO231" i="18"/>
  <c r="Y348" i="18"/>
  <c r="AN229" i="18" l="1"/>
  <c r="AO230" i="18"/>
  <c r="Y347" i="18"/>
  <c r="AN228" i="18" l="1"/>
  <c r="AO229" i="18"/>
  <c r="Y346"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Y345" i="18"/>
  <c r="P374" i="52" l="1"/>
  <c r="AN227" i="18"/>
  <c r="AO228" i="18"/>
  <c r="P375" i="52"/>
  <c r="P376" i="52"/>
  <c r="P368" i="52"/>
  <c r="P373" i="52"/>
  <c r="P372" i="52"/>
  <c r="P371" i="52"/>
  <c r="P370" i="52"/>
  <c r="P369" i="52"/>
  <c r="Y344" i="18"/>
  <c r="AN226" i="18" l="1"/>
  <c r="AO227" i="18"/>
  <c r="AN225" i="18" l="1"/>
  <c r="AO226" i="18"/>
  <c r="AN224" i="18" l="1"/>
  <c r="AO225" i="18"/>
  <c r="AN223" i="18" l="1"/>
  <c r="AO224" i="18"/>
  <c r="Y343" i="18"/>
  <c r="AN222" i="18" l="1"/>
  <c r="AO223" i="18"/>
  <c r="O362" i="52"/>
  <c r="J362" i="52"/>
  <c r="AN221" i="18" l="1"/>
  <c r="AO222" i="18"/>
  <c r="AN220" i="18" l="1"/>
  <c r="AO221" i="18"/>
  <c r="AN468" i="18"/>
  <c r="AN219" i="18" l="1"/>
  <c r="AO220" i="18"/>
  <c r="AN467" i="18"/>
  <c r="AO468" i="18"/>
  <c r="AN218" i="18" l="1"/>
  <c r="AO219" i="18"/>
  <c r="AO467" i="18"/>
  <c r="AN466" i="18"/>
  <c r="M359" i="52"/>
  <c r="M360" i="52" s="1"/>
  <c r="Y342" i="18"/>
  <c r="AN217" i="18" l="1"/>
  <c r="AO218" i="18"/>
  <c r="AN465" i="18"/>
  <c r="AO466" i="18"/>
  <c r="Y341" i="18"/>
  <c r="AN216" i="18" l="1"/>
  <c r="AO217" i="18"/>
  <c r="AO465" i="18"/>
  <c r="AN464" i="18"/>
  <c r="Y340" i="18"/>
  <c r="AN215" i="18" l="1"/>
  <c r="AO216" i="18"/>
  <c r="AN463" i="18"/>
  <c r="AO464" i="18"/>
  <c r="Y339" i="18"/>
  <c r="AN214" i="18" l="1"/>
  <c r="AO214" i="18" s="1"/>
  <c r="AO215" i="18"/>
  <c r="AO463" i="18"/>
  <c r="AN462" i="18"/>
  <c r="Y338" i="18"/>
  <c r="AN461" i="18" l="1"/>
  <c r="AO462" i="18"/>
  <c r="Y337" i="18"/>
  <c r="AO461" i="18" l="1"/>
  <c r="AN460" i="18"/>
  <c r="AN459" i="18" l="1"/>
  <c r="AO460" i="18"/>
  <c r="AO459" i="18" l="1"/>
  <c r="AN458" i="18"/>
  <c r="AN457" i="18" l="1"/>
  <c r="AO458" i="18"/>
  <c r="AO457" i="18" l="1"/>
  <c r="AN456" i="18"/>
  <c r="O348" i="52"/>
  <c r="Y336" i="18"/>
  <c r="AN455" i="18" l="1"/>
  <c r="AO456" i="18"/>
  <c r="Y335" i="18"/>
  <c r="J347" i="52"/>
  <c r="AO455" i="18" l="1"/>
  <c r="AN454" i="18"/>
  <c r="Y334" i="18"/>
  <c r="AO454" i="18" l="1"/>
  <c r="AN453" i="18"/>
  <c r="Y333" i="18"/>
  <c r="AO453" i="18" l="1"/>
  <c r="AN452" i="18"/>
  <c r="AN451" i="18" l="1"/>
  <c r="AO452" i="18"/>
  <c r="AN450" i="18" l="1"/>
  <c r="AO451" i="18"/>
  <c r="Y332" i="18" l="1"/>
  <c r="Y331" i="18" l="1"/>
  <c r="Y330" i="18" l="1"/>
  <c r="Y329" i="18" l="1"/>
  <c r="N348" i="52"/>
  <c r="Y328"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N44" i="18" l="1"/>
  <c r="K66" i="18" s="1"/>
  <c r="D77" i="60" l="1"/>
  <c r="F77" i="60" s="1"/>
  <c r="D76" i="60"/>
  <c r="F76" i="60" s="1"/>
  <c r="J319" i="52" l="1"/>
  <c r="O319" i="52" l="1"/>
  <c r="Y309" i="18" l="1"/>
  <c r="Y327"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32"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Y326" i="18"/>
  <c r="D418" i="15" l="1"/>
  <c r="F419" i="15"/>
  <c r="F418" i="15" l="1"/>
  <c r="D417" i="15"/>
  <c r="Y325" i="18"/>
  <c r="O305" i="52"/>
  <c r="J305" i="52"/>
  <c r="D416" i="15" l="1"/>
  <c r="F417" i="15"/>
  <c r="D415" i="15" l="1"/>
  <c r="F416" i="15"/>
  <c r="Y324" i="18"/>
  <c r="O302" i="52"/>
  <c r="F415" i="15" l="1"/>
  <c r="D414" i="15"/>
  <c r="D413" i="15" l="1"/>
  <c r="F414" i="15"/>
  <c r="D412" i="15" l="1"/>
  <c r="F413" i="15"/>
  <c r="Y323" i="18"/>
  <c r="O301" i="52"/>
  <c r="F412" i="15" l="1"/>
  <c r="D411" i="15"/>
  <c r="D410" i="15" l="1"/>
  <c r="F411" i="15"/>
  <c r="Y322" i="18"/>
  <c r="Y321" i="18"/>
  <c r="J300" i="52"/>
  <c r="F410" i="15" l="1"/>
  <c r="D409" i="15"/>
  <c r="Y320" i="18"/>
  <c r="O299" i="52"/>
  <c r="Y319" i="18"/>
  <c r="Y318" i="18"/>
  <c r="D408" i="15" l="1"/>
  <c r="F409" i="15"/>
  <c r="Y317" i="18"/>
  <c r="Y316" i="18"/>
  <c r="Y315" i="18"/>
  <c r="N38" i="18"/>
  <c r="O298" i="52"/>
  <c r="D407" i="15" l="1"/>
  <c r="F408" i="15"/>
  <c r="J298" i="52"/>
  <c r="F407" i="15" l="1"/>
  <c r="D406" i="15"/>
  <c r="O297" i="52"/>
  <c r="Y314" i="18"/>
  <c r="Y313" i="18"/>
  <c r="Y312" i="18"/>
  <c r="D405" i="15" l="1"/>
  <c r="F406" i="15"/>
  <c r="Y311" i="18"/>
  <c r="J296" i="52"/>
  <c r="D404" i="15" l="1"/>
  <c r="F405" i="15"/>
  <c r="J295" i="52"/>
  <c r="F404" i="15" l="1"/>
  <c r="D403" i="15"/>
  <c r="Y310" i="18"/>
  <c r="D402" i="15" l="1"/>
  <c r="F403" i="15"/>
  <c r="O296" i="52"/>
  <c r="B422" i="15"/>
  <c r="L16" i="18"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K67"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Y308"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Y307"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Y306" i="18"/>
  <c r="D388" i="15" l="1"/>
  <c r="F389" i="15"/>
  <c r="J275" i="52"/>
  <c r="F388" i="15" l="1"/>
  <c r="D387" i="15"/>
  <c r="Y305" i="18"/>
  <c r="D386" i="15" l="1"/>
  <c r="F387" i="15"/>
  <c r="J274" i="52"/>
  <c r="F386" i="15" l="1"/>
  <c r="D385" i="15"/>
  <c r="Y304"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Y303" i="18"/>
  <c r="Y302"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Y30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Y300" i="18"/>
  <c r="Y299" i="18"/>
  <c r="Y298" i="18"/>
  <c r="D364" i="15" l="1"/>
  <c r="F365" i="15"/>
  <c r="O223" i="52"/>
  <c r="Y297" i="18"/>
  <c r="F364" i="15" l="1"/>
  <c r="D363" i="15"/>
  <c r="J222" i="52"/>
  <c r="Y296" i="18"/>
  <c r="D362" i="15" l="1"/>
  <c r="F363" i="15"/>
  <c r="Y295" i="18"/>
  <c r="Y294" i="18"/>
  <c r="D361" i="15" l="1"/>
  <c r="F362" i="15"/>
  <c r="O220" i="52"/>
  <c r="F361" i="15" l="1"/>
  <c r="D360" i="15"/>
  <c r="Y293" i="18"/>
  <c r="Y292"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Y29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Y290" i="18"/>
  <c r="F348" i="15" l="1"/>
  <c r="D347" i="15"/>
  <c r="O210" i="52"/>
  <c r="D346" i="15" l="1"/>
  <c r="F347" i="15"/>
  <c r="J210" i="52"/>
  <c r="D345" i="15" l="1"/>
  <c r="F346" i="15"/>
  <c r="J209" i="52"/>
  <c r="O208" i="52"/>
  <c r="J208" i="52"/>
  <c r="D344" i="15" l="1"/>
  <c r="F345" i="15"/>
  <c r="Y289" i="18"/>
  <c r="F344" i="15" l="1"/>
  <c r="D343" i="15"/>
  <c r="O207" i="52"/>
  <c r="J207" i="52"/>
  <c r="Y288" i="18"/>
  <c r="D342" i="15" l="1"/>
  <c r="F343" i="15"/>
  <c r="Y287" i="18"/>
  <c r="D341" i="15" l="1"/>
  <c r="F342" i="15"/>
  <c r="Y286" i="18"/>
  <c r="D340" i="15" l="1"/>
  <c r="F341" i="15"/>
  <c r="O204" i="52"/>
  <c r="F340" i="15" l="1"/>
  <c r="D339" i="15"/>
  <c r="J203" i="52"/>
  <c r="Y28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Y284" i="18"/>
  <c r="Y283" i="18"/>
  <c r="Y282" i="18"/>
  <c r="J202" i="52"/>
  <c r="D336" i="15" l="1"/>
  <c r="F337" i="15"/>
  <c r="Y281" i="18"/>
  <c r="J201" i="52"/>
  <c r="Y280" i="18"/>
  <c r="F336" i="15" l="1"/>
  <c r="D335" i="15"/>
  <c r="J200" i="52"/>
  <c r="D334" i="15" l="1"/>
  <c r="F335" i="15"/>
  <c r="Y279"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Y278" i="18"/>
  <c r="F330" i="15" l="1"/>
  <c r="D329" i="15"/>
  <c r="D328" i="15" l="1"/>
  <c r="F329" i="15"/>
  <c r="Y277" i="18"/>
  <c r="D327" i="15" l="1"/>
  <c r="F328" i="15"/>
  <c r="AN213" i="18" l="1"/>
  <c r="F327" i="15"/>
  <c r="D326" i="15"/>
  <c r="AN212" i="18" l="1"/>
  <c r="AO213" i="18"/>
  <c r="F326" i="15"/>
  <c r="D325" i="15"/>
  <c r="J195" i="52"/>
  <c r="O195" i="52"/>
  <c r="J194" i="52"/>
  <c r="Y276" i="18"/>
  <c r="AN211" i="18" l="1"/>
  <c r="AO212" i="18"/>
  <c r="F325" i="15"/>
  <c r="D324" i="15"/>
  <c r="N194" i="52"/>
  <c r="Y275" i="18"/>
  <c r="Y274" i="18"/>
  <c r="AN210" i="18" l="1"/>
  <c r="AO211" i="18"/>
  <c r="F324" i="15"/>
  <c r="D323" i="15"/>
  <c r="Y273" i="18"/>
  <c r="AO210" i="18" l="1"/>
  <c r="AN209" i="18"/>
  <c r="F323" i="15"/>
  <c r="D322" i="15"/>
  <c r="T148" i="18"/>
  <c r="U148" i="18" s="1"/>
  <c r="AN208" i="18" l="1"/>
  <c r="AO209" i="18"/>
  <c r="F322" i="15"/>
  <c r="D321" i="15"/>
  <c r="Y272" i="18"/>
  <c r="AO208" i="18" l="1"/>
  <c r="AN207" i="18"/>
  <c r="F321" i="15"/>
  <c r="D320" i="15"/>
  <c r="Y271" i="18"/>
  <c r="O190" i="52"/>
  <c r="J190" i="52"/>
  <c r="AN206" i="18" l="1"/>
  <c r="AO207" i="18"/>
  <c r="F320" i="15"/>
  <c r="D319" i="15"/>
  <c r="Y270" i="18"/>
  <c r="AO206" i="18" l="1"/>
  <c r="AN205" i="18"/>
  <c r="F319" i="15"/>
  <c r="D318" i="15"/>
  <c r="N48" i="18"/>
  <c r="N43" i="18"/>
  <c r="K65" i="18" l="1"/>
  <c r="AO205" i="18"/>
  <c r="AN204" i="18"/>
  <c r="F318" i="15"/>
  <c r="D317" i="15"/>
  <c r="O187" i="52"/>
  <c r="Y269" i="18"/>
  <c r="AO204" i="18" l="1"/>
  <c r="AN203" i="18"/>
  <c r="F317" i="15"/>
  <c r="D316" i="15"/>
  <c r="J186" i="52"/>
  <c r="Y268" i="18"/>
  <c r="Y256" i="18"/>
  <c r="Y255" i="18"/>
  <c r="AO203" i="18" l="1"/>
  <c r="AN202" i="18"/>
  <c r="F316" i="15"/>
  <c r="D315" i="15"/>
  <c r="J185" i="52"/>
  <c r="Y267" i="18"/>
  <c r="AO202" i="18" l="1"/>
  <c r="AN201" i="18"/>
  <c r="F315" i="15"/>
  <c r="D314" i="15"/>
  <c r="AN200" i="18" l="1"/>
  <c r="AO201" i="18"/>
  <c r="F314" i="15"/>
  <c r="D313" i="15"/>
  <c r="AN199" i="18" l="1"/>
  <c r="AO200" i="18"/>
  <c r="F313" i="15"/>
  <c r="D312" i="15"/>
  <c r="N181" i="52"/>
  <c r="AN198" i="18" l="1"/>
  <c r="AO199" i="18"/>
  <c r="F312" i="15"/>
  <c r="D311" i="15"/>
  <c r="Y266" i="18"/>
  <c r="B8" i="36"/>
  <c r="AN197" i="18" l="1"/>
  <c r="AO198" i="18"/>
  <c r="F311" i="15"/>
  <c r="D310" i="15"/>
  <c r="O178" i="52"/>
  <c r="J178" i="52"/>
  <c r="AO197" i="18" l="1"/>
  <c r="AN196" i="18"/>
  <c r="F310" i="15"/>
  <c r="D309" i="15"/>
  <c r="Y265" i="18"/>
  <c r="O177" i="52"/>
  <c r="J177" i="52"/>
  <c r="AO196" i="18" l="1"/>
  <c r="AN195" i="18"/>
  <c r="F309" i="15"/>
  <c r="D308" i="15"/>
  <c r="O176" i="52"/>
  <c r="J176" i="52"/>
  <c r="AO195" i="18" l="1"/>
  <c r="AN194" i="18"/>
  <c r="F308" i="15"/>
  <c r="D307" i="15"/>
  <c r="F307" i="15" s="1"/>
  <c r="AO194" i="18" l="1"/>
  <c r="AN193" i="18"/>
  <c r="J174" i="52"/>
  <c r="Y264" i="18"/>
  <c r="AO193" i="18" l="1"/>
  <c r="AN192" i="18"/>
  <c r="J168" i="52"/>
  <c r="O168" i="52"/>
  <c r="Y263" i="18"/>
  <c r="AO192" i="18" l="1"/>
  <c r="AN191" i="18"/>
  <c r="AO191" i="18" s="1"/>
  <c r="O167" i="52"/>
  <c r="Y262" i="18"/>
  <c r="O166" i="52" l="1"/>
  <c r="Y261" i="18"/>
  <c r="Y260" i="18" l="1"/>
  <c r="O165" i="52"/>
  <c r="J165" i="52"/>
  <c r="AN449" i="18" l="1"/>
  <c r="AO450" i="18"/>
  <c r="O162" i="52"/>
  <c r="J162" i="52"/>
  <c r="Y259" i="18"/>
  <c r="AN448" i="18" l="1"/>
  <c r="AO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N447" i="18" l="1"/>
  <c r="AO448" i="18"/>
  <c r="P202" i="52"/>
  <c r="P203" i="52"/>
  <c r="P204" i="52"/>
  <c r="P201" i="52"/>
  <c r="P200" i="52"/>
  <c r="P190" i="52"/>
  <c r="P187" i="52"/>
  <c r="P177" i="52"/>
  <c r="P186" i="52"/>
  <c r="P185" i="52"/>
  <c r="P176" i="52"/>
  <c r="P162" i="52"/>
  <c r="P166" i="52"/>
  <c r="P174" i="52"/>
  <c r="P168" i="52"/>
  <c r="P165" i="52"/>
  <c r="P167" i="52"/>
  <c r="O160" i="52"/>
  <c r="J160" i="52"/>
  <c r="N160" i="52"/>
  <c r="AO447" i="18" l="1"/>
  <c r="AN446" i="18"/>
  <c r="Y258" i="18"/>
  <c r="AN445" i="18" l="1"/>
  <c r="AO446" i="18"/>
  <c r="Y257" i="18"/>
  <c r="AO445" i="18" l="1"/>
  <c r="AN444" i="18"/>
  <c r="AN190" i="18"/>
  <c r="AN443" i="18" l="1"/>
  <c r="AO444" i="18"/>
  <c r="AN189" i="18"/>
  <c r="AO190" i="18"/>
  <c r="N159" i="52"/>
  <c r="P160" i="52" s="1"/>
  <c r="Y254" i="18"/>
  <c r="AN442" i="18" l="1"/>
  <c r="AO443" i="18"/>
  <c r="AO189" i="18"/>
  <c r="AN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O442" i="18" l="1"/>
  <c r="AN441" i="18"/>
  <c r="AN187" i="18"/>
  <c r="AO188" i="18"/>
  <c r="AO441" i="18" l="1"/>
  <c r="AN440" i="18"/>
  <c r="AO187" i="18"/>
  <c r="AN186" i="18"/>
  <c r="J151" i="52"/>
  <c r="AN439" i="18" l="1"/>
  <c r="AO440" i="18"/>
  <c r="AN185" i="18"/>
  <c r="AO186" i="18"/>
  <c r="Y253" i="18"/>
  <c r="Y252" i="18"/>
  <c r="O150" i="52"/>
  <c r="AN438" i="18" l="1"/>
  <c r="AO439" i="18"/>
  <c r="AO185" i="18"/>
  <c r="AN184" i="18"/>
  <c r="AN437" i="18" l="1"/>
  <c r="AO438" i="18"/>
  <c r="AN183" i="18"/>
  <c r="AO184" i="18"/>
  <c r="Q146" i="52"/>
  <c r="J146" i="52"/>
  <c r="Y251"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O437" i="18" l="1"/>
  <c r="AN436" i="18"/>
  <c r="AO183" i="18"/>
  <c r="AN182" i="18"/>
  <c r="P151" i="52"/>
  <c r="P150" i="52"/>
  <c r="P157" i="52"/>
  <c r="P148" i="52"/>
  <c r="P158" i="52"/>
  <c r="P156" i="52"/>
  <c r="P155" i="52"/>
  <c r="P154" i="52"/>
  <c r="P153" i="52"/>
  <c r="P152" i="52"/>
  <c r="P149" i="52"/>
  <c r="P147" i="52"/>
  <c r="O145" i="52"/>
  <c r="J145" i="52"/>
  <c r="J144" i="52"/>
  <c r="J143" i="52"/>
  <c r="AO436" i="18" l="1"/>
  <c r="AN435" i="18"/>
  <c r="AN181" i="18"/>
  <c r="AO182" i="18"/>
  <c r="Y250" i="18"/>
  <c r="AO435" i="18" l="1"/>
  <c r="AN434" i="18"/>
  <c r="AO181" i="18"/>
  <c r="AN180" i="18"/>
  <c r="Y249" i="18"/>
  <c r="AN433" i="18" l="1"/>
  <c r="AO434" i="18"/>
  <c r="AO180" i="18"/>
  <c r="AN179" i="18"/>
  <c r="O142" i="52"/>
  <c r="J142" i="52"/>
  <c r="Y248" i="18"/>
  <c r="AN432" i="18" l="1"/>
  <c r="AO433" i="18"/>
  <c r="AO179" i="18"/>
  <c r="AN178" i="18"/>
  <c r="AO178" i="18" s="1"/>
  <c r="O140" i="52"/>
  <c r="J140" i="52"/>
  <c r="Y247" i="18"/>
  <c r="AO432" i="18" l="1"/>
  <c r="AN431" i="18"/>
  <c r="Y246" i="18"/>
  <c r="Y245" i="18"/>
  <c r="O139" i="52"/>
  <c r="J139" i="52"/>
  <c r="AO431" i="18" l="1"/>
  <c r="AN430" i="18"/>
  <c r="Y244" i="18"/>
  <c r="AO430" i="18" l="1"/>
  <c r="AN429" i="18"/>
  <c r="AO429" i="18" l="1"/>
  <c r="AN428" i="18"/>
  <c r="M41" i="52"/>
  <c r="AO428" i="18" l="1"/>
  <c r="AN427" i="18"/>
  <c r="O135" i="52"/>
  <c r="J135" i="52"/>
  <c r="AO427" i="18" l="1"/>
  <c r="AN426" i="18"/>
  <c r="AN425" i="18" l="1"/>
  <c r="AO426" i="18"/>
  <c r="Y243" i="18"/>
  <c r="AN424" i="18" l="1"/>
  <c r="AO425" i="18"/>
  <c r="O132" i="52"/>
  <c r="Y242" i="18"/>
  <c r="AO424" i="18" l="1"/>
  <c r="AN423" i="18"/>
  <c r="O131" i="52"/>
  <c r="AN422" i="18" l="1"/>
  <c r="AO423" i="18"/>
  <c r="O130" i="52"/>
  <c r="O129" i="52"/>
  <c r="Y241" i="18"/>
  <c r="Y240" i="18"/>
  <c r="AN421" i="18" l="1"/>
  <c r="AO422" i="18"/>
  <c r="N129" i="52"/>
  <c r="AN420" i="18" l="1"/>
  <c r="AO421" i="18"/>
  <c r="O127" i="52"/>
  <c r="AN419" i="18" l="1"/>
  <c r="AO420" i="18"/>
  <c r="J126" i="52"/>
  <c r="O126" i="52"/>
  <c r="Y239" i="18"/>
  <c r="AO419" i="18" l="1"/>
  <c r="AN418" i="18"/>
  <c r="O125" i="52"/>
  <c r="J125" i="52"/>
  <c r="AO418" i="18" l="1"/>
  <c r="AN417" i="18"/>
  <c r="Y238" i="18"/>
  <c r="AN416" i="18" l="1"/>
  <c r="AO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Y237" i="18"/>
  <c r="AN415" i="18" l="1"/>
  <c r="AO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N414" i="18" l="1"/>
  <c r="AO415" i="18"/>
  <c r="Y236" i="18"/>
  <c r="AO414" i="18" l="1"/>
  <c r="AN413" i="18"/>
  <c r="AO413" i="18" l="1"/>
  <c r="AN412" i="18"/>
  <c r="O121" i="52"/>
  <c r="J121" i="52"/>
  <c r="Y235" i="18"/>
  <c r="AN411" i="18" l="1"/>
  <c r="AO412" i="18"/>
  <c r="Y234" i="18"/>
  <c r="J120" i="52"/>
  <c r="AO411" i="18" l="1"/>
  <c r="AN410" i="18"/>
  <c r="AN409" i="18" l="1"/>
  <c r="AO410" i="18"/>
  <c r="O117" i="52"/>
  <c r="AO409" i="18" l="1"/>
  <c r="AN408" i="18"/>
  <c r="O116" i="52"/>
  <c r="N116" i="52"/>
  <c r="AO408" i="18" l="1"/>
  <c r="AN407" i="18"/>
  <c r="Y233" i="18"/>
  <c r="AN406" i="18" l="1"/>
  <c r="AO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O406" i="18" l="1"/>
  <c r="AN405" i="18"/>
  <c r="AN404" i="18" l="1"/>
  <c r="AO405" i="18"/>
  <c r="AN403" i="18" l="1"/>
  <c r="AO404" i="18"/>
  <c r="AO403" i="18" l="1"/>
  <c r="AN402" i="18"/>
  <c r="O112" i="52"/>
  <c r="AN401" i="18" l="1"/>
  <c r="AO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O401" i="18" l="1"/>
  <c r="AN400" i="18"/>
  <c r="P120" i="52"/>
  <c r="P121" i="52"/>
  <c r="D305" i="15"/>
  <c r="F305" i="15" s="1"/>
  <c r="P112" i="52"/>
  <c r="P113" i="52"/>
  <c r="P118" i="52"/>
  <c r="P122" i="52"/>
  <c r="P119" i="52"/>
  <c r="P114" i="52"/>
  <c r="P115" i="52"/>
  <c r="O110" i="52"/>
  <c r="AN399" i="18" l="1"/>
  <c r="AO400" i="18"/>
  <c r="D304" i="15"/>
  <c r="F304" i="15" s="1"/>
  <c r="Y232" i="18"/>
  <c r="J108" i="52"/>
  <c r="AO399" i="18" l="1"/>
  <c r="AN398" i="18"/>
  <c r="D303" i="15"/>
  <c r="F303" i="15" s="1"/>
  <c r="Y231" i="18"/>
  <c r="Y230" i="18"/>
  <c r="AO398" i="18" l="1"/>
  <c r="AN397" i="18"/>
  <c r="D302" i="15"/>
  <c r="F302" i="15" s="1"/>
  <c r="O106" i="52"/>
  <c r="J106" i="52"/>
  <c r="AN396" i="18" l="1"/>
  <c r="AO397" i="18"/>
  <c r="D301" i="15"/>
  <c r="F301" i="15" s="1"/>
  <c r="J104" i="52"/>
  <c r="E276" i="15"/>
  <c r="E277" i="15"/>
  <c r="E278" i="15"/>
  <c r="E279" i="15"/>
  <c r="E280" i="15"/>
  <c r="AN395" i="18" l="1"/>
  <c r="AO396" i="18"/>
  <c r="D300" i="15"/>
  <c r="F300" i="15" s="1"/>
  <c r="Y229" i="18"/>
  <c r="AN394" i="18" l="1"/>
  <c r="AO395" i="18"/>
  <c r="D299" i="15"/>
  <c r="F299" i="15" s="1"/>
  <c r="AN393" i="18" l="1"/>
  <c r="AO394" i="18"/>
  <c r="D298" i="15"/>
  <c r="F298" i="15" s="1"/>
  <c r="Y228" i="18"/>
  <c r="D10" i="60" l="1"/>
  <c r="H12" i="60" s="1"/>
  <c r="AO393" i="18"/>
  <c r="AN392" i="18"/>
  <c r="D297" i="15"/>
  <c r="F297" i="15" s="1"/>
  <c r="D3" i="59"/>
  <c r="D4" i="59"/>
  <c r="D5" i="59"/>
  <c r="D6" i="59"/>
  <c r="D7" i="59"/>
  <c r="D8" i="59"/>
  <c r="D9" i="59"/>
  <c r="D10" i="59"/>
  <c r="D11" i="59"/>
  <c r="D12" i="59"/>
  <c r="D13" i="59"/>
  <c r="D14" i="59"/>
  <c r="D15" i="59"/>
  <c r="D16" i="59"/>
  <c r="D17" i="59"/>
  <c r="D18" i="59"/>
  <c r="D19" i="59"/>
  <c r="D20" i="59"/>
  <c r="D21" i="59"/>
  <c r="D2" i="59"/>
  <c r="AO392" i="18" l="1"/>
  <c r="AN391" i="18"/>
  <c r="D296" i="15"/>
  <c r="F296" i="15" s="1"/>
  <c r="AN390" i="18" l="1"/>
  <c r="AO391" i="18"/>
  <c r="D295" i="15"/>
  <c r="F295" i="15" s="1"/>
  <c r="AO390" i="18" l="1"/>
  <c r="AN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O389" i="18" l="1"/>
  <c r="AN388" i="18"/>
  <c r="P108" i="52"/>
  <c r="D293" i="15"/>
  <c r="F293" i="15" s="1"/>
  <c r="P111" i="52"/>
  <c r="P110" i="52"/>
  <c r="P106" i="52"/>
  <c r="P104" i="52"/>
  <c r="P107" i="52"/>
  <c r="P105" i="52"/>
  <c r="P99" i="52"/>
  <c r="P109" i="52"/>
  <c r="P103" i="52"/>
  <c r="P102" i="52"/>
  <c r="P101" i="52"/>
  <c r="P100" i="52"/>
  <c r="AN387" i="18" l="1"/>
  <c r="AO388" i="18"/>
  <c r="D292" i="15"/>
  <c r="F292" i="15" s="1"/>
  <c r="J90" i="52"/>
  <c r="J95" i="52"/>
  <c r="Y227" i="18"/>
  <c r="AN386" i="18" l="1"/>
  <c r="AO387" i="18"/>
  <c r="D291" i="15"/>
  <c r="F291" i="15" s="1"/>
  <c r="F51" i="14"/>
  <c r="F52" i="14"/>
  <c r="F53" i="14"/>
  <c r="F54" i="14"/>
  <c r="F55" i="14"/>
  <c r="F56" i="14"/>
  <c r="F57" i="14"/>
  <c r="F58" i="14"/>
  <c r="F59" i="14"/>
  <c r="F60" i="14"/>
  <c r="F61" i="14"/>
  <c r="AN385" i="18" l="1"/>
  <c r="AO386" i="18"/>
  <c r="D290" i="15"/>
  <c r="F290" i="15" s="1"/>
  <c r="N92" i="52"/>
  <c r="O92" i="52"/>
  <c r="N93" i="52"/>
  <c r="O93" i="52"/>
  <c r="N94" i="52"/>
  <c r="O94" i="52"/>
  <c r="N95" i="52"/>
  <c r="O95" i="52"/>
  <c r="N96" i="52"/>
  <c r="O96" i="52"/>
  <c r="N97" i="52"/>
  <c r="O97" i="52"/>
  <c r="J92" i="52"/>
  <c r="J93" i="52"/>
  <c r="J94" i="52"/>
  <c r="J96" i="52"/>
  <c r="AN384" i="18" l="1"/>
  <c r="AO385" i="18"/>
  <c r="D289" i="15"/>
  <c r="F289" i="15" s="1"/>
  <c r="P97" i="52"/>
  <c r="P98" i="52"/>
  <c r="P95" i="52"/>
  <c r="P96" i="52"/>
  <c r="P94" i="52"/>
  <c r="P93" i="52"/>
  <c r="N91" i="52"/>
  <c r="P92" i="52" s="1"/>
  <c r="AN383" i="18" l="1"/>
  <c r="AO384" i="18"/>
  <c r="D288" i="15"/>
  <c r="F288" i="15" s="1"/>
  <c r="V627" i="18"/>
  <c r="Y226" i="18"/>
  <c r="Y225" i="18"/>
  <c r="Y224" i="18"/>
  <c r="M48" i="52"/>
  <c r="M47" i="52"/>
  <c r="N38" i="52"/>
  <c r="N37" i="52"/>
  <c r="M49" i="52"/>
  <c r="N50" i="52" s="1"/>
  <c r="AN382" i="18" l="1"/>
  <c r="AO383" i="18"/>
  <c r="D287" i="15"/>
  <c r="F287" i="15" s="1"/>
  <c r="N49" i="52"/>
  <c r="Y223" i="18"/>
  <c r="AO382" i="18" l="1"/>
  <c r="AN381" i="18"/>
  <c r="D286" i="15"/>
  <c r="F286" i="15" s="1"/>
  <c r="AN380" i="18" l="1"/>
  <c r="AO381" i="18"/>
  <c r="D285" i="15"/>
  <c r="F285" i="15" s="1"/>
  <c r="Y222" i="18"/>
  <c r="AN379" i="18" l="1"/>
  <c r="AO380" i="18"/>
  <c r="D284" i="15"/>
  <c r="F284" i="15" s="1"/>
  <c r="O90" i="52"/>
  <c r="O91" i="52"/>
  <c r="J91" i="52"/>
  <c r="AO379" i="18" l="1"/>
  <c r="AN378" i="18"/>
  <c r="D283" i="15"/>
  <c r="F283" i="15" s="1"/>
  <c r="N87" i="52"/>
  <c r="J87" i="52"/>
  <c r="O87" i="52"/>
  <c r="D347" i="20"/>
  <c r="D346" i="20"/>
  <c r="L31"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Y221" i="18"/>
  <c r="AO378" i="18" l="1"/>
  <c r="AN377" i="18"/>
  <c r="D282" i="15"/>
  <c r="F282" i="15" s="1"/>
  <c r="G32" i="57"/>
  <c r="H32" i="57"/>
  <c r="D32" i="57"/>
  <c r="I32" i="57" s="1"/>
  <c r="D345" i="20"/>
  <c r="Y220" i="18"/>
  <c r="Y219" i="18"/>
  <c r="AO377" i="18" l="1"/>
  <c r="AN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O376" i="18" l="1"/>
  <c r="AN375" i="18"/>
  <c r="D280" i="15"/>
  <c r="F280" i="15" s="1"/>
  <c r="C46" i="56"/>
  <c r="B46" i="56"/>
  <c r="AO375" i="18" l="1"/>
  <c r="AN374" i="18"/>
  <c r="D279" i="15"/>
  <c r="F279" i="15" s="1"/>
  <c r="O84" i="52"/>
  <c r="Y218" i="18"/>
  <c r="D343" i="20"/>
  <c r="AN373" i="18" l="1"/>
  <c r="AO374" i="18"/>
  <c r="D278" i="15"/>
  <c r="F278" i="15" s="1"/>
  <c r="Y217" i="18"/>
  <c r="D342" i="20"/>
  <c r="J83" i="52"/>
  <c r="O83" i="52"/>
  <c r="Y216" i="18"/>
  <c r="Y215" i="18"/>
  <c r="F44" i="14"/>
  <c r="F45" i="14"/>
  <c r="F46" i="14"/>
  <c r="F47" i="14"/>
  <c r="F48" i="14"/>
  <c r="F49" i="14"/>
  <c r="F50" i="14"/>
  <c r="D341" i="20"/>
  <c r="AN372" i="18" l="1"/>
  <c r="AO373" i="18"/>
  <c r="D277" i="15"/>
  <c r="F277" i="15" s="1"/>
  <c r="AO372" i="18" l="1"/>
  <c r="AN371" i="18"/>
  <c r="D276" i="15"/>
  <c r="F276" i="15" s="1"/>
  <c r="Y214" i="18"/>
  <c r="AN370" i="18" l="1"/>
  <c r="AO371" i="18"/>
  <c r="D340" i="20"/>
  <c r="Y213" i="18"/>
  <c r="H337" i="20"/>
  <c r="H338" i="20"/>
  <c r="H339" i="20"/>
  <c r="H340" i="20"/>
  <c r="H341" i="20"/>
  <c r="H368" i="20"/>
  <c r="H369" i="20"/>
  <c r="D339" i="20"/>
  <c r="AN369" i="18" l="1"/>
  <c r="AO370" i="18"/>
  <c r="B371" i="20"/>
  <c r="D332" i="20"/>
  <c r="D333" i="20"/>
  <c r="D334" i="20"/>
  <c r="D335" i="20"/>
  <c r="D336" i="20"/>
  <c r="D337" i="20"/>
  <c r="D338" i="20"/>
  <c r="D369" i="20"/>
  <c r="AN368" i="18" l="1"/>
  <c r="AO369" i="18"/>
  <c r="Y212" i="18"/>
  <c r="D80" i="57"/>
  <c r="AN367" i="18" l="1"/>
  <c r="AO368" i="18"/>
  <c r="G46" i="10"/>
  <c r="AN366" i="18" l="1"/>
  <c r="AO367" i="18"/>
  <c r="D331" i="20"/>
  <c r="AN365" i="18" l="1"/>
  <c r="AO366" i="18"/>
  <c r="D330" i="20"/>
  <c r="AN364" i="18" l="1"/>
  <c r="AO365" i="18"/>
  <c r="Y211" i="18"/>
  <c r="Y210" i="18"/>
  <c r="AN363" i="18" l="1"/>
  <c r="AO364" i="18"/>
  <c r="D329" i="20"/>
  <c r="AO363" i="18" l="1"/>
  <c r="AN362" i="18"/>
  <c r="L47" i="52"/>
  <c r="AO362" i="18" l="1"/>
  <c r="AN361" i="18"/>
  <c r="AO361" i="18" l="1"/>
  <c r="AN360" i="18"/>
  <c r="D328" i="20"/>
  <c r="D327" i="20"/>
  <c r="AN359" i="18" l="1"/>
  <c r="AO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O359" i="18" l="1"/>
  <c r="AN358" i="18"/>
  <c r="P83" i="52"/>
  <c r="P91" i="52"/>
  <c r="P90" i="52"/>
  <c r="P82" i="52"/>
  <c r="P89" i="52"/>
  <c r="P88" i="52"/>
  <c r="P84" i="52"/>
  <c r="P80" i="52"/>
  <c r="P85" i="52"/>
  <c r="P81" i="52"/>
  <c r="P79" i="52"/>
  <c r="P86" i="52"/>
  <c r="P78" i="52"/>
  <c r="P77" i="52"/>
  <c r="P76" i="52"/>
  <c r="P75" i="52"/>
  <c r="AN357" i="18" l="1"/>
  <c r="AO358" i="18"/>
  <c r="D326" i="20"/>
  <c r="D325" i="20"/>
  <c r="AO357" i="18" l="1"/>
  <c r="AN356" i="18"/>
  <c r="H320" i="20"/>
  <c r="H321" i="20"/>
  <c r="H322" i="20"/>
  <c r="H323" i="20"/>
  <c r="H324" i="20"/>
  <c r="H325" i="20"/>
  <c r="H326" i="20"/>
  <c r="H327" i="20"/>
  <c r="H328" i="20"/>
  <c r="H329" i="20"/>
  <c r="H330" i="20"/>
  <c r="H331" i="20"/>
  <c r="H332" i="20"/>
  <c r="H333" i="20"/>
  <c r="H334" i="20"/>
  <c r="H335" i="20"/>
  <c r="H336" i="20"/>
  <c r="D324" i="20"/>
  <c r="D323" i="20"/>
  <c r="D322" i="20"/>
  <c r="D321" i="20"/>
  <c r="AN355" i="18" l="1"/>
  <c r="AO356" i="18"/>
  <c r="D320" i="20"/>
  <c r="D319" i="20"/>
  <c r="AN354" i="18" l="1"/>
  <c r="AO355" i="18"/>
  <c r="D318" i="20"/>
  <c r="D317" i="20"/>
  <c r="AN353" i="18" l="1"/>
  <c r="AO354" i="18"/>
  <c r="Y209" i="18"/>
  <c r="Y208" i="18"/>
  <c r="AN352" i="18" l="1"/>
  <c r="AO353" i="18"/>
  <c r="T171" i="18"/>
  <c r="O69" i="52"/>
  <c r="O70" i="52"/>
  <c r="O71" i="52"/>
  <c r="O72" i="52"/>
  <c r="O73" i="52"/>
  <c r="O68" i="52"/>
  <c r="J66" i="52"/>
  <c r="J67" i="52"/>
  <c r="J68" i="52"/>
  <c r="J69" i="52"/>
  <c r="J70" i="52"/>
  <c r="J71" i="52"/>
  <c r="J72" i="52"/>
  <c r="J73" i="52"/>
  <c r="J74" i="52"/>
  <c r="J65" i="52"/>
  <c r="N69" i="52"/>
  <c r="N70" i="52"/>
  <c r="N71" i="52"/>
  <c r="N72" i="52"/>
  <c r="N73" i="52"/>
  <c r="P74" i="52" s="1"/>
  <c r="N68" i="52"/>
  <c r="P68" i="52" s="1"/>
  <c r="AO352" i="18" l="1"/>
  <c r="AN351" i="18"/>
  <c r="P70" i="52"/>
  <c r="P71" i="52"/>
  <c r="P69" i="52"/>
  <c r="P73" i="52"/>
  <c r="P72" i="52"/>
  <c r="Y207" i="18"/>
  <c r="Y206" i="18"/>
  <c r="N36" i="52"/>
  <c r="N35" i="52"/>
  <c r="Q42" i="52"/>
  <c r="AN350" i="18" l="1"/>
  <c r="AO351" i="18"/>
  <c r="Y205" i="18"/>
  <c r="Y204" i="18"/>
  <c r="N34" i="52"/>
  <c r="N33" i="52"/>
  <c r="P42" i="52"/>
  <c r="AN349" i="18" l="1"/>
  <c r="AO350" i="18"/>
  <c r="D316" i="20"/>
  <c r="AN348" i="18" l="1"/>
  <c r="AO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O348" i="18" l="1"/>
  <c r="AN347" i="18"/>
  <c r="D315" i="20"/>
  <c r="D314" i="20"/>
  <c r="AN346" i="18" l="1"/>
  <c r="AO347" i="18"/>
  <c r="Y203" i="18"/>
  <c r="Y202" i="18"/>
  <c r="N32" i="52"/>
  <c r="N31" i="52"/>
  <c r="AN345" i="18" l="1"/>
  <c r="AO345" i="18" s="1"/>
  <c r="AO346" i="18"/>
  <c r="Y201" i="18"/>
  <c r="Y200" i="18"/>
  <c r="N30" i="52"/>
  <c r="N29" i="52"/>
  <c r="Y199" i="18" l="1"/>
  <c r="Y198" i="18"/>
  <c r="N28" i="52"/>
  <c r="N27" i="52"/>
  <c r="AN344" i="18" l="1"/>
  <c r="D313" i="20"/>
  <c r="AN343" i="18" l="1"/>
  <c r="AO344" i="18"/>
  <c r="J72" i="18"/>
  <c r="J65" i="18" l="1"/>
  <c r="J64" i="18"/>
  <c r="J69" i="18"/>
  <c r="L69" i="18" s="1"/>
  <c r="K72" i="18"/>
  <c r="J67" i="18"/>
  <c r="L67" i="18" s="1"/>
  <c r="AO343" i="18"/>
  <c r="AN342" i="18"/>
  <c r="Y197" i="18"/>
  <c r="Y196" i="18"/>
  <c r="N24" i="52"/>
  <c r="N26" i="52"/>
  <c r="N25" i="52"/>
  <c r="AN341" i="18" l="1"/>
  <c r="AO342" i="18"/>
  <c r="D312" i="20"/>
  <c r="D311" i="20"/>
  <c r="D310" i="20"/>
  <c r="H370" i="20"/>
  <c r="G370" i="20"/>
  <c r="G369" i="20" s="1"/>
  <c r="H319" i="20"/>
  <c r="H318" i="20"/>
  <c r="H317" i="20"/>
  <c r="H316" i="20"/>
  <c r="H315" i="20"/>
  <c r="H314" i="20"/>
  <c r="H313" i="20"/>
  <c r="H312" i="20"/>
  <c r="H311" i="20"/>
  <c r="H310" i="20"/>
  <c r="H309" i="20"/>
  <c r="G368" i="20" l="1"/>
  <c r="J369" i="20"/>
  <c r="I369" i="20"/>
  <c r="K369" i="20"/>
  <c r="AO341" i="18"/>
  <c r="AN340" i="18"/>
  <c r="I370" i="20"/>
  <c r="J370" i="20"/>
  <c r="Y195" i="18"/>
  <c r="Y194" i="18"/>
  <c r="N23" i="52"/>
  <c r="N22" i="52"/>
  <c r="I368" i="20" l="1"/>
  <c r="G367" i="20"/>
  <c r="J368" i="20"/>
  <c r="K368" i="20"/>
  <c r="AN339" i="18"/>
  <c r="AO340" i="18"/>
  <c r="Y193" i="18"/>
  <c r="Y192" i="18"/>
  <c r="N21" i="52"/>
  <c r="N20" i="52"/>
  <c r="G366" i="20" l="1"/>
  <c r="I367" i="20"/>
  <c r="K367" i="20"/>
  <c r="J367" i="20"/>
  <c r="AN338" i="18"/>
  <c r="AO339" i="18"/>
  <c r="D309" i="20"/>
  <c r="J366" i="20" l="1"/>
  <c r="K366" i="20"/>
  <c r="I366" i="20"/>
  <c r="G365" i="20"/>
  <c r="AN337" i="18"/>
  <c r="AO338" i="18"/>
  <c r="D308" i="20"/>
  <c r="G364" i="20" l="1"/>
  <c r="I365" i="20"/>
  <c r="J365" i="20"/>
  <c r="K365" i="20"/>
  <c r="AN336" i="18"/>
  <c r="AO337" i="18"/>
  <c r="D307" i="20"/>
  <c r="I364" i="20" l="1"/>
  <c r="J364" i="20"/>
  <c r="K364" i="20"/>
  <c r="G363" i="20"/>
  <c r="AN335" i="18"/>
  <c r="AO336" i="18"/>
  <c r="AN177" i="18" l="1"/>
  <c r="G362" i="20"/>
  <c r="I363" i="20"/>
  <c r="J363" i="20"/>
  <c r="K363" i="20"/>
  <c r="AN334" i="18"/>
  <c r="AO335" i="18"/>
  <c r="Y191" i="18"/>
  <c r="Y190" i="18"/>
  <c r="AN176" i="18" l="1"/>
  <c r="AO177" i="18"/>
  <c r="K362" i="20"/>
  <c r="G361" i="20"/>
  <c r="I362" i="20"/>
  <c r="J362" i="20"/>
  <c r="AN333" i="18"/>
  <c r="AO334" i="18"/>
  <c r="AN175" i="18" l="1"/>
  <c r="AO176" i="18"/>
  <c r="I361" i="20"/>
  <c r="G360" i="20"/>
  <c r="J361" i="20"/>
  <c r="K361" i="20"/>
  <c r="AN332" i="18"/>
  <c r="AO333" i="18"/>
  <c r="AN174" i="18" l="1"/>
  <c r="AO175" i="18"/>
  <c r="I360" i="20"/>
  <c r="K360" i="20"/>
  <c r="G359" i="20"/>
  <c r="J360" i="20"/>
  <c r="AN331" i="18"/>
  <c r="AO332" i="18"/>
  <c r="D306" i="20"/>
  <c r="AN173" i="18" l="1"/>
  <c r="AO174" i="18"/>
  <c r="G358" i="20"/>
  <c r="J359" i="20"/>
  <c r="K359" i="20"/>
  <c r="I359" i="20"/>
  <c r="AN330" i="18"/>
  <c r="AO331" i="18"/>
  <c r="D305" i="20"/>
  <c r="AN172" i="18" l="1"/>
  <c r="AO173" i="18"/>
  <c r="K358" i="20"/>
  <c r="I358" i="20"/>
  <c r="G357" i="20"/>
  <c r="J358" i="20"/>
  <c r="AN329" i="18"/>
  <c r="AO330" i="18"/>
  <c r="AN171" i="18" l="1"/>
  <c r="AO172" i="18"/>
  <c r="I357" i="20"/>
  <c r="J357" i="20"/>
  <c r="G356" i="20"/>
  <c r="K357" i="20"/>
  <c r="AO329" i="18"/>
  <c r="AN328" i="18"/>
  <c r="D304" i="20"/>
  <c r="Y189" i="18"/>
  <c r="Y188" i="18"/>
  <c r="N17" i="52"/>
  <c r="N16" i="52"/>
  <c r="AN170" i="18" l="1"/>
  <c r="AO171" i="18"/>
  <c r="I356" i="20"/>
  <c r="G355" i="20"/>
  <c r="J356" i="20"/>
  <c r="K356" i="20"/>
  <c r="AN169" i="18" l="1"/>
  <c r="AN168" i="18" s="1"/>
  <c r="AO170" i="18"/>
  <c r="J355" i="20"/>
  <c r="I355" i="20"/>
  <c r="G354" i="20"/>
  <c r="K355" i="20"/>
  <c r="Y187" i="18"/>
  <c r="Y186" i="18"/>
  <c r="D303" i="20"/>
  <c r="D302" i="20"/>
  <c r="Y185" i="18"/>
  <c r="AN167" i="18" l="1"/>
  <c r="AO168" i="18"/>
  <c r="AO169" i="18"/>
  <c r="K354" i="20"/>
  <c r="J354" i="20"/>
  <c r="G353" i="20"/>
  <c r="I354" i="20"/>
  <c r="D301" i="20"/>
  <c r="D300" i="20"/>
  <c r="D299" i="20"/>
  <c r="AO167" i="18" l="1"/>
  <c r="AN166" i="18"/>
  <c r="I353" i="20"/>
  <c r="G352" i="20"/>
  <c r="J353" i="20"/>
  <c r="K353" i="20"/>
  <c r="D298" i="20"/>
  <c r="AO166" i="18" l="1"/>
  <c r="AN165" i="18"/>
  <c r="I352" i="20"/>
  <c r="K352" i="20"/>
  <c r="G351" i="20"/>
  <c r="J352" i="20"/>
  <c r="H297" i="20"/>
  <c r="H298" i="20"/>
  <c r="H299" i="20"/>
  <c r="H300" i="20"/>
  <c r="H301" i="20"/>
  <c r="H302" i="20"/>
  <c r="H303" i="20"/>
  <c r="H304" i="20"/>
  <c r="H305" i="20"/>
  <c r="H306" i="20"/>
  <c r="H307" i="20"/>
  <c r="H308" i="20"/>
  <c r="C371" i="20"/>
  <c r="D297" i="20"/>
  <c r="AO165" i="18" l="1"/>
  <c r="AN164" i="18"/>
  <c r="G350" i="20"/>
  <c r="J351" i="20"/>
  <c r="K351" i="20"/>
  <c r="I351" i="20"/>
  <c r="Y183" i="18"/>
  <c r="AN163" i="18" l="1"/>
  <c r="AO164" i="18"/>
  <c r="I350" i="20"/>
  <c r="J350" i="20"/>
  <c r="K350" i="20"/>
  <c r="G349" i="20"/>
  <c r="D296" i="20"/>
  <c r="D295" i="20"/>
  <c r="AO163" i="18" l="1"/>
  <c r="AN162" i="18"/>
  <c r="K349" i="20"/>
  <c r="I349" i="20"/>
  <c r="J349" i="20"/>
  <c r="G348" i="20"/>
  <c r="Y182" i="18"/>
  <c r="Y181" i="18"/>
  <c r="L11" i="52"/>
  <c r="L10" i="52"/>
  <c r="AN327" i="18"/>
  <c r="AN326" i="18" s="1"/>
  <c r="AN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N161" i="18" l="1"/>
  <c r="AO162" i="18"/>
  <c r="I348" i="20"/>
  <c r="G347" i="20"/>
  <c r="J348" i="20"/>
  <c r="K348" i="20"/>
  <c r="AO328" i="18"/>
  <c r="AO327" i="18"/>
  <c r="AO326" i="18"/>
  <c r="Y180" i="18"/>
  <c r="Y179" i="18"/>
  <c r="AO161" i="18" l="1"/>
  <c r="AN160" i="18"/>
  <c r="G346" i="20"/>
  <c r="J347" i="20"/>
  <c r="I347" i="20"/>
  <c r="K347" i="20"/>
  <c r="D293" i="20"/>
  <c r="AN159" i="18" l="1"/>
  <c r="AO160" i="18"/>
  <c r="K346" i="20"/>
  <c r="G345" i="20"/>
  <c r="J346" i="20"/>
  <c r="I346" i="20"/>
  <c r="Y178" i="18"/>
  <c r="AO159" i="18" l="1"/>
  <c r="AN158" i="18"/>
  <c r="K345" i="20"/>
  <c r="G344" i="20"/>
  <c r="J345" i="20"/>
  <c r="I345" i="20"/>
  <c r="D292" i="20"/>
  <c r="C8" i="36"/>
  <c r="Y177" i="18"/>
  <c r="N5" i="52"/>
  <c r="AO158" i="18" l="1"/>
  <c r="AN157" i="18"/>
  <c r="I344" i="20"/>
  <c r="K344" i="20"/>
  <c r="G343" i="20"/>
  <c r="J344" i="20"/>
  <c r="D291" i="20"/>
  <c r="AN156" i="18" l="1"/>
  <c r="AO157" i="18"/>
  <c r="G342" i="20"/>
  <c r="J343" i="20"/>
  <c r="I343" i="20"/>
  <c r="K343" i="20"/>
  <c r="D290" i="20"/>
  <c r="AN155" i="18" l="1"/>
  <c r="AO156" i="18"/>
  <c r="I342" i="20"/>
  <c r="K342" i="20"/>
  <c r="J342" i="20"/>
  <c r="G341" i="20"/>
  <c r="D289" i="20"/>
  <c r="AN154" i="18" l="1"/>
  <c r="AO155" i="18"/>
  <c r="K341" i="20"/>
  <c r="G340" i="20"/>
  <c r="I341" i="20"/>
  <c r="J341" i="20"/>
  <c r="AN324" i="18"/>
  <c r="AN323" i="18" s="1"/>
  <c r="D288" i="20"/>
  <c r="AN153" i="18" l="1"/>
  <c r="AO154" i="18"/>
  <c r="I340" i="20"/>
  <c r="K340" i="20"/>
  <c r="G339" i="20"/>
  <c r="J340" i="20"/>
  <c r="AO325" i="18"/>
  <c r="AO324" i="18"/>
  <c r="AN152" i="18" l="1"/>
  <c r="AO153" i="18"/>
  <c r="I339" i="20"/>
  <c r="G338" i="20"/>
  <c r="J339" i="20"/>
  <c r="K339" i="20"/>
  <c r="D287" i="20"/>
  <c r="D286" i="20"/>
  <c r="F15" i="52"/>
  <c r="AN151" i="18" l="1"/>
  <c r="AO152" i="18"/>
  <c r="G337" i="20"/>
  <c r="J338" i="20"/>
  <c r="K338" i="20"/>
  <c r="I338" i="20"/>
  <c r="AB3" i="49"/>
  <c r="AB4" i="49"/>
  <c r="AB5" i="49"/>
  <c r="AN150" i="18" l="1"/>
  <c r="AO151" i="18"/>
  <c r="J337" i="20"/>
  <c r="K337" i="20"/>
  <c r="I337" i="20"/>
  <c r="G336" i="20"/>
  <c r="D285" i="20"/>
  <c r="Y176" i="18"/>
  <c r="AO150" i="18" l="1"/>
  <c r="AN149" i="18"/>
  <c r="J336" i="20"/>
  <c r="I336" i="20"/>
  <c r="K336" i="20"/>
  <c r="G335" i="20"/>
  <c r="H282" i="20"/>
  <c r="H283" i="20"/>
  <c r="H284" i="20"/>
  <c r="H285" i="20"/>
  <c r="H286" i="20"/>
  <c r="H287" i="20"/>
  <c r="H288" i="20"/>
  <c r="H289" i="20"/>
  <c r="H290" i="20"/>
  <c r="H291" i="20"/>
  <c r="H292" i="20"/>
  <c r="H293" i="20"/>
  <c r="H294" i="20"/>
  <c r="H295" i="20"/>
  <c r="H296" i="20"/>
  <c r="D284" i="20"/>
  <c r="AN148" i="18" l="1"/>
  <c r="AO149" i="18"/>
  <c r="K335" i="20"/>
  <c r="I335" i="20"/>
  <c r="G334" i="20"/>
  <c r="J335" i="20"/>
  <c r="AN147" i="18" l="1"/>
  <c r="AO148" i="18"/>
  <c r="I334" i="20"/>
  <c r="G333" i="20"/>
  <c r="K334" i="20"/>
  <c r="J334" i="20"/>
  <c r="D283" i="20"/>
  <c r="AO147" i="18" l="1"/>
  <c r="AN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O146" i="18"/>
  <c r="AN145" i="18"/>
  <c r="K332" i="20"/>
  <c r="I332" i="20"/>
  <c r="G331" i="20"/>
  <c r="J332" i="20"/>
  <c r="D273" i="15" l="1"/>
  <c r="F274" i="15"/>
  <c r="AN144" i="18"/>
  <c r="AO145" i="18"/>
  <c r="K331" i="20"/>
  <c r="G330" i="20"/>
  <c r="I331" i="20"/>
  <c r="J331" i="20"/>
  <c r="D281" i="20"/>
  <c r="D272" i="15" l="1"/>
  <c r="F273" i="15"/>
  <c r="AN143" i="18"/>
  <c r="AO144" i="18"/>
  <c r="K330" i="20"/>
  <c r="I330" i="20"/>
  <c r="J330" i="20"/>
  <c r="G329" i="20"/>
  <c r="D280" i="20"/>
  <c r="D271" i="15" l="1"/>
  <c r="F272" i="15"/>
  <c r="AN142" i="18"/>
  <c r="AO143" i="18"/>
  <c r="K329" i="20"/>
  <c r="I329" i="20"/>
  <c r="J329" i="20"/>
  <c r="G328" i="20"/>
  <c r="D279" i="20"/>
  <c r="D270" i="15" l="1"/>
  <c r="F271" i="15"/>
  <c r="AN141" i="18"/>
  <c r="AO142" i="18"/>
  <c r="K328" i="20"/>
  <c r="J328" i="20"/>
  <c r="G327" i="20"/>
  <c r="I328" i="20"/>
  <c r="Y175" i="18"/>
  <c r="D278" i="20"/>
  <c r="D269" i="15" l="1"/>
  <c r="F270" i="15"/>
  <c r="AN140" i="18"/>
  <c r="AO141" i="18"/>
  <c r="J327" i="20"/>
  <c r="K327" i="20"/>
  <c r="G326" i="20"/>
  <c r="I327" i="20"/>
  <c r="E260" i="15"/>
  <c r="E253" i="15"/>
  <c r="E254" i="15"/>
  <c r="E255" i="15"/>
  <c r="E256" i="15"/>
  <c r="E257" i="15"/>
  <c r="E258" i="15"/>
  <c r="E259" i="15"/>
  <c r="D277" i="20"/>
  <c r="D268" i="15" l="1"/>
  <c r="F269" i="15"/>
  <c r="I296" i="15"/>
  <c r="J283" i="15"/>
  <c r="AN139" i="18"/>
  <c r="AO140" i="18"/>
  <c r="J326" i="20"/>
  <c r="K326" i="20"/>
  <c r="G325" i="20"/>
  <c r="I326" i="20"/>
  <c r="D267" i="15" l="1"/>
  <c r="F268" i="15"/>
  <c r="AN138" i="18"/>
  <c r="AO139" i="18"/>
  <c r="I325" i="20"/>
  <c r="K325" i="20"/>
  <c r="J325" i="20"/>
  <c r="G324" i="20"/>
  <c r="U147" i="18"/>
  <c r="D276" i="20"/>
  <c r="H273" i="20"/>
  <c r="H274" i="20"/>
  <c r="H275" i="20"/>
  <c r="H276" i="20"/>
  <c r="H277" i="20"/>
  <c r="H278" i="20"/>
  <c r="H279" i="20"/>
  <c r="H280" i="20"/>
  <c r="H281" i="20"/>
  <c r="D275" i="20"/>
  <c r="D274" i="20"/>
  <c r="D273" i="20"/>
  <c r="D266" i="15" l="1"/>
  <c r="F267" i="15"/>
  <c r="AN137" i="18"/>
  <c r="AO138" i="18"/>
  <c r="K324" i="20"/>
  <c r="I324" i="20"/>
  <c r="G323" i="20"/>
  <c r="J324" i="20"/>
  <c r="D272" i="20"/>
  <c r="D265" i="15" l="1"/>
  <c r="F266" i="15"/>
  <c r="AN136" i="18"/>
  <c r="AO136" i="18" s="1"/>
  <c r="AO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N135" i="18"/>
  <c r="D261" i="15" l="1"/>
  <c r="F262" i="15"/>
  <c r="I319" i="20"/>
  <c r="J319" i="20"/>
  <c r="G318" i="20"/>
  <c r="K319" i="20"/>
  <c r="AN134" i="18"/>
  <c r="AO135" i="18"/>
  <c r="D57" i="54"/>
  <c r="F261" i="15" l="1"/>
  <c r="D260" i="15"/>
  <c r="F260" i="15" s="1"/>
  <c r="J318" i="20"/>
  <c r="K318" i="20"/>
  <c r="G317" i="20"/>
  <c r="I318" i="20"/>
  <c r="AN133" i="18"/>
  <c r="AO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N132" i="18"/>
  <c r="AO133" i="18"/>
  <c r="N53" i="52"/>
  <c r="J316" i="20" l="1"/>
  <c r="I316" i="20"/>
  <c r="G315" i="20"/>
  <c r="K316" i="20"/>
  <c r="AN131" i="18"/>
  <c r="AO132" i="18"/>
  <c r="I315" i="20" l="1"/>
  <c r="K315" i="20"/>
  <c r="J315" i="20"/>
  <c r="G314" i="20"/>
  <c r="AO131" i="18"/>
  <c r="AN130" i="18"/>
  <c r="N4" i="52"/>
  <c r="N3" i="52"/>
  <c r="N2" i="52"/>
  <c r="J314" i="20" l="1"/>
  <c r="G313" i="20"/>
  <c r="K314" i="20"/>
  <c r="I314" i="20"/>
  <c r="N41" i="52"/>
  <c r="M43" i="52" s="1"/>
  <c r="AN129" i="18"/>
  <c r="AO130" i="18"/>
  <c r="K313" i="20" l="1"/>
  <c r="J313" i="20"/>
  <c r="G312" i="20"/>
  <c r="I313" i="20"/>
  <c r="O41" i="52"/>
  <c r="AN128" i="18"/>
  <c r="AO129" i="18"/>
  <c r="D266" i="20"/>
  <c r="H266" i="20"/>
  <c r="G30" i="51"/>
  <c r="H30" i="51"/>
  <c r="D30" i="51"/>
  <c r="I30" i="51" s="1"/>
  <c r="K312" i="20" l="1"/>
  <c r="G311" i="20"/>
  <c r="J312" i="20"/>
  <c r="I312" i="20"/>
  <c r="AO128" i="18"/>
  <c r="AN127" i="18"/>
  <c r="D265" i="20"/>
  <c r="H265" i="20"/>
  <c r="G29" i="51"/>
  <c r="H29" i="51"/>
  <c r="D29" i="51"/>
  <c r="I29" i="51" s="1"/>
  <c r="I311" i="20" l="1"/>
  <c r="J311" i="20"/>
  <c r="K311" i="20"/>
  <c r="G310" i="20"/>
  <c r="AO127" i="18"/>
  <c r="AN126" i="18"/>
  <c r="Y174" i="18"/>
  <c r="G28" i="51"/>
  <c r="H28" i="51"/>
  <c r="D28" i="51"/>
  <c r="I28" i="51" s="1"/>
  <c r="D264" i="20"/>
  <c r="H264" i="20"/>
  <c r="J310" i="20" l="1"/>
  <c r="I310" i="20"/>
  <c r="G309" i="20"/>
  <c r="K310" i="20"/>
  <c r="AO126" i="18"/>
  <c r="AN125" i="18"/>
  <c r="G27" i="51"/>
  <c r="H27" i="51"/>
  <c r="D27" i="51"/>
  <c r="I27" i="51" s="1"/>
  <c r="G26" i="51"/>
  <c r="H26" i="51"/>
  <c r="D26" i="51"/>
  <c r="I26" i="51" s="1"/>
  <c r="K309" i="20" l="1"/>
  <c r="J309" i="20"/>
  <c r="G308" i="20"/>
  <c r="I309" i="20"/>
  <c r="AN124" i="18"/>
  <c r="AO125" i="18"/>
  <c r="Y173" i="18"/>
  <c r="AO124" i="18" l="1"/>
  <c r="AN123" i="18"/>
  <c r="AO123" i="18" l="1"/>
  <c r="AN122" i="18"/>
  <c r="AN121" i="18" l="1"/>
  <c r="AO122" i="18"/>
  <c r="Y167" i="18"/>
  <c r="Y168" i="18"/>
  <c r="Y169" i="18"/>
  <c r="Y170" i="18"/>
  <c r="Y171" i="18"/>
  <c r="Y172" i="18"/>
  <c r="Y184" i="18"/>
  <c r="Y166" i="18"/>
  <c r="AO121" i="18" l="1"/>
  <c r="AN120" i="18"/>
  <c r="N47" i="18"/>
  <c r="T167" i="18" s="1"/>
  <c r="AO120" i="18" l="1"/>
  <c r="AN119" i="18"/>
  <c r="AO119" i="18" l="1"/>
  <c r="AN118" i="18"/>
  <c r="U79" i="18"/>
  <c r="T172" i="18"/>
  <c r="T170" i="18"/>
  <c r="D57" i="51"/>
  <c r="U80" i="18" l="1"/>
  <c r="U81" i="18" s="1"/>
  <c r="U82" i="18" s="1"/>
  <c r="U83" i="18" s="1"/>
  <c r="AN117" i="18"/>
  <c r="AO118" i="18"/>
  <c r="AO117" i="18" l="1"/>
  <c r="AN116" i="18"/>
  <c r="U84" i="18"/>
  <c r="U85" i="18" s="1"/>
  <c r="N37" i="18"/>
  <c r="T169" i="18" s="1"/>
  <c r="S102" i="18" l="1"/>
  <c r="AN115" i="18"/>
  <c r="AO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O115" i="18" l="1"/>
  <c r="AN114" i="18"/>
  <c r="R10" i="49"/>
  <c r="R9" i="49"/>
  <c r="S10" i="49" s="1"/>
  <c r="U86" i="18" l="1"/>
  <c r="U87" i="18" s="1"/>
  <c r="U88" i="18" s="1"/>
  <c r="U89" i="18" s="1"/>
  <c r="AN113" i="18"/>
  <c r="AO114" i="18"/>
  <c r="U20" i="18"/>
  <c r="U21" i="18" s="1"/>
  <c r="AN112" i="18" l="1"/>
  <c r="AO113" i="18"/>
  <c r="S143" i="18" l="1"/>
  <c r="AO112" i="18"/>
  <c r="AN111" i="18"/>
  <c r="D108" i="50"/>
  <c r="AN110" i="18" l="1"/>
  <c r="AO111" i="18"/>
  <c r="AN109" i="18" l="1"/>
  <c r="AO110" i="18"/>
  <c r="L66" i="18" l="1"/>
  <c r="AN108" i="18"/>
  <c r="AO109" i="18"/>
  <c r="N22" i="33"/>
  <c r="R22" i="33" s="1"/>
  <c r="E22" i="33" l="1"/>
  <c r="AN107" i="18"/>
  <c r="AO108" i="18"/>
  <c r="C22" i="33"/>
  <c r="J22" i="33"/>
  <c r="F22" i="33"/>
  <c r="B22" i="33"/>
  <c r="I22" i="33"/>
  <c r="L22" i="33"/>
  <c r="H22" i="33"/>
  <c r="D22" i="33"/>
  <c r="K22" i="33"/>
  <c r="G22" i="33"/>
  <c r="AO107" i="18" l="1"/>
  <c r="AN106" i="18"/>
  <c r="U90" i="18" l="1"/>
  <c r="U91" i="18" s="1"/>
  <c r="U92" i="18" s="1"/>
  <c r="U93" i="18" s="1"/>
  <c r="U94" i="18" s="1"/>
  <c r="U95" i="18" s="1"/>
  <c r="AN105" i="18"/>
  <c r="AO106" i="18"/>
  <c r="AN104" i="18" l="1"/>
  <c r="AO105" i="18"/>
  <c r="AN322" i="18"/>
  <c r="AO323" i="18"/>
  <c r="AN103" i="18" l="1"/>
  <c r="AO104" i="18"/>
  <c r="AN321" i="18"/>
  <c r="AO322" i="18"/>
  <c r="AN102" i="18" l="1"/>
  <c r="AO103" i="18"/>
  <c r="AN320" i="18"/>
  <c r="AO321" i="18"/>
  <c r="U22" i="18"/>
  <c r="U23" i="18" s="1"/>
  <c r="AN101" i="18" l="1"/>
  <c r="AO102" i="18"/>
  <c r="AN319" i="18"/>
  <c r="AO320" i="18"/>
  <c r="U24" i="18"/>
  <c r="U25" i="18" s="1"/>
  <c r="U26" i="18" s="1"/>
  <c r="U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U28" i="18" l="1"/>
  <c r="AO101" i="18"/>
  <c r="AN100" i="18"/>
  <c r="AO319" i="18"/>
  <c r="AN318" i="18"/>
  <c r="D73" i="48"/>
  <c r="L65" i="18" l="1"/>
  <c r="AN99" i="18"/>
  <c r="AO100" i="18"/>
  <c r="AN317" i="18"/>
  <c r="AO318" i="18"/>
  <c r="AO99" i="18" l="1"/>
  <c r="AN98" i="18"/>
  <c r="AN316" i="18"/>
  <c r="AO317" i="18"/>
  <c r="AN97" i="18" l="1"/>
  <c r="AO98" i="18"/>
  <c r="AN315" i="18"/>
  <c r="AO316" i="18"/>
  <c r="U29" i="18" l="1"/>
  <c r="U30" i="18" s="1"/>
  <c r="U31" i="18" s="1"/>
  <c r="AO97" i="18"/>
  <c r="AN96" i="18"/>
  <c r="AN314" i="18"/>
  <c r="AO315" i="18"/>
  <c r="N23" i="33"/>
  <c r="D23" i="33" s="1"/>
  <c r="AO96" i="18" l="1"/>
  <c r="AN95" i="18"/>
  <c r="AN313" i="18"/>
  <c r="AO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N94" i="18"/>
  <c r="AO95" i="18"/>
  <c r="AN312" i="18"/>
  <c r="AO313" i="18"/>
  <c r="N31" i="18"/>
  <c r="P51" i="18" s="1"/>
  <c r="P53" i="18" l="1"/>
  <c r="Q29" i="18"/>
  <c r="Q28" i="18"/>
  <c r="O53" i="18"/>
  <c r="K64" i="18"/>
  <c r="L64" i="18" s="1"/>
  <c r="L72" i="18" s="1"/>
  <c r="Q25" i="18"/>
  <c r="T168" i="18"/>
  <c r="S74" i="18"/>
  <c r="AL515" i="18"/>
  <c r="AL516" i="18" s="1"/>
  <c r="AO94" i="18"/>
  <c r="AN93" i="18"/>
  <c r="AN311" i="18"/>
  <c r="AO312" i="18"/>
  <c r="Q30" i="18" l="1"/>
  <c r="Q46" i="18"/>
  <c r="Q34" i="18"/>
  <c r="N58" i="18"/>
  <c r="Q22" i="18"/>
  <c r="Q45" i="18"/>
  <c r="Q53" i="18"/>
  <c r="Q55" i="18" s="1"/>
  <c r="R53" i="18"/>
  <c r="R56" i="18" s="1"/>
  <c r="P56" i="18"/>
  <c r="Q41" i="18"/>
  <c r="Q23" i="18"/>
  <c r="Q42" i="18"/>
  <c r="Q26" i="18"/>
  <c r="Q27" i="18"/>
  <c r="Q33" i="18"/>
  <c r="Q44" i="18"/>
  <c r="Q32" i="18"/>
  <c r="Q43" i="18"/>
  <c r="Q31" i="18"/>
  <c r="AN92" i="18"/>
  <c r="AO93" i="18"/>
  <c r="AN310" i="18"/>
  <c r="AO311" i="18"/>
  <c r="R55" i="18" l="1"/>
  <c r="P55" i="18"/>
  <c r="Q56" i="18"/>
  <c r="AN91" i="18"/>
  <c r="AO92" i="18"/>
  <c r="AO310" i="18"/>
  <c r="AN309" i="18"/>
  <c r="AN90" i="18" l="1"/>
  <c r="AO91" i="18"/>
  <c r="AN308" i="18"/>
  <c r="AO309" i="18"/>
  <c r="AO90" i="18" l="1"/>
  <c r="AN89" i="18"/>
  <c r="AO308" i="18"/>
  <c r="AN307" i="18"/>
  <c r="AN88" i="18" l="1"/>
  <c r="AO89" i="18"/>
  <c r="AO307" i="18"/>
  <c r="AN306" i="18"/>
  <c r="AO88" i="18" l="1"/>
  <c r="AN87" i="18"/>
  <c r="AN305" i="18"/>
  <c r="AO306" i="18"/>
  <c r="B10" i="36"/>
  <c r="AN86" i="18" l="1"/>
  <c r="AO87" i="18"/>
  <c r="AN304" i="18"/>
  <c r="AO305" i="18"/>
  <c r="AN85" i="18" l="1"/>
  <c r="AO86" i="18"/>
  <c r="AN303" i="18"/>
  <c r="AO304" i="18"/>
  <c r="N25" i="33"/>
  <c r="N24" i="33"/>
  <c r="N21" i="33"/>
  <c r="N20" i="33"/>
  <c r="N19" i="33"/>
  <c r="N18" i="33"/>
  <c r="L18" i="33" s="1"/>
  <c r="N17" i="33"/>
  <c r="N9" i="33"/>
  <c r="N3" i="33"/>
  <c r="N4" i="33"/>
  <c r="AN84" i="18" l="1"/>
  <c r="AO85" i="18"/>
  <c r="AO303" i="18"/>
  <c r="AN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O84" i="18" l="1"/>
  <c r="AN83" i="18"/>
  <c r="AO302" i="18"/>
  <c r="AN301" i="18"/>
  <c r="AC15" i="33"/>
  <c r="AN82" i="18" l="1"/>
  <c r="AO83" i="18"/>
  <c r="AO301" i="18"/>
  <c r="AN300" i="18"/>
  <c r="N16" i="33"/>
  <c r="AN81" i="18" l="1"/>
  <c r="AO82" i="18"/>
  <c r="AO300" i="18"/>
  <c r="AN299" i="18"/>
  <c r="AO299" i="18" s="1"/>
  <c r="L16" i="33"/>
  <c r="J16" i="33"/>
  <c r="F16" i="33"/>
  <c r="C16" i="33"/>
  <c r="K16" i="33"/>
  <c r="G16" i="33"/>
  <c r="H16" i="33"/>
  <c r="D16" i="33"/>
  <c r="I16" i="33"/>
  <c r="E16" i="33"/>
  <c r="B16" i="33"/>
  <c r="R16" i="33"/>
  <c r="U32" i="18" l="1"/>
  <c r="U33" i="18" s="1"/>
  <c r="U34" i="18" s="1"/>
  <c r="U35" i="18" s="1"/>
  <c r="U36" i="18" s="1"/>
  <c r="U37" i="18" s="1"/>
  <c r="U38" i="18" s="1"/>
  <c r="U39" i="18" s="1"/>
  <c r="U40" i="18" s="1"/>
  <c r="AO511" i="18"/>
  <c r="AP511" i="18" s="1"/>
  <c r="AL514" i="18" s="1"/>
  <c r="AN80" i="18"/>
  <c r="AO80" i="18" s="1"/>
  <c r="AO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L517" i="18" l="1"/>
  <c r="AL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N79" i="18" l="1"/>
  <c r="G25" i="46"/>
  <c r="H25" i="46"/>
  <c r="D25" i="46"/>
  <c r="I25" i="46" s="1"/>
  <c r="AN78" i="18" l="1"/>
  <c r="AO79" i="18"/>
  <c r="D88" i="46"/>
  <c r="G24" i="46"/>
  <c r="H24" i="46"/>
  <c r="D24" i="46"/>
  <c r="I24" i="46" s="1"/>
  <c r="G23" i="46"/>
  <c r="H23" i="46"/>
  <c r="D23" i="46"/>
  <c r="I23" i="46" s="1"/>
  <c r="AN77" i="18" l="1"/>
  <c r="AO78" i="18"/>
  <c r="G307" i="20" l="1"/>
  <c r="K308" i="20"/>
  <c r="J308" i="20"/>
  <c r="I308" i="20"/>
  <c r="AN76" i="18"/>
  <c r="AO77" i="18"/>
  <c r="G306" i="20" l="1"/>
  <c r="J307" i="20"/>
  <c r="I307" i="20"/>
  <c r="K307" i="20"/>
  <c r="AN75" i="18"/>
  <c r="AO76" i="18"/>
  <c r="AL288" i="18" l="1"/>
  <c r="AL289" i="18" s="1"/>
  <c r="G305" i="20"/>
  <c r="I306" i="20"/>
  <c r="K306" i="20"/>
  <c r="J306" i="20"/>
  <c r="AN74" i="18"/>
  <c r="AO75" i="18"/>
  <c r="G304" i="20" l="1"/>
  <c r="I305" i="20"/>
  <c r="K305" i="20"/>
  <c r="J305" i="20"/>
  <c r="AN73" i="18"/>
  <c r="AO74" i="18"/>
  <c r="T106" i="18"/>
  <c r="X71" i="18" l="1"/>
  <c r="Z71" i="18" s="1"/>
  <c r="X99" i="18"/>
  <c r="X140" i="18"/>
  <c r="X139" i="18"/>
  <c r="X138" i="18"/>
  <c r="X70" i="18"/>
  <c r="X69" i="18"/>
  <c r="X137" i="18"/>
  <c r="X136" i="18"/>
  <c r="X135" i="18"/>
  <c r="X134" i="18"/>
  <c r="X68" i="18"/>
  <c r="X66" i="18"/>
  <c r="Y66" i="18" s="1"/>
  <c r="X67" i="18"/>
  <c r="X65" i="18"/>
  <c r="X133" i="18"/>
  <c r="X130" i="18"/>
  <c r="Z130" i="18" s="1"/>
  <c r="X131" i="18"/>
  <c r="X132" i="18"/>
  <c r="X64" i="18"/>
  <c r="X63" i="18"/>
  <c r="X62" i="18"/>
  <c r="X59" i="18"/>
  <c r="Z59" i="18" s="1"/>
  <c r="X60" i="18"/>
  <c r="X61" i="18"/>
  <c r="X73" i="18"/>
  <c r="X74" i="18"/>
  <c r="X58" i="18"/>
  <c r="Y58" i="18" s="1"/>
  <c r="X57" i="18"/>
  <c r="X56" i="18"/>
  <c r="X54" i="18"/>
  <c r="X55" i="18"/>
  <c r="X97" i="18"/>
  <c r="X129" i="18"/>
  <c r="X53" i="18"/>
  <c r="X52" i="18"/>
  <c r="Z52" i="18" s="1"/>
  <c r="X51" i="18"/>
  <c r="Y51" i="18" s="1"/>
  <c r="X50" i="18"/>
  <c r="X49" i="18"/>
  <c r="X47" i="18"/>
  <c r="X46" i="18"/>
  <c r="X48" i="18"/>
  <c r="X45" i="18"/>
  <c r="X44" i="18"/>
  <c r="X43" i="18"/>
  <c r="X128" i="18"/>
  <c r="Z128" i="18" s="1"/>
  <c r="X126" i="18"/>
  <c r="Y126" i="18" s="1"/>
  <c r="X127" i="18"/>
  <c r="X125" i="18"/>
  <c r="Y125" i="18" s="1"/>
  <c r="X123" i="18"/>
  <c r="Y123" i="18" s="1"/>
  <c r="X124" i="18"/>
  <c r="X142" i="18"/>
  <c r="X122" i="18"/>
  <c r="Y122" i="18" s="1"/>
  <c r="X121" i="18"/>
  <c r="Y121" i="18" s="1"/>
  <c r="X120" i="18"/>
  <c r="Y120" i="18" s="1"/>
  <c r="X118" i="18"/>
  <c r="Y118" i="18" s="1"/>
  <c r="X119" i="18"/>
  <c r="X96" i="18"/>
  <c r="X117" i="18"/>
  <c r="X95" i="18"/>
  <c r="X101" i="18"/>
  <c r="X98" i="18"/>
  <c r="X100" i="18"/>
  <c r="X94" i="18"/>
  <c r="X93" i="18"/>
  <c r="X92" i="18"/>
  <c r="X91" i="18"/>
  <c r="X90" i="18"/>
  <c r="X89" i="18"/>
  <c r="Y89" i="18" s="1"/>
  <c r="X37" i="18"/>
  <c r="X38" i="18"/>
  <c r="X39" i="18"/>
  <c r="X40" i="18"/>
  <c r="X35" i="18"/>
  <c r="X36" i="18"/>
  <c r="X34" i="18"/>
  <c r="X31" i="18"/>
  <c r="X32" i="18"/>
  <c r="X33" i="18"/>
  <c r="X88" i="18"/>
  <c r="X110" i="18"/>
  <c r="X87" i="18"/>
  <c r="Y87" i="18" s="1"/>
  <c r="X30" i="18"/>
  <c r="X29" i="18"/>
  <c r="X28" i="18"/>
  <c r="Y28" i="18" s="1"/>
  <c r="X86" i="18"/>
  <c r="X85" i="18"/>
  <c r="X27" i="18"/>
  <c r="G303" i="20"/>
  <c r="K304" i="20"/>
  <c r="I304" i="20"/>
  <c r="J304" i="20"/>
  <c r="X26" i="18"/>
  <c r="Y26" i="18" s="1"/>
  <c r="X84" i="18"/>
  <c r="X25" i="18"/>
  <c r="X24" i="18"/>
  <c r="Y24" i="18" s="1"/>
  <c r="X83" i="18"/>
  <c r="X23" i="18"/>
  <c r="Z23" i="18" s="1"/>
  <c r="X82" i="18"/>
  <c r="X81" i="18"/>
  <c r="X80" i="18"/>
  <c r="X22" i="18"/>
  <c r="X21" i="18"/>
  <c r="X20" i="18"/>
  <c r="AN72" i="18"/>
  <c r="AO73" i="18"/>
  <c r="Y71" i="18" l="1"/>
  <c r="Y99" i="18"/>
  <c r="Z99" i="18"/>
  <c r="Y140" i="18"/>
  <c r="Z140" i="18"/>
  <c r="Z138" i="18"/>
  <c r="Y138" i="18"/>
  <c r="Y139" i="18"/>
  <c r="Z139" i="18"/>
  <c r="Y69" i="18"/>
  <c r="Z69" i="18"/>
  <c r="Y70" i="18"/>
  <c r="Z70" i="18"/>
  <c r="Y137" i="18"/>
  <c r="Z137" i="18"/>
  <c r="Y136" i="18"/>
  <c r="Z136" i="18"/>
  <c r="Y135" i="18"/>
  <c r="Z135" i="18"/>
  <c r="Y134" i="18"/>
  <c r="Z134" i="18"/>
  <c r="Y68" i="18"/>
  <c r="Z68" i="18"/>
  <c r="Z66" i="18"/>
  <c r="Z67" i="18"/>
  <c r="Y67" i="18"/>
  <c r="Y65" i="18"/>
  <c r="Z65" i="18"/>
  <c r="Y130" i="18"/>
  <c r="Y133" i="18"/>
  <c r="Z133" i="18"/>
  <c r="Y132" i="18"/>
  <c r="Z132" i="18"/>
  <c r="Z131" i="18"/>
  <c r="Y131" i="18"/>
  <c r="Y59" i="18"/>
  <c r="Y64" i="18"/>
  <c r="Z64" i="18"/>
  <c r="Y63" i="18"/>
  <c r="Z63" i="18"/>
  <c r="Y62" i="18"/>
  <c r="Z62" i="18"/>
  <c r="Y73" i="18"/>
  <c r="Z73" i="18"/>
  <c r="Z61" i="18"/>
  <c r="Y61" i="18"/>
  <c r="Z74" i="18"/>
  <c r="Y74" i="18"/>
  <c r="Y60" i="18"/>
  <c r="Z60" i="18"/>
  <c r="Z58" i="18"/>
  <c r="Y56" i="18"/>
  <c r="Z56" i="18"/>
  <c r="Y57" i="18"/>
  <c r="Z57" i="18"/>
  <c r="Y55" i="18"/>
  <c r="Z55" i="18"/>
  <c r="Y54" i="18"/>
  <c r="Z54" i="18"/>
  <c r="Z97" i="18"/>
  <c r="Y97" i="18"/>
  <c r="Y53" i="18"/>
  <c r="Z53" i="18"/>
  <c r="Y129" i="18"/>
  <c r="Z129" i="18"/>
  <c r="Y52" i="18"/>
  <c r="Z51" i="18"/>
  <c r="Y50" i="18"/>
  <c r="Z50" i="18"/>
  <c r="Y49" i="18"/>
  <c r="Z49" i="18"/>
  <c r="Y128" i="18"/>
  <c r="Y46" i="18"/>
  <c r="Z46" i="18"/>
  <c r="Y47" i="18"/>
  <c r="Z47" i="18"/>
  <c r="Y44" i="18"/>
  <c r="Z44" i="18"/>
  <c r="Z45" i="18"/>
  <c r="Y45" i="18"/>
  <c r="Z43" i="18"/>
  <c r="Y43" i="18"/>
  <c r="Y48" i="18"/>
  <c r="Z48" i="18"/>
  <c r="Z126" i="18"/>
  <c r="Y127" i="18"/>
  <c r="Z127" i="18"/>
  <c r="Z125" i="18"/>
  <c r="Z123" i="18"/>
  <c r="Y124" i="18"/>
  <c r="Z124" i="18"/>
  <c r="Y142" i="18"/>
  <c r="Z142" i="18"/>
  <c r="Z122" i="18"/>
  <c r="Z121" i="18"/>
  <c r="Z120" i="18"/>
  <c r="Z118" i="18"/>
  <c r="Y119" i="18"/>
  <c r="Z119" i="18"/>
  <c r="Y96" i="18"/>
  <c r="Z96" i="18"/>
  <c r="Y117" i="18"/>
  <c r="Z117" i="18"/>
  <c r="Z100" i="18"/>
  <c r="Y100" i="18"/>
  <c r="Z98" i="18"/>
  <c r="Y98" i="18"/>
  <c r="Y101" i="18"/>
  <c r="Z101" i="18"/>
  <c r="Y95" i="18"/>
  <c r="Z95" i="18"/>
  <c r="Z89" i="18"/>
  <c r="Y93" i="18"/>
  <c r="Z93" i="18"/>
  <c r="Y94" i="18"/>
  <c r="Z94" i="18"/>
  <c r="Y92" i="18"/>
  <c r="Z92" i="18"/>
  <c r="Y91" i="18"/>
  <c r="Z91" i="18"/>
  <c r="Z90" i="18"/>
  <c r="Y90" i="18"/>
  <c r="Y40" i="18"/>
  <c r="Z40" i="18"/>
  <c r="Y38" i="18"/>
  <c r="Z38" i="18"/>
  <c r="Y39" i="18"/>
  <c r="Z39" i="18"/>
  <c r="Y37" i="18"/>
  <c r="Z37" i="18"/>
  <c r="Y36" i="18"/>
  <c r="Z36" i="18"/>
  <c r="Y35" i="18"/>
  <c r="Z35" i="18"/>
  <c r="Y31" i="18"/>
  <c r="Z31" i="18"/>
  <c r="Y34" i="18"/>
  <c r="Z34" i="18"/>
  <c r="Y33" i="18"/>
  <c r="Z33" i="18"/>
  <c r="Z32" i="18"/>
  <c r="Y32" i="18"/>
  <c r="Y88" i="18"/>
  <c r="Z88" i="18"/>
  <c r="Z87" i="18"/>
  <c r="Z30" i="18"/>
  <c r="Y30" i="18"/>
  <c r="Y29" i="18"/>
  <c r="Z29" i="18"/>
  <c r="Z28" i="18"/>
  <c r="Y86" i="18"/>
  <c r="Z86" i="18"/>
  <c r="Y85" i="18"/>
  <c r="Z85" i="18"/>
  <c r="Y27" i="18"/>
  <c r="Z27" i="18"/>
  <c r="G302" i="20"/>
  <c r="K303" i="20"/>
  <c r="I303" i="20"/>
  <c r="J303" i="20"/>
  <c r="Z26" i="18"/>
  <c r="Y84" i="18"/>
  <c r="Z84" i="18"/>
  <c r="Y25" i="18"/>
  <c r="Z25" i="18"/>
  <c r="Z24" i="18"/>
  <c r="Y83" i="18"/>
  <c r="Z83" i="18"/>
  <c r="Y23" i="18"/>
  <c r="Y82" i="18"/>
  <c r="Z82" i="18"/>
  <c r="Y81" i="18"/>
  <c r="Z81" i="18"/>
  <c r="Z80" i="18"/>
  <c r="Y80" i="18"/>
  <c r="Y22" i="18"/>
  <c r="Z22" i="18"/>
  <c r="Y20" i="18"/>
  <c r="Z20" i="18"/>
  <c r="Y110" i="18"/>
  <c r="Z110" i="18"/>
  <c r="Y21" i="18"/>
  <c r="Z21" i="18"/>
  <c r="AN71" i="18"/>
  <c r="AO72" i="18"/>
  <c r="G301" i="20" l="1"/>
  <c r="I302" i="20"/>
  <c r="K302" i="20"/>
  <c r="J302" i="20"/>
  <c r="AN70" i="18"/>
  <c r="AO71" i="18"/>
  <c r="G300" i="20" l="1"/>
  <c r="I301" i="20"/>
  <c r="J301" i="20"/>
  <c r="K301" i="20"/>
  <c r="AN69" i="18"/>
  <c r="AO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N68" i="18"/>
  <c r="AO69" i="18"/>
  <c r="N2" i="33"/>
  <c r="G298" i="20" l="1"/>
  <c r="K299" i="20"/>
  <c r="I299" i="20"/>
  <c r="J299" i="20"/>
  <c r="AN67" i="18"/>
  <c r="AO68" i="18"/>
  <c r="I2" i="33"/>
  <c r="E2" i="33"/>
  <c r="J2" i="33"/>
  <c r="F2" i="33"/>
  <c r="K2" i="33"/>
  <c r="G2" i="33"/>
  <c r="D2" i="33"/>
  <c r="C2" i="33"/>
  <c r="H2" i="33"/>
  <c r="D73" i="45"/>
  <c r="G297" i="20" l="1"/>
  <c r="K298" i="20"/>
  <c r="I298" i="20"/>
  <c r="J298" i="20"/>
  <c r="AN66" i="18"/>
  <c r="AO67" i="18"/>
  <c r="F33" i="14"/>
  <c r="F34" i="14"/>
  <c r="F35" i="14"/>
  <c r="F36" i="14"/>
  <c r="F37" i="14"/>
  <c r="F38" i="14"/>
  <c r="F39" i="14"/>
  <c r="F40" i="14"/>
  <c r="F41" i="14"/>
  <c r="F42" i="14"/>
  <c r="F43" i="14"/>
  <c r="E62" i="14"/>
  <c r="E61" i="14" s="1"/>
  <c r="B63" i="14"/>
  <c r="G61" i="14" l="1"/>
  <c r="E60" i="14"/>
  <c r="I297" i="20"/>
  <c r="K297" i="20"/>
  <c r="J297" i="20"/>
  <c r="G296" i="20"/>
  <c r="AN65" i="18"/>
  <c r="AO66" i="18"/>
  <c r="E59" i="14" l="1"/>
  <c r="G60" i="14"/>
  <c r="G295" i="20"/>
  <c r="K296" i="20"/>
  <c r="I296" i="20"/>
  <c r="J296" i="20"/>
  <c r="AN64" i="18"/>
  <c r="AO65" i="18"/>
  <c r="E58" i="14" l="1"/>
  <c r="G59" i="14"/>
  <c r="G294" i="20"/>
  <c r="K295" i="20"/>
  <c r="J295" i="20"/>
  <c r="I295" i="20"/>
  <c r="AO64" i="18"/>
  <c r="AM63" i="18"/>
  <c r="G58" i="14" l="1"/>
  <c r="E57" i="14"/>
  <c r="G293" i="20"/>
  <c r="I294" i="20"/>
  <c r="J294" i="20"/>
  <c r="K294" i="20"/>
  <c r="AM62" i="18"/>
  <c r="AN63" i="18"/>
  <c r="G57" i="14" l="1"/>
  <c r="E56" i="14"/>
  <c r="G292" i="20"/>
  <c r="K293" i="20"/>
  <c r="J293" i="20"/>
  <c r="I293" i="20"/>
  <c r="AN61" i="18"/>
  <c r="AN62" i="18"/>
  <c r="E55" i="14" l="1"/>
  <c r="G56" i="14"/>
  <c r="J292" i="20"/>
  <c r="I292" i="20"/>
  <c r="G291" i="20"/>
  <c r="K292" i="20"/>
  <c r="AO61" i="18"/>
  <c r="AN60" i="18"/>
  <c r="E54" i="14" l="1"/>
  <c r="G55" i="14"/>
  <c r="G290" i="20"/>
  <c r="J291" i="20"/>
  <c r="K291" i="20"/>
  <c r="I291" i="20"/>
  <c r="AN59" i="18"/>
  <c r="AO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U42" i="18" l="1"/>
  <c r="E53" i="14"/>
  <c r="G54" i="14"/>
  <c r="J290" i="20"/>
  <c r="G289" i="20"/>
  <c r="I290" i="20"/>
  <c r="K290" i="20"/>
  <c r="AO59" i="18"/>
  <c r="AN58" i="18"/>
  <c r="X41" i="18" l="1"/>
  <c r="G53" i="14"/>
  <c r="E52" i="14"/>
  <c r="G288" i="20"/>
  <c r="K289" i="20"/>
  <c r="J289" i="20"/>
  <c r="I289" i="20"/>
  <c r="AN57" i="18"/>
  <c r="AO58" i="18"/>
  <c r="Y41" i="18" l="1"/>
  <c r="Z41" i="18"/>
  <c r="E51" i="14"/>
  <c r="G52" i="14"/>
  <c r="J288" i="20"/>
  <c r="K288" i="20"/>
  <c r="G287" i="20"/>
  <c r="I288" i="20"/>
  <c r="AN56" i="18"/>
  <c r="AO57" i="18"/>
  <c r="B105" i="13"/>
  <c r="B196" i="13" s="1"/>
  <c r="X42" i="18" l="1"/>
  <c r="Y42" i="18" s="1"/>
  <c r="G51" i="14"/>
  <c r="E50" i="14"/>
  <c r="G286" i="20"/>
  <c r="J287" i="20"/>
  <c r="I287" i="20"/>
  <c r="K287" i="20"/>
  <c r="F105" i="13"/>
  <c r="AO56" i="18"/>
  <c r="AN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Z42" i="18" l="1"/>
  <c r="E49" i="14"/>
  <c r="G50" i="14"/>
  <c r="G285" i="20"/>
  <c r="J286" i="20"/>
  <c r="I286" i="20"/>
  <c r="K286" i="20"/>
  <c r="AO55" i="18"/>
  <c r="AN54" i="18"/>
  <c r="G49" i="14" l="1"/>
  <c r="E48" i="14"/>
  <c r="G284" i="20"/>
  <c r="K285" i="20"/>
  <c r="J285" i="20"/>
  <c r="I285" i="20"/>
  <c r="AN53" i="18"/>
  <c r="AO54" i="18"/>
  <c r="G48" i="14" l="1"/>
  <c r="E47" i="14"/>
  <c r="G283" i="20"/>
  <c r="K284" i="20"/>
  <c r="I284" i="20"/>
  <c r="J284" i="20"/>
  <c r="AO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O282" i="18"/>
  <c r="G250" i="20"/>
  <c r="I251" i="20"/>
  <c r="J251" i="20"/>
  <c r="K251" i="20"/>
  <c r="F246" i="15"/>
  <c r="D245" i="15"/>
  <c r="E173" i="13"/>
  <c r="G174" i="13"/>
  <c r="U2123" i="41" l="1"/>
  <c r="V2123" i="41" s="1"/>
  <c r="X2123" i="41" s="1"/>
  <c r="G249" i="20"/>
  <c r="J250" i="20"/>
  <c r="K250" i="20"/>
  <c r="I250" i="20"/>
  <c r="F245" i="15"/>
  <c r="D244" i="15"/>
  <c r="AP282" i="18"/>
  <c r="AL287" i="18" s="1"/>
  <c r="E172" i="13"/>
  <c r="G173" i="13"/>
  <c r="D62" i="38"/>
  <c r="AL291" i="18" l="1"/>
  <c r="J249" i="20"/>
  <c r="I249" i="20"/>
  <c r="K249" i="20"/>
  <c r="G248" i="20"/>
  <c r="F244" i="15"/>
  <c r="D243" i="15"/>
  <c r="AL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P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N6" i="18"/>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56" i="18" l="1"/>
  <c r="G127" i="20"/>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G113" i="20" l="1"/>
  <c r="J114" i="20"/>
  <c r="I114" i="20"/>
  <c r="K114" i="20"/>
  <c r="E33" i="13"/>
  <c r="G34" i="13"/>
  <c r="F108" i="15"/>
  <c r="C20" i="18"/>
  <c r="G20" i="14"/>
  <c r="G21" i="14"/>
  <c r="G112" i="20" l="1"/>
  <c r="K113" i="20"/>
  <c r="J113" i="20"/>
  <c r="I113" i="20"/>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X111" i="18" l="1"/>
  <c r="Y111" i="18" s="1"/>
  <c r="U112" i="18"/>
  <c r="U113" i="18" s="1"/>
  <c r="U114" i="18" s="1"/>
  <c r="G19" i="20"/>
  <c r="I20" i="20"/>
  <c r="J20" i="20"/>
  <c r="K20" i="20"/>
  <c r="F14" i="15"/>
  <c r="U115" i="18" l="1"/>
  <c r="Z111" i="18"/>
  <c r="X112" i="18"/>
  <c r="G18" i="20"/>
  <c r="J19" i="20"/>
  <c r="K19" i="20"/>
  <c r="I19" i="20"/>
  <c r="F13" i="15"/>
  <c r="U116" i="18" l="1"/>
  <c r="X116" i="18" s="1"/>
  <c r="Y112" i="18"/>
  <c r="Z112" i="18"/>
  <c r="G17" i="20"/>
  <c r="K18" i="20"/>
  <c r="I18" i="20"/>
  <c r="J18" i="20"/>
  <c r="F12" i="15"/>
  <c r="Z116" i="18" l="1"/>
  <c r="Y116"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X113" i="18" l="1"/>
  <c r="Z113" i="18" s="1"/>
  <c r="G8" i="20"/>
  <c r="J9" i="20"/>
  <c r="K9" i="20"/>
  <c r="I9" i="20"/>
  <c r="F2" i="15"/>
  <c r="F3" i="15"/>
  <c r="Y113"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X114" i="18" l="1"/>
  <c r="Y114" i="18" s="1"/>
  <c r="Z114" i="18" l="1"/>
  <c r="X115" i="18" l="1"/>
  <c r="Y115" i="18" s="1"/>
  <c r="Z115" i="18" l="1"/>
  <c r="K50" i="60"/>
  <c r="K5" i="60"/>
  <c r="L5" i="60" s="1"/>
  <c r="L10" i="60" s="1"/>
  <c r="L12" i="60" s="1"/>
  <c r="T178" i="18"/>
  <c r="V614" i="18" s="1"/>
  <c r="X617" i="18" l="1"/>
  <c r="W627" i="18"/>
  <c r="X627" i="18" s="1"/>
  <c r="X620" i="18" l="1"/>
  <c r="Y154" i="18"/>
  <c r="Y158" i="18" s="1"/>
  <c r="Y152" i="18"/>
  <c r="Y153" i="18"/>
  <c r="N52" i="18" s="1"/>
  <c r="N55" i="18" s="1"/>
  <c r="Y151" i="18"/>
  <c r="Y157" i="18" l="1"/>
  <c r="Z154" i="18" s="1"/>
  <c r="AB154" i="18" s="1"/>
  <c r="Y159" i="18"/>
  <c r="Y160" i="18" s="1"/>
  <c r="L32" i="18" s="1"/>
  <c r="L56" i="18" s="1"/>
  <c r="AA154" i="18" l="1"/>
  <c r="Z153" i="18"/>
  <c r="AB153" i="18" s="1"/>
  <c r="Z152" i="18"/>
  <c r="AB152" i="18" s="1"/>
  <c r="Z151" i="18"/>
  <c r="AA151" i="18" s="1"/>
  <c r="L57" i="18"/>
  <c r="F24" i="18"/>
  <c r="G24" i="18" s="1"/>
  <c r="L58" i="18"/>
  <c r="AA152" i="18" l="1"/>
  <c r="AA153" i="18"/>
  <c r="AB151" i="18"/>
</calcChain>
</file>

<file path=xl/sharedStrings.xml><?xml version="1.0" encoding="utf-8"?>
<sst xmlns="http://schemas.openxmlformats.org/spreadsheetml/2006/main" count="17226" uniqueCount="7068">
  <si>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</si>
  <si>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</si>
  <si>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</si>
  <si>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</si>
  <si>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</si>
  <si>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</si>
  <si>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</si>
  <si>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</si>
  <si>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</si>
  <si>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</si>
  <si>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</si>
  <si>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</si>
  <si>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</si>
  <si>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</si>
  <si>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</si>
  <si>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</si>
  <si>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</si>
  <si>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</si>
  <si>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</si>
  <si>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</si>
  <si>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</si>
  <si>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</si>
  <si>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</si>
  <si>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</si>
  <si>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</si>
  <si>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</si>
  <si>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</si>
  <si>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</si>
  <si>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</si>
  <si>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</si>
  <si>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</si>
  <si>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</si>
  <si>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</si>
  <si>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</si>
  <si>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</si>
  <si>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</si>
  <si>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</si>
  <si>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</si>
  <si>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</si>
  <si>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</si>
  <si>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</si>
  <si>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</si>
  <si>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</si>
  <si>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</si>
  <si>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</si>
  <si>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</si>
  <si>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</si>
  <si>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</si>
  <si>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</si>
  <si>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</si>
  <si>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</si>
  <si>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</si>
  <si>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</si>
  <si>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</si>
  <si>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</si>
  <si>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</si>
  <si>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</si>
  <si>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</si>
  <si>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</si>
  <si>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</si>
  <si>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</si>
  <si>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</si>
  <si>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</si>
  <si>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</si>
  <si>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</si>
  <si>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</si>
  <si>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</si>
  <si>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</si>
  <si>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</si>
  <si>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</si>
  <si>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</si>
  <si>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</si>
  <si>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</si>
  <si>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</si>
  <si>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</si>
  <si>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</si>
  <si>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</si>
  <si>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</si>
  <si>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</si>
  <si>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</si>
  <si>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</si>
  <si>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</si>
  <si>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</si>
  <si>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</si>
  <si>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</si>
  <si>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</si>
  <si>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</si>
  <si>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</si>
  <si>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</si>
  <si>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</si>
  <si>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</si>
  <si>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</si>
  <si>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</si>
  <si>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</si>
  <si>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</si>
  <si>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</si>
  <si>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</si>
  <si>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</si>
  <si>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</si>
  <si>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</si>
  <si>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</si>
  <si>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</si>
  <si>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</si>
  <si>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</si>
  <si>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</si>
  <si>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</si>
  <si>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</si>
  <si>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</si>
  <si>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</si>
  <si>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</si>
  <si>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</si>
  <si>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</si>
  <si>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</si>
  <si>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</si>
  <si>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</si>
  <si>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</si>
  <si>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</si>
  <si>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</si>
  <si>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</si>
  <si>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</si>
  <si>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</si>
  <si>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</si>
  <si>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</si>
  <si>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</si>
  <si>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</si>
  <si>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</si>
  <si>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</si>
  <si>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</si>
  <si>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</si>
  <si>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</si>
  <si>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</si>
  <si>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</si>
  <si>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</si>
  <si>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</si>
  <si>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</si>
  <si>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</si>
  <si>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</si>
  <si>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</si>
  <si>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</si>
  <si>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</si>
  <si>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</si>
  <si>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</si>
  <si>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</si>
  <si>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</si>
  <si>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</si>
  <si>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</si>
  <si>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</si>
  <si>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</si>
  <si>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</si>
  <si>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</si>
  <si>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</si>
  <si>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</si>
  <si>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</si>
  <si>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</si>
  <si>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</si>
  <si>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</si>
  <si>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</si>
  <si>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</si>
  <si>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</si>
  <si>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</si>
  <si>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</si>
  <si>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</si>
  <si>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</si>
  <si>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</si>
  <si>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</si>
  <si>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</si>
  <si>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</si>
  <si>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</si>
  <si>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</si>
  <si>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</si>
  <si>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</si>
  <si>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</si>
  <si>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</si>
  <si>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</si>
  <si>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</si>
  <si>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</si>
  <si>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</si>
  <si>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</si>
  <si>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</si>
  <si>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</si>
  <si>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</si>
  <si>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</si>
  <si>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</si>
  <si>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</si>
  <si>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</si>
  <si>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</si>
  <si>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</si>
  <si>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</si>
  <si>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</si>
  <si>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</si>
  <si>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</si>
  <si>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</si>
  <si>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</si>
  <si>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</si>
  <si>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</si>
  <si>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</si>
  <si>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</si>
  <si>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</si>
  <si>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</si>
  <si>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</si>
  <si>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</si>
  <si>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</si>
  <si>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</si>
  <si>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</si>
  <si>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</si>
  <si>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</si>
  <si>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</si>
  <si>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</si>
  <si>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</si>
  <si>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</si>
  <si>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</si>
  <si>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</si>
  <si>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</si>
  <si>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</si>
  <si>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</si>
  <si>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</si>
  <si>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</si>
  <si>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</si>
  <si>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</si>
  <si>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</si>
  <si>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</si>
  <si>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</si>
  <si>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</si>
  <si>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</si>
  <si>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</si>
  <si>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</si>
  <si>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</si>
  <si>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</si>
  <si>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</si>
  <si>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</si>
  <si>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</si>
  <si>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</si>
  <si>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</si>
  <si>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</si>
  <si>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</si>
  <si>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</si>
  <si>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</si>
  <si>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</si>
  <si>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</si>
  <si>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</si>
  <si>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</si>
  <si>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</si>
  <si>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</si>
  <si>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</si>
  <si>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</si>
  <si>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</si>
  <si>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</si>
  <si>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</si>
  <si>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</si>
  <si>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</si>
  <si>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</si>
  <si>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</si>
  <si>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</si>
  <si>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</si>
  <si>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</si>
  <si>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</si>
  <si>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</si>
  <si>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</si>
  <si>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</si>
  <si>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</si>
  <si>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</si>
  <si>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</si>
  <si>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</si>
  <si>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</si>
  <si>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</si>
  <si>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</si>
  <si>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</si>
  <si>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</si>
  <si>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</si>
  <si>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</si>
  <si>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</si>
  <si>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</si>
  <si>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</si>
  <si>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</si>
  <si>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</si>
  <si>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</si>
  <si>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</si>
  <si>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</si>
  <si>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</si>
  <si>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</si>
  <si>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</si>
  <si>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</si>
  <si>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</si>
  <si>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</si>
  <si>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</si>
  <si>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</si>
  <si>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</si>
  <si>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</si>
  <si>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</si>
  <si>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</si>
  <si>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</si>
  <si>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</si>
  <si>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</si>
  <si>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</si>
  <si>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</si>
  <si>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</si>
  <si>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</si>
  <si>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</si>
  <si>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</si>
  <si>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</si>
  <si>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</si>
  <si>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</si>
  <si>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</si>
  <si>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</si>
  <si>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پوشک</t>
  </si>
  <si>
    <t>لباس</t>
  </si>
  <si>
    <t>نان</t>
  </si>
  <si>
    <t>از بن کارت ملت مریم 742 گرفتم و 500 به حساب ملت مریم ریختم</t>
  </si>
  <si>
    <t xml:space="preserve"> شماره 6280231491336490</t>
  </si>
  <si>
    <t>شماره 6280231491338110</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</si>
  <si>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</si>
  <si>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</si>
  <si>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</si>
  <si>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</si>
  <si>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</si>
  <si>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</si>
  <si>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</si>
  <si>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</si>
  <si>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</si>
  <si>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</si>
  <si>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</si>
  <si>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</si>
  <si>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</si>
  <si>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</si>
  <si>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</si>
  <si>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</si>
  <si>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</si>
  <si>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</si>
  <si>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</si>
  <si>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</si>
  <si>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</si>
  <si>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</si>
  <si>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</si>
  <si>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</si>
  <si>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</si>
  <si>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</si>
  <si>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</si>
  <si>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</si>
  <si>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</si>
  <si>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</si>
  <si>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</si>
  <si>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</si>
  <si>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</si>
  <si>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</si>
  <si>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</si>
  <si>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</si>
  <si>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</si>
  <si>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</si>
  <si>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</si>
  <si>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</si>
  <si>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</si>
  <si>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</si>
  <si>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</si>
  <si>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</si>
  <si>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</si>
  <si>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</si>
  <si>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</si>
  <si>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</si>
  <si>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</si>
  <si>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</si>
  <si>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</si>
  <si>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</si>
  <si>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</si>
  <si>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</si>
  <si>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</si>
  <si>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</si>
  <si>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</si>
  <si>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</si>
  <si>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</si>
  <si>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</si>
  <si>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</si>
  <si>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</si>
  <si>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</si>
  <si>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</si>
  <si>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</si>
  <si>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</si>
  <si>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</si>
  <si>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</si>
  <si>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</si>
  <si>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</si>
  <si>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</si>
  <si>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</si>
  <si>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</si>
  <si>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</si>
  <si>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</si>
  <si>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</si>
  <si>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</si>
  <si>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</si>
  <si>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</si>
  <si>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</si>
  <si>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</si>
  <si>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</si>
  <si>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</si>
  <si>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</si>
  <si>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</si>
  <si>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</si>
  <si>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</si>
  <si>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</si>
  <si>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</si>
  <si>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</si>
  <si>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</si>
  <si>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</si>
  <si>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</si>
  <si>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</si>
  <si>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</si>
  <si>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</si>
  <si>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</si>
  <si>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</si>
  <si>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</si>
  <si>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</si>
  <si>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</si>
  <si>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</si>
  <si>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</si>
  <si>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</si>
  <si>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</si>
  <si>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</si>
  <si>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</si>
  <si>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</si>
  <si>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</si>
  <si>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</si>
  <si>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</si>
  <si>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</si>
  <si>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</si>
  <si>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</si>
  <si>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</si>
  <si>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</si>
  <si>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</si>
  <si>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</si>
  <si>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</si>
  <si>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</si>
  <si>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</si>
  <si>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</si>
  <si>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</si>
  <si>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</si>
  <si>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</si>
  <si>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</si>
  <si>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</si>
  <si>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</si>
  <si>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</si>
  <si>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</si>
  <si>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</si>
  <si>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</si>
  <si>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</si>
  <si>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</si>
  <si>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</si>
  <si>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</si>
  <si>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</si>
  <si>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</si>
  <si>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</si>
  <si>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</si>
  <si>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</si>
  <si>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</si>
  <si>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</si>
  <si>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</si>
  <si>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</si>
  <si>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</si>
  <si>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</si>
  <si>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</si>
  <si>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</si>
  <si>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</si>
  <si>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</si>
  <si>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</si>
  <si>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</si>
  <si>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</si>
  <si>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</si>
  <si>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</si>
  <si>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</si>
  <si>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</si>
  <si>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</si>
  <si>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</si>
  <si>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</si>
  <si>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</si>
  <si>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</si>
  <si>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</si>
  <si>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</si>
  <si>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</si>
  <si>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</si>
  <si>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</si>
  <si>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</si>
  <si>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</si>
  <si>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</si>
  <si>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</si>
  <si>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</si>
  <si>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</si>
  <si>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</si>
  <si>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</si>
  <si>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</si>
  <si>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</si>
  <si>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</si>
  <si>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</si>
  <si>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</si>
  <si>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</si>
  <si>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</si>
  <si>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</si>
  <si>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</si>
  <si>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</si>
  <si>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</si>
  <si>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</si>
  <si>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</si>
  <si>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</si>
  <si>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</si>
  <si>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</si>
  <si>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</si>
  <si>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</si>
  <si>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</si>
  <si>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</si>
  <si>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</si>
  <si>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</si>
  <si>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</si>
  <si>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</si>
  <si>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</si>
  <si>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</si>
  <si>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</si>
  <si>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</si>
  <si>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</si>
  <si>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</si>
  <si>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</si>
  <si>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</si>
  <si>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</si>
  <si>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</si>
  <si>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</si>
  <si>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</si>
  <si>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</si>
  <si>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</si>
  <si>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</si>
  <si>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</si>
  <si>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</si>
  <si>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</si>
  <si>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</si>
  <si>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</si>
  <si>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</si>
  <si>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</si>
  <si>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</si>
  <si>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</si>
  <si>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</si>
  <si>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</si>
  <si>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</si>
  <si>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</si>
  <si>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</si>
  <si>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</si>
  <si>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</si>
  <si>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</si>
  <si>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</si>
  <si>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</si>
  <si>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</si>
  <si>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</si>
  <si>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</si>
  <si>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</si>
  <si>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</si>
  <si>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</si>
  <si>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</si>
  <si>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</si>
  <si>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</si>
  <si>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</si>
  <si>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</si>
  <si>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</si>
  <si>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</si>
  <si>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</si>
  <si>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</si>
  <si>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</si>
  <si>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</si>
  <si>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</si>
  <si>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</si>
  <si>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</si>
  <si>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</si>
  <si>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</si>
  <si>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</si>
  <si>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</si>
  <si>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</si>
  <si>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</si>
  <si>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</si>
  <si>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</si>
  <si>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</si>
  <si>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</si>
  <si>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</si>
  <si>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</si>
  <si>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</si>
  <si>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</si>
  <si>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</si>
  <si>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</si>
  <si>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</si>
  <si>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</si>
  <si>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</si>
  <si>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</si>
  <si>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</si>
  <si>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</si>
  <si>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</si>
  <si>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</si>
  <si>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</si>
  <si>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</si>
  <si>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</si>
  <si>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</si>
  <si>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</si>
  <si>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</si>
  <si>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</si>
  <si>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</si>
  <si>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</si>
  <si>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</si>
  <si>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</si>
  <si>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</si>
  <si>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</si>
  <si>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</si>
  <si>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</si>
  <si>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</si>
  <si>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</si>
  <si>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</si>
  <si>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</si>
  <si>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</si>
  <si>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</si>
  <si>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</si>
  <si>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</si>
  <si>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</si>
  <si>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</si>
  <si>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</si>
  <si>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</si>
  <si>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</si>
  <si>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</si>
  <si>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</si>
  <si>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</si>
  <si>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</si>
  <si>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</si>
  <si>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</si>
  <si>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</si>
  <si>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</si>
  <si>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</si>
  <si>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</si>
  <si>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</si>
  <si>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</si>
  <si>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</si>
  <si>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</si>
  <si>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</si>
  <si>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</si>
  <si>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</si>
  <si>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</si>
  <si>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</si>
  <si>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</si>
  <si>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</si>
  <si>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</si>
  <si>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</si>
  <si>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</si>
  <si>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</si>
  <si>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</si>
  <si>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</si>
  <si>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</si>
  <si>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</si>
  <si>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</si>
  <si>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</si>
  <si>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</si>
  <si>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</si>
  <si>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</si>
  <si>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</si>
  <si>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</si>
  <si>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</si>
  <si>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</si>
  <si>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</si>
  <si>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</si>
  <si>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</si>
  <si>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</si>
  <si>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</si>
  <si>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</si>
  <si>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</si>
  <si>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</si>
  <si>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</si>
  <si>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</si>
  <si>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</si>
  <si>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</si>
  <si>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</si>
  <si>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</si>
  <si>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</si>
  <si>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</si>
  <si>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</si>
  <si>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</si>
  <si>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</si>
  <si>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</si>
  <si>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</si>
  <si>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</si>
  <si>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</si>
  <si>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</si>
  <si>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</si>
  <si>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</si>
  <si>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</si>
  <si>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</si>
  <si>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</si>
  <si>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</si>
  <si>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</si>
  <si>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</si>
  <si>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</si>
  <si>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</si>
  <si>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</si>
  <si>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</si>
  <si>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</si>
  <si>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</si>
  <si>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</si>
  <si>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</si>
  <si>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</si>
  <si>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</si>
  <si>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</si>
  <si>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</si>
  <si>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</si>
  <si>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</si>
  <si>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</si>
  <si>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</si>
  <si>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</si>
  <si>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</si>
  <si>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</si>
  <si>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</si>
  <si>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</si>
  <si>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</si>
  <si>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</si>
  <si>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</si>
  <si>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</si>
  <si>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</si>
  <si>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</si>
  <si>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</si>
  <si>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</si>
  <si>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</si>
  <si>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</si>
  <si>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</si>
  <si>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</si>
  <si>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</si>
  <si>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</si>
  <si>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</si>
  <si>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</si>
  <si>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</si>
  <si>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</si>
  <si>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</si>
  <si>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</si>
  <si>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</si>
  <si>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</si>
  <si>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</si>
  <si>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</si>
  <si>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</si>
  <si>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</si>
  <si>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</si>
  <si>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</si>
  <si>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</si>
  <si>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</si>
  <si>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</si>
  <si>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</si>
  <si>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</si>
  <si>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</si>
  <si>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</si>
  <si>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</si>
  <si>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</si>
  <si>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</si>
  <si>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</si>
  <si>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</si>
  <si>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</si>
  <si>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</si>
  <si>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</si>
  <si>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</si>
  <si>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</si>
  <si>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</si>
  <si>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</si>
  <si>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</si>
  <si>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</si>
  <si>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</si>
  <si>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</si>
  <si>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</si>
  <si>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</si>
  <si>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</si>
  <si>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</si>
  <si>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</si>
  <si>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</si>
  <si>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</si>
  <si>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</si>
  <si>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</si>
  <si>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</si>
  <si>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</si>
  <si>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</si>
  <si>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</si>
  <si>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</si>
  <si>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</si>
  <si>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</si>
  <si>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</si>
  <si>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</si>
  <si>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</si>
  <si>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</si>
  <si>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</si>
  <si>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</si>
  <si>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</si>
  <si>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</si>
  <si>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</si>
  <si>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</si>
  <si>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</si>
  <si>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</si>
  <si>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</si>
  <si>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</si>
  <si>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</si>
  <si>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</si>
  <si>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</si>
  <si>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</si>
  <si>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</si>
  <si>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</si>
  <si>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</si>
  <si>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</si>
  <si>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</si>
  <si>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</si>
  <si>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</si>
  <si>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</si>
  <si>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</si>
  <si>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</si>
  <si>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</si>
  <si>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</si>
  <si>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</si>
  <si>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</si>
  <si>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</si>
  <si>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</si>
  <si>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</si>
  <si>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</si>
  <si>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</si>
  <si>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</si>
  <si>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</si>
  <si>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</si>
  <si>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</si>
  <si>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</si>
  <si>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</si>
  <si>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</si>
  <si>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</si>
  <si>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</si>
  <si>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</si>
  <si>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</si>
  <si>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</si>
  <si>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</si>
  <si>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</si>
  <si>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</si>
  <si>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</si>
  <si>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</si>
  <si>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</si>
  <si>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</si>
  <si>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</si>
  <si>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</si>
  <si>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</si>
  <si>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</si>
  <si>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</si>
  <si>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</si>
  <si>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</si>
  <si>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</si>
  <si>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</si>
  <si>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</si>
  <si>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</si>
  <si>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</si>
  <si>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</si>
  <si>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</si>
  <si>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</si>
  <si>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</si>
  <si>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</si>
  <si>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</si>
  <si>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</si>
  <si>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</si>
  <si>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</si>
  <si>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</si>
  <si>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</si>
  <si>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</si>
  <si>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</si>
  <si>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</si>
  <si>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</si>
  <si>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</si>
  <si>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</si>
  <si>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</si>
  <si>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</si>
  <si>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</si>
  <si>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</si>
  <si>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</si>
  <si>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</si>
  <si>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</si>
  <si>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</si>
  <si>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</si>
  <si>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</si>
  <si>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</si>
  <si>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</si>
  <si>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</si>
  <si>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</si>
  <si>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</si>
  <si>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</si>
  <si>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</si>
  <si>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</si>
  <si>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</si>
  <si>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</si>
  <si>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</si>
  <si>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</si>
  <si>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</si>
  <si>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</si>
  <si>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</si>
  <si>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</si>
  <si>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</si>
  <si>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</si>
  <si>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</si>
  <si>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</si>
  <si>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</si>
  <si>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</si>
  <si>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</si>
  <si>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</si>
  <si>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</si>
  <si>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</si>
  <si>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</si>
  <si>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</si>
  <si>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</si>
  <si>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</si>
  <si>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</si>
  <si>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</si>
  <si>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</si>
  <si>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</si>
  <si>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</si>
  <si>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</si>
  <si>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</si>
  <si>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</si>
  <si>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</si>
  <si>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</si>
  <si>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</si>
  <si>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</si>
  <si>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</si>
  <si>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</si>
  <si>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</si>
  <si>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</si>
  <si>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</si>
  <si>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</si>
  <si>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</si>
  <si>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</si>
  <si>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</si>
  <si>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</si>
  <si>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</si>
  <si>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</si>
  <si>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</si>
  <si>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</si>
  <si>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</si>
  <si>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</si>
  <si>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</si>
  <si>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</si>
  <si>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</si>
  <si>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</si>
  <si>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</si>
  <si>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</si>
  <si>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</si>
  <si>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</si>
  <si>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</si>
  <si>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</si>
  <si>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</si>
  <si>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</si>
  <si>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</si>
  <si>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</si>
  <si>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</si>
  <si>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</si>
  <si>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</si>
  <si>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</si>
  <si>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</si>
  <si>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</si>
  <si>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</si>
  <si>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</si>
  <si>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</si>
  <si>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</si>
  <si>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</si>
  <si>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</si>
  <si>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</si>
  <si>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</si>
  <si>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</si>
  <si>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</si>
  <si>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</si>
  <si>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</si>
  <si>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</si>
  <si>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</si>
  <si>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</si>
  <si>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</si>
  <si>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</si>
  <si>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</si>
  <si>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</si>
  <si>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</si>
  <si>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</si>
  <si>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</si>
  <si>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</si>
  <si>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</si>
  <si>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</si>
  <si>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</si>
  <si>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</si>
  <si>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</si>
  <si>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</si>
  <si>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</si>
  <si>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</si>
  <si>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</si>
  <si>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</si>
  <si>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</si>
  <si>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</si>
  <si>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</si>
  <si>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</si>
  <si>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</si>
  <si>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</si>
  <si>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</si>
  <si>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</si>
  <si>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</si>
  <si>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</si>
  <si>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</si>
  <si>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</si>
  <si>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</si>
  <si>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</si>
  <si>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</si>
  <si>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</si>
  <si>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</si>
  <si>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</si>
  <si>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</si>
  <si>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</si>
  <si>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</si>
  <si>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</si>
  <si>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</si>
  <si>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</si>
  <si>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</si>
  <si>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</si>
  <si>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</si>
  <si>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</si>
  <si>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</si>
  <si>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</si>
  <si>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</si>
  <si>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</si>
  <si>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</si>
  <si>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</si>
  <si>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</si>
  <si>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</si>
  <si>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</si>
  <si>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</si>
  <si>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</si>
  <si>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</si>
  <si>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</si>
  <si>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</si>
  <si>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</si>
  <si>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</si>
  <si>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</si>
  <si>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</si>
  <si>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</si>
  <si>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</si>
  <si>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</si>
  <si>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</si>
  <si>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</si>
  <si>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</si>
  <si>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</si>
  <si>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</si>
  <si>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</si>
  <si>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</si>
  <si>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</si>
  <si>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</si>
  <si>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</si>
  <si>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</si>
  <si>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</si>
  <si>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</si>
  <si>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</si>
  <si>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</si>
  <si>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</si>
  <si>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</si>
  <si>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</si>
  <si>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</si>
  <si>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</si>
  <si>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</si>
  <si>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</si>
  <si>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</si>
  <si>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</si>
  <si>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</si>
  <si>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</si>
  <si>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</si>
  <si>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</si>
  <si>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</si>
  <si>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</si>
  <si>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</si>
  <si>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</si>
  <si>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</si>
  <si>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</si>
  <si>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</si>
  <si>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</si>
  <si>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</si>
  <si>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</si>
  <si>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</si>
  <si>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</si>
  <si>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</si>
  <si>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</si>
  <si>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</si>
  <si>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</si>
  <si>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</si>
  <si>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</si>
  <si>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</si>
  <si>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</si>
  <si>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</si>
  <si>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</si>
  <si>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</si>
  <si>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</si>
  <si>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</si>
  <si>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</si>
  <si>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</si>
  <si>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</si>
  <si>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</si>
  <si>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</si>
  <si>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</si>
  <si>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</si>
  <si>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</si>
  <si>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</si>
  <si>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</si>
  <si>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</si>
  <si>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</si>
  <si>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</si>
  <si>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</si>
  <si>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</si>
  <si>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</si>
  <si>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</si>
  <si>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</si>
  <si>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</si>
  <si>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</si>
  <si>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</si>
  <si>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</si>
  <si>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</si>
  <si>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</si>
  <si>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</si>
  <si>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</si>
  <si>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</si>
  <si>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</si>
  <si>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</si>
  <si>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</si>
  <si>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</si>
  <si>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</si>
  <si>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</si>
  <si>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</si>
  <si>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</si>
  <si>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</si>
  <si>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</si>
  <si>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</si>
  <si>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</si>
  <si>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</si>
  <si>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</si>
  <si>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</si>
  <si>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</si>
  <si>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</si>
  <si>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</si>
  <si>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</si>
  <si>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</si>
  <si>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</si>
  <si>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</si>
  <si>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</si>
  <si>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</si>
  <si>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</si>
  <si>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</si>
  <si>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</si>
  <si>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</si>
  <si>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</si>
  <si>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</si>
  <si>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</si>
  <si>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</si>
  <si>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</si>
  <si>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</si>
  <si>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</si>
  <si>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</si>
  <si>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</si>
  <si>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</si>
  <si>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</si>
  <si>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</si>
  <si>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</si>
  <si>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</si>
  <si>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</si>
  <si>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</si>
  <si>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</si>
  <si>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</si>
  <si>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</si>
  <si>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</si>
  <si>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</si>
  <si>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</si>
  <si>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</si>
  <si>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</si>
  <si>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</si>
  <si>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</si>
  <si>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</si>
  <si>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</si>
  <si>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</si>
  <si>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</si>
  <si>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</si>
  <si>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</si>
  <si>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</si>
  <si>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</si>
  <si>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</si>
  <si>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</si>
  <si>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</si>
  <si>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</si>
  <si>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</si>
  <si>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</si>
  <si>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</si>
  <si>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</si>
  <si>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</si>
  <si>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</si>
  <si>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</si>
  <si>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</si>
  <si>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</si>
  <si>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</si>
  <si>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</si>
  <si>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</si>
  <si>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</si>
  <si>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</si>
  <si>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</si>
  <si>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</si>
  <si>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</si>
  <si>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</si>
  <si>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</si>
  <si>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</si>
  <si>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</si>
  <si>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</si>
  <si>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</si>
  <si>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</si>
  <si>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</si>
  <si>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</si>
  <si>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</si>
  <si>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</si>
  <si>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</si>
  <si>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</si>
  <si>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</si>
  <si>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</si>
  <si>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</si>
  <si>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</si>
  <si>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</si>
  <si>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</si>
  <si>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</si>
  <si>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</si>
  <si>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</si>
  <si>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</si>
  <si>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</si>
  <si>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</si>
  <si>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</si>
  <si>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</si>
  <si>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</si>
  <si>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</si>
  <si>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</si>
  <si>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</si>
  <si>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</si>
  <si>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</si>
  <si>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</si>
  <si>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</si>
  <si>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</si>
  <si>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</si>
  <si>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</si>
  <si>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</si>
  <si>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</si>
  <si>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</si>
  <si>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</si>
  <si>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</si>
  <si>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</si>
  <si>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</si>
  <si>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</si>
  <si>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</si>
  <si>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</si>
  <si>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</si>
  <si>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</si>
  <si>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</si>
  <si>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</si>
  <si>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</si>
  <si>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</si>
  <si>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</si>
  <si>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</si>
  <si>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</si>
  <si>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</si>
  <si>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</si>
  <si>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</si>
  <si>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</si>
  <si>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</si>
  <si>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</si>
  <si>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</si>
  <si>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</si>
  <si>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</si>
  <si>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</si>
  <si>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</si>
  <si>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</si>
  <si>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</si>
  <si>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</si>
  <si>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</si>
  <si>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</si>
  <si>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</si>
  <si>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</si>
  <si>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</si>
  <si>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</si>
  <si>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</si>
  <si>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</si>
  <si>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</si>
  <si>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</si>
  <si>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</si>
  <si>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</si>
  <si>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</si>
  <si>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</si>
  <si>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</si>
  <si>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</si>
  <si>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</si>
  <si>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</si>
  <si>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</si>
  <si>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</si>
  <si>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</si>
  <si>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</si>
  <si>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</si>
  <si>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</si>
  <si>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</si>
  <si>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</si>
  <si>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</si>
  <si>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</si>
  <si>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</si>
  <si>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</si>
  <si>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</si>
  <si>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</si>
  <si>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</si>
  <si>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</si>
  <si>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</si>
  <si>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</si>
  <si>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</si>
  <si>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</si>
  <si>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</si>
  <si>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</si>
  <si>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</si>
  <si>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</si>
  <si>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</si>
  <si>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</si>
  <si>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</si>
  <si>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</si>
  <si>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</si>
  <si>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</si>
  <si>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</si>
  <si>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</si>
  <si>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</si>
  <si>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</si>
  <si>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</si>
  <si>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</si>
  <si>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</si>
  <si>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</si>
  <si>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</si>
  <si>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</si>
  <si>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</si>
  <si>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</si>
  <si>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</si>
  <si>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</si>
  <si>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</si>
  <si>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</si>
  <si>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</si>
  <si>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</si>
  <si>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</si>
  <si>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</si>
  <si>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</si>
  <si>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</si>
  <si>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</si>
  <si>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</si>
  <si>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</si>
  <si>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</si>
  <si>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</si>
  <si>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</si>
  <si>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</si>
  <si>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</si>
  <si>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</si>
  <si>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</si>
  <si>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</si>
  <si>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</si>
  <si>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</si>
  <si>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</si>
  <si>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</si>
  <si>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</si>
  <si>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</si>
  <si>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</si>
  <si>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</si>
  <si>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</si>
  <si>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</si>
  <si>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</si>
  <si>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</si>
  <si>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</si>
  <si>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</si>
  <si>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</si>
  <si>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</si>
  <si>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</si>
  <si>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</si>
  <si>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</si>
  <si>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</si>
  <si>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</si>
  <si>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</si>
  <si>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</si>
  <si>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</si>
  <si>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</si>
  <si>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</si>
  <si>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</si>
  <si>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</si>
  <si>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</si>
  <si>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</si>
  <si>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</si>
  <si>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</si>
  <si>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</si>
  <si>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</si>
  <si>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</si>
  <si>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</si>
  <si>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</si>
  <si>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</si>
  <si>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</si>
  <si>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</si>
  <si>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</si>
  <si>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</si>
  <si>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</si>
  <si>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</si>
  <si>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</si>
  <si>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</si>
  <si>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</si>
  <si>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</si>
  <si>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</si>
  <si>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</si>
  <si>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</si>
  <si>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</si>
  <si>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</si>
  <si>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</si>
  <si>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</si>
  <si>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</si>
  <si>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</si>
  <si>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</si>
  <si>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</si>
  <si>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</si>
  <si>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</si>
  <si>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</si>
  <si>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</si>
  <si>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</si>
  <si>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</si>
  <si>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</si>
  <si>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</si>
  <si>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</si>
  <si>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</si>
  <si>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</si>
  <si>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</si>
  <si>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</si>
  <si>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</si>
  <si>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</si>
  <si>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</si>
  <si>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</si>
  <si>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</si>
  <si>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</si>
  <si>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</si>
  <si>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</si>
  <si>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</si>
  <si>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</si>
  <si>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</si>
  <si>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</si>
  <si>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</si>
  <si>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</si>
  <si>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</si>
  <si>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</si>
  <si>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</si>
  <si>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</si>
  <si>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</si>
  <si>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</si>
  <si>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</si>
  <si>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</si>
  <si>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</si>
  <si>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</si>
  <si>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</si>
  <si>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</si>
  <si>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</si>
  <si>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</si>
  <si>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</si>
  <si>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</si>
  <si>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</si>
  <si>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</si>
  <si>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</si>
  <si>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</si>
  <si>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</si>
  <si>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</si>
  <si>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</si>
  <si>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</si>
  <si>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</si>
  <si>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</si>
  <si>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</si>
  <si>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</si>
  <si>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</si>
  <si>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</si>
  <si>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</si>
  <si>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</si>
  <si>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</si>
  <si>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</si>
  <si>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</si>
  <si>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</si>
  <si>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</si>
  <si>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</si>
  <si>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</si>
  <si>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</si>
  <si>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</si>
  <si>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</si>
  <si>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</si>
  <si>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</si>
  <si>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</si>
  <si>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</si>
  <si>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</si>
  <si>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</si>
  <si>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</si>
  <si>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</si>
  <si>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</si>
  <si>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</si>
  <si>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</si>
  <si>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</si>
  <si>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</si>
  <si>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</si>
  <si>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</si>
  <si>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</si>
  <si>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</si>
  <si>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</si>
  <si>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</si>
  <si>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</si>
  <si>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</si>
  <si>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</si>
  <si>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</si>
  <si>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</si>
  <si>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</si>
  <si>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</si>
  <si>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</si>
  <si>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</si>
  <si>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</si>
  <si>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</si>
  <si>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</si>
  <si>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</si>
  <si>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</si>
  <si>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</si>
  <si>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</si>
  <si>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</si>
  <si>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</si>
  <si>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</si>
  <si>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</si>
  <si>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</si>
  <si>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</si>
  <si>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</si>
  <si>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</si>
  <si>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</si>
  <si>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</si>
  <si>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</si>
  <si>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</si>
  <si>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</si>
  <si>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</si>
  <si>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</si>
  <si>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</si>
  <si>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</si>
  <si>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</si>
  <si>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</si>
  <si>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</si>
  <si>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</si>
  <si>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</si>
  <si>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</si>
  <si>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</si>
  <si>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</si>
  <si>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</si>
  <si>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</si>
  <si>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</si>
  <si>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</si>
  <si>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</si>
  <si>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</si>
  <si>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</si>
  <si>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</si>
  <si>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</si>
  <si>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</si>
  <si>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</si>
  <si>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</si>
  <si>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</si>
  <si>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</si>
  <si>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</si>
  <si>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</si>
  <si>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</si>
  <si>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</si>
  <si>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</si>
  <si>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</si>
  <si>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</si>
  <si>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</si>
  <si>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</si>
  <si>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</si>
  <si>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</si>
  <si>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</si>
  <si>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</si>
  <si>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</si>
  <si>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</si>
  <si>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</si>
  <si>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</si>
  <si>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</si>
  <si>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</si>
  <si>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</si>
  <si>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</si>
  <si>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</si>
  <si>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</si>
  <si>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</si>
  <si>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</si>
  <si>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</si>
  <si>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</si>
  <si>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</si>
  <si>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</si>
  <si>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</si>
  <si>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</si>
  <si>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</si>
  <si>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</si>
  <si>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</si>
  <si>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</si>
  <si>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</si>
  <si>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</si>
  <si>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</si>
  <si>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</si>
  <si>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</si>
  <si>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</si>
  <si>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</si>
  <si>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</si>
  <si>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</si>
  <si>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</si>
  <si>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</si>
  <si>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</si>
  <si>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</si>
  <si>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</si>
  <si>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</si>
  <si>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</si>
  <si>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</si>
  <si>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</si>
  <si>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</si>
  <si>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</si>
  <si>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</si>
  <si>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</si>
  <si>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</si>
  <si>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</si>
  <si>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</si>
  <si>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</si>
  <si>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</si>
  <si>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</si>
  <si>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</si>
  <si>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</si>
  <si>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</si>
  <si>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</si>
  <si>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</si>
  <si>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</si>
  <si>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</si>
  <si>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</si>
  <si>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</si>
  <si>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</si>
  <si>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</si>
  <si>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</si>
  <si>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</si>
  <si>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</si>
  <si>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</si>
  <si>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</si>
  <si>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</si>
  <si>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</si>
  <si>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</si>
  <si>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</si>
  <si>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</si>
  <si>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</si>
  <si>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</si>
  <si>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</si>
  <si>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</si>
  <si>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</si>
  <si>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</si>
  <si>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</si>
  <si>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</si>
  <si>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</si>
  <si>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</si>
  <si>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</si>
  <si>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</si>
  <si>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</si>
  <si>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</si>
  <si>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</si>
  <si>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</si>
  <si>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</si>
  <si>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</si>
  <si>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</si>
  <si>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</si>
  <si>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</si>
  <si>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</si>
  <si>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</si>
  <si>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</si>
  <si>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</si>
  <si>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</si>
  <si>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</si>
  <si>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</si>
  <si>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</si>
  <si>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</si>
  <si>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</si>
  <si>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</si>
  <si>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</si>
  <si>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</si>
  <si>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</si>
  <si>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</si>
  <si>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</si>
  <si>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</si>
  <si>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</si>
  <si>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</si>
  <si>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</si>
  <si>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</si>
  <si>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</si>
  <si>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</si>
  <si>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</si>
  <si>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</si>
  <si>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</si>
  <si>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</si>
  <si>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</si>
  <si>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</si>
  <si>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</si>
  <si>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</si>
  <si>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</si>
  <si>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</si>
  <si>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</si>
  <si>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</si>
  <si>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</si>
  <si>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</si>
  <si>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</si>
  <si>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</si>
  <si>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</si>
  <si>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</si>
  <si>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</si>
  <si>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</si>
  <si>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</si>
  <si>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</si>
  <si>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</si>
  <si>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</si>
  <si>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</si>
  <si>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</si>
  <si>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</si>
  <si>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</si>
  <si>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</si>
  <si>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</si>
  <si>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</si>
  <si>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</si>
  <si>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</si>
  <si>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</si>
  <si>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</si>
  <si>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</si>
  <si>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</si>
  <si>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</si>
  <si>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</si>
  <si>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</si>
  <si>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</si>
  <si>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</si>
  <si>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</si>
  <si>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</si>
  <si>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</si>
  <si>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</si>
  <si>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</si>
  <si>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</si>
  <si>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</si>
  <si>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</si>
  <si>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</si>
  <si>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</si>
  <si>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</si>
  <si>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</si>
  <si>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</si>
  <si>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</si>
  <si>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</si>
  <si>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</si>
  <si>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</si>
  <si>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</si>
  <si>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</si>
  <si>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</si>
  <si>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</si>
  <si>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</si>
  <si>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</si>
  <si>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</si>
  <si>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</si>
  <si>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</si>
  <si>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</si>
  <si>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</si>
  <si>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</si>
  <si>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</si>
  <si>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</si>
  <si>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</si>
  <si>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</si>
  <si>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</si>
  <si>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</si>
  <si>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</si>
  <si>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</si>
  <si>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</si>
  <si>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</si>
  <si>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</si>
  <si>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</si>
  <si>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</si>
  <si>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</si>
  <si>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</si>
  <si>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</si>
  <si>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</si>
  <si>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</si>
  <si>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</si>
  <si>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</si>
  <si>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</si>
  <si>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</si>
  <si>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</si>
  <si>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</si>
  <si>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</si>
  <si>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</si>
  <si>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</si>
  <si>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</si>
  <si>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</si>
  <si>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</si>
  <si>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</si>
  <si>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</si>
  <si>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</si>
  <si>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</si>
  <si>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</si>
  <si>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</si>
  <si>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</si>
  <si>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</si>
  <si>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</si>
  <si>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</si>
  <si>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</si>
  <si>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</si>
  <si>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</si>
  <si>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</si>
  <si>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</si>
  <si>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</si>
  <si>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</si>
  <si>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</si>
  <si>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</si>
  <si>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</si>
  <si>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</si>
  <si>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</si>
  <si>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</si>
  <si>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</si>
  <si>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</si>
  <si>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</si>
  <si>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</si>
  <si>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</si>
  <si>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</si>
  <si>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</si>
  <si>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</si>
  <si>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</si>
  <si>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</si>
  <si>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</si>
  <si>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</si>
  <si>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</si>
  <si>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</si>
  <si>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</si>
  <si>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</si>
  <si>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</si>
  <si>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</si>
  <si>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</si>
  <si>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</si>
  <si>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</si>
  <si>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</si>
  <si>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</si>
  <si>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</si>
  <si>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</si>
  <si>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</si>
  <si>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</si>
  <si>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</si>
  <si>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</si>
  <si>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</si>
  <si>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</si>
  <si>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</si>
  <si>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</si>
  <si>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</si>
  <si>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</si>
  <si>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</si>
  <si>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</si>
  <si>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</si>
  <si>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</si>
  <si>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</si>
  <si>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</si>
  <si>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</si>
  <si>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</si>
  <si>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</si>
  <si>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</si>
  <si>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</si>
  <si>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</si>
  <si>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</si>
  <si>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</si>
  <si>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</si>
  <si>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</si>
  <si>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</si>
  <si>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</si>
  <si>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</si>
  <si>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</si>
  <si>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</si>
  <si>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</si>
  <si>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</si>
  <si>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</si>
  <si>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</si>
  <si>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</si>
  <si>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</si>
  <si>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</si>
  <si>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</si>
  <si>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</si>
  <si>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</si>
  <si>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</si>
  <si>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</si>
  <si>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</si>
  <si>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</si>
  <si>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</si>
  <si>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</si>
  <si>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</si>
  <si>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</si>
  <si>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</si>
  <si>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</si>
  <si>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</si>
  <si>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</si>
  <si>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</si>
  <si>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</si>
  <si>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</si>
  <si>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</si>
  <si>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</si>
  <si>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</si>
  <si>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</si>
  <si>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</si>
  <si>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</si>
  <si>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</si>
  <si>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</si>
  <si>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</si>
  <si>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</si>
  <si>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</si>
  <si>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</si>
  <si>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</si>
  <si>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</si>
  <si>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</si>
  <si>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</si>
  <si>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</si>
  <si>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</si>
  <si>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</si>
  <si>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</si>
  <si>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</si>
  <si>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</si>
  <si>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</si>
  <si>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</si>
  <si>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</si>
  <si>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</si>
  <si>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</si>
  <si>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</si>
  <si>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</si>
  <si>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</si>
  <si>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</si>
  <si>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</si>
  <si>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</si>
  <si>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</si>
  <si>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</si>
  <si>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</si>
  <si>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</si>
  <si>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</si>
  <si>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</si>
  <si>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</si>
  <si>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</si>
  <si>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</si>
  <si>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</si>
  <si>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</si>
  <si>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</si>
  <si>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</si>
  <si>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</si>
  <si>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</si>
  <si>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</si>
  <si>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</si>
  <si>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</si>
  <si>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</si>
  <si>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</si>
  <si>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</si>
  <si>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</si>
  <si>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</si>
  <si>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</si>
  <si>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</si>
  <si>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</si>
  <si>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</si>
  <si>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</si>
  <si>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</si>
  <si>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</si>
  <si>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</si>
  <si>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</si>
  <si>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</si>
  <si>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</si>
  <si>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</si>
  <si>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</si>
  <si>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</si>
  <si>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</si>
  <si>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</si>
  <si>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</si>
  <si>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</si>
  <si>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</si>
  <si>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</si>
  <si>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</si>
  <si>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</si>
  <si>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</si>
  <si>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</si>
  <si>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</si>
  <si>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</si>
  <si>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</si>
  <si>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</si>
  <si>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</si>
  <si>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</si>
  <si>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</si>
  <si>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</si>
  <si>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</si>
  <si>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</si>
  <si>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</si>
  <si>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</si>
  <si>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</si>
  <si>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</si>
  <si>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</si>
  <si>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</si>
  <si>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</si>
  <si>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</si>
  <si>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</si>
  <si>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</si>
  <si>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</si>
  <si>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</si>
  <si>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</si>
  <si>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</si>
  <si>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</si>
  <si>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</si>
  <si>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</si>
  <si>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</si>
  <si>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</si>
  <si>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</si>
  <si>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</si>
  <si>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</si>
  <si>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</si>
  <si>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</si>
  <si>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</si>
  <si>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</si>
  <si>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</si>
  <si>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</si>
  <si>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</si>
  <si>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</si>
  <si>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</si>
  <si>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</si>
  <si>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</si>
  <si>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</si>
  <si>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</si>
  <si>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</si>
  <si>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</si>
  <si>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</si>
  <si>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</si>
  <si>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</si>
  <si>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</si>
  <si>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</si>
  <si>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</si>
  <si>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</si>
  <si>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</si>
  <si>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</si>
  <si>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</si>
  <si>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</si>
  <si>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</si>
  <si>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</si>
  <si>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</si>
  <si>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</si>
  <si>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</si>
  <si>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</si>
  <si>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</si>
  <si>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</si>
  <si>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</si>
  <si>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</si>
  <si>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</si>
  <si>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</si>
  <si>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</si>
  <si>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</si>
  <si>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</si>
  <si>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</si>
  <si>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</si>
  <si>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</si>
  <si>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</si>
  <si>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</si>
  <si>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</si>
  <si>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</si>
  <si>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</si>
  <si>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</si>
  <si>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</si>
  <si>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</si>
  <si>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</si>
  <si>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</si>
  <si>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</si>
  <si>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</si>
  <si>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</si>
  <si>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</si>
  <si>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</si>
  <si>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</si>
  <si>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</si>
  <si>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</si>
  <si>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</si>
  <si>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</si>
  <si>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</si>
  <si>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</si>
  <si>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</si>
  <si>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</si>
  <si>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</si>
  <si>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</si>
  <si>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</si>
  <si>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</si>
  <si>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</si>
  <si>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</si>
  <si>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</si>
  <si>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</si>
  <si>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</si>
  <si>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</si>
  <si>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</si>
  <si>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</si>
  <si>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</si>
  <si>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</si>
  <si>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</si>
  <si>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</si>
  <si>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</si>
  <si>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</si>
  <si>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</si>
  <si>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</si>
  <si>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</si>
  <si>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</si>
  <si>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</si>
  <si>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</si>
  <si>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</si>
  <si>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</si>
  <si>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</si>
  <si>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</si>
  <si>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</si>
  <si>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</si>
  <si>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</si>
  <si>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</si>
  <si>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</si>
  <si>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</si>
  <si>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</si>
  <si>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</si>
  <si>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</si>
  <si>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</si>
  <si>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</si>
  <si>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</si>
  <si>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</si>
  <si>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</si>
  <si>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</si>
  <si>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</si>
  <si>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</si>
  <si>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</si>
  <si>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</si>
  <si>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</si>
  <si>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</si>
  <si>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</si>
  <si>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</si>
  <si>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</si>
  <si>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</si>
  <si>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</si>
  <si>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</si>
  <si>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</si>
  <si>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</si>
  <si>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</si>
  <si>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</si>
  <si>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</si>
  <si>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</si>
  <si>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</si>
  <si>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</si>
  <si>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</si>
  <si>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</si>
  <si>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</si>
  <si>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</si>
  <si>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</si>
  <si>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</si>
  <si>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</si>
  <si>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</si>
  <si>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</si>
  <si>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</si>
  <si>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</si>
  <si>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</si>
  <si>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</si>
  <si>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</si>
  <si>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</si>
  <si>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</si>
  <si>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</si>
  <si>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</si>
  <si>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</si>
  <si>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</si>
  <si>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</si>
  <si>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</si>
  <si>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</si>
  <si>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</si>
  <si>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</si>
  <si>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</si>
  <si>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</si>
  <si>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</si>
  <si>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</si>
  <si>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</si>
  <si>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</si>
  <si>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</si>
  <si>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</si>
  <si>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</si>
  <si>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</si>
  <si>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</si>
  <si>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</si>
  <si>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</si>
  <si>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</si>
  <si>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</si>
  <si>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</si>
  <si>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</si>
  <si>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</si>
  <si>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</si>
  <si>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</si>
  <si>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</si>
  <si>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</si>
  <si>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</si>
  <si>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</si>
  <si>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</si>
  <si>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</si>
  <si>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</si>
  <si>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</si>
  <si>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</si>
  <si>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</si>
  <si>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</si>
  <si>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</si>
  <si>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</si>
  <si>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</si>
  <si>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</si>
  <si>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</si>
  <si>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</si>
  <si>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</si>
  <si>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</si>
  <si>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</si>
  <si>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</si>
  <si>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</si>
  <si>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</si>
  <si>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</si>
  <si>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</si>
  <si>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</si>
  <si>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</si>
  <si>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</si>
  <si>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</si>
  <si>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</si>
  <si>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</si>
  <si>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</si>
  <si>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</si>
  <si>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</si>
  <si>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</si>
  <si>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</si>
  <si>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</si>
  <si>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</si>
  <si>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</si>
  <si>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</si>
  <si>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</si>
  <si>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</si>
  <si>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</si>
  <si>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</si>
  <si>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</si>
  <si>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</si>
  <si>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</si>
  <si>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</si>
  <si>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</si>
  <si>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</si>
  <si>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</si>
  <si>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</si>
  <si>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</si>
  <si>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</si>
  <si>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</si>
  <si>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</si>
  <si>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</si>
  <si>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</si>
  <si>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</si>
  <si>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</si>
  <si>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</si>
  <si>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</si>
  <si>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</si>
  <si>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</si>
  <si>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</si>
  <si>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</si>
  <si>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</si>
  <si>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</si>
  <si>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</si>
  <si>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</si>
  <si>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</si>
  <si>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</si>
  <si>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</si>
  <si>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</si>
  <si>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</si>
  <si>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</si>
  <si>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</si>
  <si>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</si>
  <si>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</si>
  <si>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</si>
  <si>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</si>
  <si>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</si>
  <si>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</si>
  <si>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</si>
  <si>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</si>
  <si>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</si>
  <si>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</si>
  <si>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</si>
  <si>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</si>
  <si>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</si>
  <si>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</si>
  <si>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</si>
  <si>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</si>
  <si>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</si>
  <si>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</si>
  <si>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</si>
  <si>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</si>
  <si>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</si>
  <si>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</si>
  <si>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</si>
  <si>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</si>
  <si>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</si>
  <si>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</si>
  <si>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</si>
  <si>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</si>
  <si>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</si>
  <si>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</si>
  <si>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</si>
  <si>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</si>
  <si>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</si>
  <si>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</si>
  <si>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</si>
  <si>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</si>
  <si>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</si>
  <si>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</si>
  <si>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</si>
  <si>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</si>
  <si>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</si>
  <si>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</si>
  <si>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</si>
  <si>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</si>
  <si>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</si>
  <si>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</si>
  <si>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</si>
  <si>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</si>
  <si>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</si>
  <si>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</si>
  <si>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</si>
  <si>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</si>
  <si>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</si>
  <si>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</si>
  <si>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</si>
  <si>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</si>
  <si>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</si>
  <si>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</si>
  <si>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</si>
  <si>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</si>
  <si>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</si>
  <si>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</si>
  <si>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</si>
  <si>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</si>
  <si>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</si>
  <si>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</si>
  <si>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</si>
  <si>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</si>
  <si>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</si>
  <si>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</si>
  <si>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</si>
  <si>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</si>
  <si>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</si>
  <si>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</si>
  <si>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</si>
  <si>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</si>
  <si>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</si>
  <si>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</si>
  <si>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</si>
  <si>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</si>
  <si>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</si>
  <si>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</si>
  <si>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</si>
  <si>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</si>
  <si>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</si>
  <si>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</si>
  <si>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</si>
  <si>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</si>
  <si>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</si>
  <si>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</si>
  <si>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</si>
  <si>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</si>
  <si>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</si>
  <si>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</si>
  <si>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</si>
  <si>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</si>
  <si>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</si>
  <si>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</si>
  <si>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</si>
  <si>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</si>
  <si>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</si>
  <si>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</si>
  <si>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</si>
  <si>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</si>
  <si>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</si>
  <si>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</si>
  <si>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</si>
  <si>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</si>
  <si>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</si>
  <si>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</si>
  <si>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</si>
  <si>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</si>
  <si>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</si>
  <si>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</si>
  <si>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</si>
  <si>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</si>
  <si>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</si>
  <si>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</si>
  <si>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</si>
  <si>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</si>
  <si>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</si>
  <si>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</si>
  <si>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</si>
  <si>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</si>
  <si>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</si>
  <si>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</si>
  <si>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</si>
  <si>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</si>
  <si>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</si>
  <si>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</si>
  <si>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</si>
  <si>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</si>
  <si>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</si>
  <si>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</si>
  <si>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</si>
  <si>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</si>
  <si>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</si>
  <si>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</si>
  <si>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</si>
  <si>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</si>
  <si>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</si>
  <si>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</si>
  <si>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</si>
  <si>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</si>
  <si>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</si>
  <si>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</si>
  <si>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</si>
  <si>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</si>
  <si>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</si>
  <si>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</si>
  <si>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</si>
  <si>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</si>
  <si>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</si>
  <si>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</si>
  <si>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</si>
  <si>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</si>
  <si>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</si>
  <si>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</si>
  <si>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</si>
  <si>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</si>
  <si>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</si>
  <si>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</si>
  <si>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</si>
  <si>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</si>
  <si>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</si>
  <si>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</si>
  <si>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</si>
  <si>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</si>
  <si>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</si>
  <si>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</si>
  <si>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</si>
  <si>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</si>
  <si>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</si>
  <si>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</si>
  <si>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</si>
  <si>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</si>
  <si>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</si>
  <si>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</si>
  <si>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</si>
  <si>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</si>
  <si>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</si>
  <si>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</si>
  <si>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</si>
  <si>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</si>
  <si>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</si>
  <si>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</si>
  <si>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</si>
  <si>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</si>
  <si>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</si>
  <si>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</si>
  <si>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</si>
  <si>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</si>
  <si>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</si>
  <si>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</si>
  <si>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</si>
  <si>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</si>
  <si>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</si>
  <si>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</si>
  <si>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</si>
  <si>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</si>
  <si>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</si>
  <si>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</si>
  <si>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</si>
  <si>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</si>
  <si>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</si>
  <si>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</si>
  <si>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</si>
  <si>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</si>
  <si>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</si>
  <si>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</si>
  <si>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</si>
  <si>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</si>
  <si>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</si>
  <si>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</si>
  <si>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</si>
  <si>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</si>
  <si>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</si>
  <si>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</si>
  <si>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</si>
  <si>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</si>
  <si>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</si>
  <si>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</si>
  <si>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</si>
  <si>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</si>
  <si>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</si>
  <si>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</si>
  <si>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</si>
  <si>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</si>
  <si>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</si>
  <si>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</si>
  <si>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</si>
  <si>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</si>
  <si>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</si>
  <si>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</si>
  <si>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</si>
  <si>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</si>
  <si>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</si>
  <si>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</si>
  <si>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</si>
  <si>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</si>
  <si>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</si>
  <si>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</si>
  <si>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</si>
  <si>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</si>
  <si>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</si>
  <si>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</si>
  <si>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</si>
  <si>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</si>
  <si>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</si>
  <si>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</si>
  <si>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</si>
  <si>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</si>
  <si>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</si>
  <si>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</si>
  <si>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</si>
  <si>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</si>
  <si>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</si>
  <si>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</si>
  <si>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</si>
  <si>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</si>
  <si>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</si>
  <si>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</si>
  <si>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</si>
  <si>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</si>
  <si>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</si>
  <si>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</si>
  <si>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</si>
  <si>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</si>
  <si>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</si>
  <si>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</si>
  <si>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</si>
  <si>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</si>
  <si>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</si>
  <si>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</si>
  <si>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</si>
  <si>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</si>
  <si>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</si>
  <si>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</si>
  <si>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</si>
  <si>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</si>
  <si>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</si>
  <si>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</si>
  <si>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</si>
  <si>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</si>
  <si>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</si>
  <si>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</si>
  <si>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</si>
  <si>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</si>
  <si>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</si>
  <si>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</si>
  <si>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</si>
  <si>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</si>
  <si>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</si>
  <si>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</si>
  <si>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</si>
  <si>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</si>
  <si>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</si>
  <si>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</si>
  <si>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</si>
  <si>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</si>
  <si>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</si>
  <si>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</si>
  <si>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</si>
  <si>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</si>
  <si>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</si>
  <si>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</si>
  <si>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</si>
  <si>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</si>
  <si>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</si>
  <si>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</si>
  <si>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</si>
  <si>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</si>
  <si>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</si>
  <si>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</si>
  <si>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</si>
  <si>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</si>
  <si>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</si>
  <si>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</si>
  <si>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</si>
  <si>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</si>
  <si>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</si>
  <si>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</si>
  <si>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</si>
  <si>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</si>
  <si>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</si>
  <si>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</si>
  <si>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</si>
  <si>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</si>
  <si>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</si>
  <si>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</si>
  <si>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</si>
  <si>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</si>
  <si>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</si>
  <si>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</si>
  <si>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</si>
  <si>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</si>
  <si>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</si>
  <si>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</si>
  <si>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</si>
  <si>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</si>
  <si>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</si>
  <si>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</si>
  <si>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</si>
  <si>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</si>
  <si>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</si>
  <si>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</si>
  <si>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</si>
  <si>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</si>
  <si>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</si>
  <si>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</si>
  <si>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</si>
  <si>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</si>
  <si>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</si>
  <si>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</si>
  <si>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</si>
  <si>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</si>
  <si>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</si>
  <si>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</si>
  <si>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</si>
  <si>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</si>
  <si>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</si>
  <si>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</si>
  <si>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</si>
  <si>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</si>
  <si>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</si>
  <si>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</si>
  <si>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</si>
  <si>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</si>
  <si>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</si>
  <si>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</si>
  <si>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</si>
  <si>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</si>
  <si>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</si>
  <si>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</si>
  <si>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</si>
  <si>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</si>
  <si>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</si>
  <si>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</si>
  <si>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</si>
  <si>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</si>
  <si>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</si>
  <si>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</si>
  <si>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</si>
  <si>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</si>
  <si>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</si>
  <si>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</si>
  <si>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</si>
  <si>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</si>
  <si>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</si>
  <si>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</si>
  <si>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</si>
  <si>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</si>
  <si>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</si>
  <si>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</si>
  <si>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</si>
  <si>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</si>
  <si>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</si>
  <si>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</si>
  <si>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</si>
  <si>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</si>
  <si>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</si>
  <si>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</si>
  <si>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</si>
  <si>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</si>
  <si>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</si>
  <si>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</si>
  <si>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</si>
  <si>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</si>
  <si>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</si>
  <si>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</si>
  <si>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</si>
  <si>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</si>
  <si>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</si>
  <si>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</si>
  <si>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</si>
  <si>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</si>
  <si>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</si>
  <si>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</si>
  <si>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</si>
  <si>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</si>
  <si>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</si>
  <si>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</si>
  <si>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</si>
  <si>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</si>
  <si>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</si>
  <si>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</si>
  <si>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</si>
  <si>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</si>
  <si>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</si>
  <si>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</si>
  <si>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</si>
  <si>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</si>
  <si>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</si>
  <si>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</si>
  <si>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</si>
  <si>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</si>
  <si>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</si>
  <si>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</si>
  <si>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</si>
  <si>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</si>
  <si>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</si>
  <si>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</si>
  <si>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</si>
  <si>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</si>
  <si>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</si>
  <si>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</si>
  <si>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</si>
  <si>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</si>
  <si>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</si>
  <si>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</si>
  <si>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</si>
  <si>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</si>
  <si>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</si>
  <si>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</si>
  <si>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</si>
  <si>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</si>
  <si>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</si>
  <si>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</si>
  <si>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</si>
  <si>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</si>
  <si>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</si>
  <si>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</si>
  <si>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</si>
  <si>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</si>
  <si>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</si>
  <si>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</si>
  <si>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</si>
  <si>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</si>
  <si>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</si>
  <si>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</si>
  <si>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</si>
  <si>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</si>
  <si>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</si>
  <si>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</si>
  <si>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</si>
  <si>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</si>
  <si>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</si>
  <si>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</si>
  <si>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</si>
  <si>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</si>
  <si>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</si>
  <si>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</si>
  <si>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</si>
  <si>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</si>
  <si>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</si>
  <si>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</si>
  <si>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</si>
  <si>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</si>
  <si>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</si>
  <si>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</si>
  <si>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</si>
  <si>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</si>
  <si>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</si>
  <si>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</si>
  <si>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</si>
  <si>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</si>
  <si>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</si>
  <si>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</si>
  <si>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</si>
  <si>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</si>
  <si>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</si>
  <si>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</si>
  <si>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</si>
  <si>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</si>
  <si>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</si>
  <si>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</si>
  <si>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</si>
  <si>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</si>
  <si>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</si>
  <si>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</si>
  <si>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</si>
  <si>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</si>
  <si>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</si>
  <si>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</si>
  <si>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</si>
  <si>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</si>
  <si>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</si>
  <si>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</si>
  <si>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</si>
  <si>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</si>
  <si>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</si>
  <si>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</si>
  <si>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</si>
  <si>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</si>
  <si>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</si>
  <si>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</si>
  <si>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</si>
  <si>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</si>
  <si>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</si>
  <si>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</si>
  <si>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</si>
  <si>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</si>
  <si>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</si>
  <si>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</si>
  <si>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</si>
  <si>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</si>
  <si>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</si>
  <si>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</si>
  <si>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</si>
  <si>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</si>
  <si>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</si>
  <si>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</si>
  <si>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</si>
  <si>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</si>
  <si>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</si>
  <si>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</si>
  <si>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</si>
  <si>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</si>
  <si>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</si>
  <si>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</si>
  <si>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</si>
  <si>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</si>
  <si>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</si>
  <si>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</si>
  <si>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</si>
  <si>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</si>
  <si>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</si>
  <si>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</si>
  <si>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</si>
  <si>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</si>
  <si>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</si>
  <si>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</si>
  <si>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</si>
  <si>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</si>
  <si>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</si>
  <si>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</si>
  <si>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</si>
  <si>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</si>
  <si>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</si>
  <si>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</si>
  <si>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</si>
  <si>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</si>
  <si>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</si>
  <si>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</si>
  <si>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</si>
  <si>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</si>
  <si>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</si>
  <si>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</si>
  <si>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</si>
  <si>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</si>
  <si>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</si>
  <si>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</si>
  <si>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</si>
  <si>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</si>
  <si>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</si>
  <si>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</si>
  <si>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</si>
  <si>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</si>
  <si>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</si>
  <si>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</si>
  <si>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</si>
  <si>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</si>
  <si>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</si>
  <si>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</si>
  <si>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</si>
  <si>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</si>
  <si>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</si>
  <si>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</si>
  <si>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</si>
  <si>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</si>
  <si>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</si>
  <si>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</si>
  <si>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</si>
  <si>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</si>
  <si>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</si>
  <si>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</si>
  <si>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</si>
  <si>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</si>
  <si>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</si>
  <si>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</si>
  <si>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</si>
  <si>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</si>
  <si>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</si>
  <si>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</si>
  <si>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</si>
  <si>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</si>
  <si>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</si>
  <si>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</si>
  <si>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</si>
  <si>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</si>
  <si>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</si>
  <si>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</si>
  <si>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</si>
  <si>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</si>
  <si>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</si>
  <si>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</si>
  <si>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</si>
  <si>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</si>
  <si>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</si>
  <si>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</si>
  <si>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</si>
  <si>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</si>
  <si>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</si>
  <si>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</si>
  <si>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</si>
  <si>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</si>
  <si>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</si>
  <si>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</si>
  <si>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</si>
  <si>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</si>
  <si>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</si>
  <si>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</si>
  <si>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</si>
  <si>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</si>
  <si>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</si>
  <si>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</si>
  <si>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</si>
  <si>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</si>
  <si>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</si>
  <si>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</si>
  <si>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</si>
  <si>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</si>
  <si>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</si>
  <si>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</si>
  <si>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</si>
  <si>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</si>
  <si>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</si>
  <si>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</si>
  <si>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</si>
  <si>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</si>
  <si>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</si>
  <si>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</si>
  <si>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</si>
  <si>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</si>
  <si>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</si>
  <si>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</si>
  <si>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</si>
  <si>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</si>
  <si>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</si>
  <si>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</si>
  <si>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</si>
  <si>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</si>
  <si>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</si>
  <si>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</si>
  <si>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</si>
  <si>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</si>
  <si>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</si>
  <si>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</si>
  <si>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</si>
  <si>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</si>
  <si>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</si>
  <si>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</si>
  <si>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</si>
  <si>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</si>
  <si>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</si>
  <si>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</si>
  <si>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</si>
  <si>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</si>
  <si>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</si>
  <si>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</si>
  <si>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</si>
  <si>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</si>
  <si>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</si>
  <si>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</si>
  <si>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</si>
  <si>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</si>
  <si>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</si>
  <si>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</si>
  <si>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</si>
  <si>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</si>
  <si>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</si>
  <si>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</si>
  <si>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</si>
  <si>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</si>
  <si>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</si>
  <si>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</si>
  <si>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</si>
  <si>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</si>
  <si>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</si>
  <si>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</si>
  <si>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</si>
  <si>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</si>
  <si>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</si>
  <si>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</si>
  <si>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</si>
  <si>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</si>
  <si>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</si>
  <si>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</si>
  <si>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</si>
  <si>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</si>
  <si>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</si>
  <si>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</si>
  <si>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</si>
  <si>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</si>
  <si>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</si>
  <si>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</si>
  <si>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</si>
  <si>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</si>
  <si>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</si>
  <si>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</si>
  <si>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</si>
  <si>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</si>
  <si>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</si>
  <si>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</si>
  <si>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</si>
  <si>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</si>
  <si>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</si>
  <si>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</si>
  <si>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</si>
  <si>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</si>
  <si>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</si>
  <si>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</si>
  <si>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</si>
  <si>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</si>
  <si>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</si>
  <si>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</si>
  <si>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</si>
  <si>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</si>
  <si>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</si>
  <si>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</si>
  <si>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</si>
  <si>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</si>
  <si>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</si>
  <si>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</si>
  <si>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</si>
  <si>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</si>
  <si>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</si>
  <si>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</si>
  <si>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</si>
  <si>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</si>
  <si>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</si>
  <si>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</si>
  <si>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</si>
  <si>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</si>
  <si>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</si>
  <si>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</si>
  <si>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</si>
  <si>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</si>
  <si>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</si>
  <si>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</si>
  <si>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</si>
  <si>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</si>
  <si>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</si>
  <si>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</si>
  <si>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</si>
  <si>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</si>
  <si>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</si>
  <si>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</si>
  <si>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</si>
  <si>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</si>
  <si>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</si>
  <si>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</si>
  <si>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</si>
  <si>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</si>
  <si>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</si>
  <si>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</si>
  <si>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</si>
  <si>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</si>
  <si>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</si>
  <si>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</si>
  <si>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</si>
  <si>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</si>
  <si>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</si>
  <si>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</si>
  <si>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</si>
  <si>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</si>
  <si>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</si>
  <si>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</si>
  <si>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</si>
  <si>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</si>
  <si>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</si>
  <si>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</si>
  <si>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</si>
  <si>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</si>
  <si>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</si>
  <si>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</si>
  <si>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</si>
  <si>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</si>
  <si>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</si>
  <si>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</si>
  <si>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</si>
  <si>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</si>
  <si>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</si>
  <si>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</si>
  <si>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</si>
  <si>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</si>
  <si>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</si>
  <si>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</si>
  <si>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</si>
  <si>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</si>
  <si>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</si>
  <si>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</si>
  <si>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</si>
  <si>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</si>
  <si>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</si>
  <si>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</si>
  <si>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</si>
  <si>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</si>
  <si>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</si>
  <si>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</si>
  <si>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</si>
  <si>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</si>
  <si>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</si>
  <si>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</si>
  <si>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</si>
  <si>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</si>
  <si>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</si>
  <si>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</si>
  <si>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</si>
  <si>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</si>
  <si>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</si>
  <si>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</si>
  <si>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</si>
  <si>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</si>
  <si>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</si>
  <si>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</si>
  <si>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</si>
  <si>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</si>
  <si>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</si>
  <si>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</si>
  <si>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</si>
  <si>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</si>
  <si>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</si>
  <si>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</si>
  <si>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</si>
  <si>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</si>
  <si>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</si>
  <si>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</si>
  <si>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</si>
  <si>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</si>
  <si>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</si>
  <si>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</si>
  <si>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</si>
  <si>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</si>
  <si>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</si>
  <si>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</si>
  <si>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</si>
  <si>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</si>
  <si>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</si>
  <si>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</si>
  <si>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</si>
  <si>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</si>
  <si>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</si>
  <si>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</si>
  <si>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</si>
  <si>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</si>
  <si>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</si>
  <si>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</si>
  <si>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</si>
  <si>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</si>
  <si>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</si>
  <si>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</si>
  <si>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</si>
  <si>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</si>
  <si>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</si>
  <si>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</si>
  <si>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</si>
  <si>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</si>
  <si>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</si>
  <si>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</si>
  <si>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</si>
  <si>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</si>
  <si>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</si>
  <si>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</si>
  <si>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</si>
  <si>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</si>
  <si>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</si>
  <si>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</si>
  <si>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</si>
  <si>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</si>
  <si>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</si>
  <si>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</si>
  <si>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</si>
  <si>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</si>
  <si>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</si>
  <si>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</si>
  <si>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</si>
  <si>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</si>
  <si>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</si>
  <si>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</si>
  <si>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</si>
  <si>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</si>
  <si>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</si>
  <si>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</si>
  <si>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</si>
  <si>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</si>
  <si>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</si>
  <si>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</si>
  <si>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</si>
  <si>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</si>
  <si>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</si>
  <si>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</si>
  <si>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</si>
  <si>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</si>
  <si>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</si>
  <si>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</si>
  <si>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</si>
  <si>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</si>
  <si>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</si>
  <si>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</si>
  <si>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</si>
  <si>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</si>
  <si>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</si>
  <si>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</si>
  <si>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</si>
  <si>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</si>
  <si>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</si>
  <si>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</si>
  <si>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</si>
  <si>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</si>
  <si>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</si>
  <si>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</si>
  <si>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</si>
  <si>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</si>
  <si>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</si>
  <si>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</si>
  <si>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</si>
  <si>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</si>
  <si>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</si>
  <si>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</si>
  <si>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</si>
  <si>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</si>
  <si>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</si>
  <si>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</si>
  <si>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</si>
  <si>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</si>
  <si>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</si>
  <si>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</si>
  <si>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</si>
  <si>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</si>
  <si>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</si>
  <si>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</si>
  <si>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</si>
  <si>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</si>
  <si>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</si>
  <si>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</si>
  <si>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</si>
  <si>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</si>
  <si>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</si>
  <si>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</si>
  <si>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</si>
  <si>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</si>
  <si>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</si>
  <si>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</si>
  <si>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</si>
  <si>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</si>
  <si>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</si>
  <si>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</si>
  <si>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</si>
  <si>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</si>
  <si>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</si>
  <si>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</si>
  <si>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</si>
  <si>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</si>
  <si>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</si>
  <si>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</si>
  <si>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</si>
  <si>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</si>
  <si>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</si>
  <si>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</si>
  <si>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</si>
  <si>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</si>
  <si>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</si>
  <si>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</si>
  <si>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</si>
  <si>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</si>
  <si>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</si>
  <si>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</si>
  <si>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</si>
  <si>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</si>
  <si>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</si>
  <si>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</si>
  <si>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</si>
  <si>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</si>
  <si>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</si>
  <si>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</si>
  <si>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</si>
  <si>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</si>
  <si>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</si>
  <si>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</si>
  <si>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</si>
  <si>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</si>
  <si>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</si>
  <si>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</si>
  <si>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</si>
  <si>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</si>
  <si>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</si>
  <si>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</si>
  <si>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</si>
  <si>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</si>
  <si>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</si>
  <si>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</si>
  <si>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</si>
  <si>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</si>
  <si>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</si>
  <si>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</si>
  <si>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</si>
  <si>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</si>
  <si>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</si>
  <si>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</si>
  <si>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</si>
  <si>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</si>
  <si>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</si>
  <si>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</si>
  <si>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</si>
  <si>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</si>
  <si>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</si>
  <si>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</si>
  <si>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</si>
  <si>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</si>
  <si>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</si>
  <si>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</si>
  <si>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</si>
  <si>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</si>
  <si>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</si>
  <si>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</si>
  <si>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</si>
  <si>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</si>
  <si>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</si>
  <si>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</si>
  <si>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</si>
  <si>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</si>
  <si>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</si>
  <si>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</si>
  <si>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</si>
  <si>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</si>
  <si>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</si>
  <si>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</si>
  <si>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</si>
  <si>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</si>
  <si>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</si>
  <si>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</si>
  <si>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</si>
  <si>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</si>
  <si>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</si>
  <si>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</si>
  <si>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</si>
  <si>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</si>
  <si>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</si>
  <si>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</si>
  <si>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</si>
  <si>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</si>
  <si>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</si>
  <si>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</si>
  <si>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</si>
  <si>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</si>
  <si>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</si>
  <si>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</si>
  <si>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</si>
  <si>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</si>
  <si>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</si>
  <si>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</si>
  <si>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</si>
  <si>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</si>
  <si>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</si>
  <si>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</si>
  <si>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</si>
  <si>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</si>
  <si>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</si>
  <si>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</si>
  <si>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</si>
  <si>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</si>
  <si>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</si>
  <si>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</si>
  <si>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</si>
  <si>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</si>
  <si>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</si>
  <si>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</si>
  <si>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</si>
  <si>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</si>
  <si>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</si>
  <si>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</si>
  <si>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</si>
  <si>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</si>
  <si>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</si>
  <si>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</si>
  <si>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</si>
  <si>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</si>
  <si>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</si>
  <si>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</si>
  <si>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</si>
  <si>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</si>
  <si>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</si>
  <si>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</si>
  <si>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</si>
  <si>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</si>
  <si>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</si>
  <si>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</si>
  <si>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</si>
  <si>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</si>
  <si>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</si>
  <si>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</si>
  <si>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</si>
  <si>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</si>
  <si>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</si>
  <si>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</si>
  <si>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</si>
  <si>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</si>
  <si>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</si>
  <si>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</si>
  <si>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</si>
  <si>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</si>
  <si>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</si>
  <si>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</si>
  <si>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</si>
  <si>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</si>
  <si>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</si>
  <si>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</si>
  <si>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</si>
  <si>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</si>
  <si>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</si>
  <si>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</si>
  <si>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</si>
  <si>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</si>
  <si>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</si>
  <si>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</si>
  <si>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</si>
  <si>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</si>
  <si>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</si>
  <si>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</si>
  <si>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</si>
  <si>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</si>
  <si>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</si>
  <si>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</si>
  <si>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</si>
  <si>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</si>
  <si>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</si>
  <si>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</si>
  <si>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</si>
  <si>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</si>
  <si>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</si>
  <si>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</si>
  <si>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</si>
  <si>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</si>
  <si>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</si>
  <si>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</si>
  <si>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</si>
  <si>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</si>
  <si>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</si>
  <si>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</si>
  <si>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</si>
  <si>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</si>
  <si>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</si>
  <si>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</si>
  <si>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</si>
  <si>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</si>
  <si>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</si>
  <si>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</si>
  <si>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</si>
  <si>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</si>
  <si>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</si>
  <si>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</si>
  <si>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</si>
  <si>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</si>
  <si>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</si>
  <si>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</si>
  <si>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</si>
  <si>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</si>
  <si>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</si>
  <si>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</si>
  <si>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</si>
  <si>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</si>
  <si>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</si>
  <si>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</si>
  <si>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</si>
  <si>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</si>
  <si>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</si>
  <si>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</si>
  <si>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</si>
  <si>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</si>
  <si>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</si>
  <si>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</si>
  <si>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</si>
  <si>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</si>
  <si>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</si>
  <si>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</si>
  <si>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</si>
  <si>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</si>
  <si>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</si>
  <si>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</si>
  <si>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</si>
  <si>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</si>
  <si>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</si>
  <si>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</si>
  <si>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</si>
  <si>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</si>
  <si>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</si>
  <si>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</si>
  <si>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</si>
  <si>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</si>
  <si>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</si>
  <si>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</si>
  <si>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</si>
  <si>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</si>
  <si>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</si>
  <si>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</si>
  <si>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</si>
  <si>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</si>
  <si>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</si>
  <si>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</si>
  <si>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</si>
  <si>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</si>
  <si>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</si>
  <si>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</si>
  <si>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</si>
  <si>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</si>
  <si>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</si>
  <si>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</si>
  <si>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</si>
  <si>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</si>
  <si>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</si>
  <si>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</si>
  <si>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</si>
  <si>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</si>
  <si>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</si>
  <si>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</si>
  <si>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</si>
  <si>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</si>
  <si>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</si>
  <si>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</si>
  <si>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</si>
  <si>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</si>
  <si>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</si>
  <si>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</si>
  <si>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</si>
  <si>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</si>
  <si>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</si>
  <si>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</si>
  <si>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</si>
  <si>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</si>
  <si>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</si>
  <si>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</si>
  <si>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</si>
  <si>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</si>
  <si>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</si>
  <si>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</si>
  <si>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</si>
  <si>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</si>
  <si>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</si>
  <si>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</si>
  <si>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</si>
  <si>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</si>
  <si>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</si>
  <si>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</si>
  <si>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</si>
  <si>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</si>
  <si>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</si>
  <si>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</si>
  <si>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</si>
  <si>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</si>
  <si>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</si>
  <si>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</si>
  <si>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</si>
  <si>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</si>
  <si>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</si>
  <si>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</si>
  <si>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</si>
  <si>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</si>
  <si>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</si>
  <si>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</si>
  <si>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</si>
  <si>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</si>
  <si>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</si>
  <si>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</si>
  <si>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</si>
  <si>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</si>
  <si>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</si>
  <si>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</si>
  <si>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</si>
  <si>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</si>
  <si>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</si>
  <si>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</si>
  <si>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</si>
  <si>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</si>
  <si>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</si>
  <si>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</si>
  <si>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</si>
  <si>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</si>
  <si>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</si>
  <si>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</si>
  <si>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</si>
  <si>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</si>
  <si>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</si>
  <si>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</si>
  <si>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</si>
  <si>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</si>
  <si>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</si>
  <si>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</si>
  <si>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</si>
  <si>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</si>
  <si>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</si>
  <si>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</si>
  <si>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</si>
  <si>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</si>
  <si>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</si>
  <si>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</si>
  <si>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</si>
  <si>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</si>
  <si>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</si>
  <si>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</si>
  <si>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</si>
  <si>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</si>
  <si>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</si>
  <si>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</si>
  <si>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</si>
  <si>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</si>
  <si>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</si>
  <si>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</si>
  <si>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</si>
  <si>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</si>
  <si>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</si>
  <si>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</si>
  <si>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</si>
  <si>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</si>
  <si>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</si>
  <si>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</si>
  <si>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</si>
  <si>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</si>
  <si>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</si>
  <si>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</si>
  <si>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</si>
  <si>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</si>
  <si>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</si>
  <si>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</si>
  <si>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</si>
  <si>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</si>
  <si>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</si>
  <si>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</si>
  <si>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</si>
  <si>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</si>
  <si>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</si>
  <si>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</si>
  <si>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</si>
  <si>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</si>
  <si>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</si>
  <si>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</si>
  <si>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</si>
  <si>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</si>
  <si>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</si>
  <si>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</si>
  <si>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</si>
  <si>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</si>
  <si>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</si>
  <si>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</si>
  <si>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</si>
  <si>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</si>
  <si>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</si>
  <si>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</si>
  <si>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</si>
  <si>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</si>
  <si>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</si>
  <si>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</si>
  <si>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</si>
  <si>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</si>
  <si>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</si>
  <si>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</si>
  <si>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</si>
  <si>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</si>
  <si>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</si>
  <si>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</si>
  <si>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</si>
  <si>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</si>
  <si>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</si>
  <si>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</si>
  <si>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</si>
  <si>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</si>
  <si>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</si>
  <si>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</si>
  <si>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</si>
  <si>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</si>
  <si>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</si>
  <si>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</si>
  <si>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</si>
  <si>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</si>
  <si>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</si>
  <si>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</si>
  <si>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</si>
  <si>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</si>
  <si>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</si>
  <si>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</si>
  <si>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</si>
  <si>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</si>
  <si>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</si>
  <si>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</si>
  <si>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</si>
  <si>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</si>
  <si>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</si>
  <si>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</si>
  <si>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</si>
  <si>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</si>
  <si>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</si>
  <si>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</si>
  <si>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</si>
  <si>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</si>
  <si>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</si>
  <si>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</si>
  <si>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</si>
  <si>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</si>
  <si>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</si>
  <si>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</si>
  <si>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</si>
  <si>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</si>
  <si>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</si>
  <si>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</si>
  <si>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</si>
  <si>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</si>
  <si>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</si>
  <si>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</si>
  <si>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</si>
  <si>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</si>
  <si>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</si>
  <si>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</si>
  <si>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</si>
  <si>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</si>
  <si>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</si>
  <si>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</si>
  <si>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</si>
  <si>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</si>
  <si>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</si>
  <si>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</si>
  <si>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</si>
  <si>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</si>
  <si>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</si>
  <si>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</si>
  <si>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</si>
  <si>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</si>
  <si>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</si>
  <si>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</si>
  <si>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</si>
  <si>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</si>
  <si>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</si>
  <si>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</si>
  <si>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</si>
  <si>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</si>
  <si>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</si>
  <si>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</si>
  <si>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</si>
  <si>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</si>
  <si>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</si>
  <si>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</si>
  <si>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</si>
  <si>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</si>
  <si>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</si>
  <si>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</si>
  <si>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</si>
  <si>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</si>
  <si>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</si>
  <si>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</si>
  <si>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</si>
  <si>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</si>
  <si>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</si>
  <si>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</si>
  <si>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</si>
  <si>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</si>
  <si>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</si>
  <si>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</si>
  <si>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</si>
  <si>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</si>
  <si>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</si>
  <si>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</si>
  <si>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</si>
  <si>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</si>
  <si>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</si>
  <si>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</si>
  <si>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</si>
  <si>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</si>
  <si>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</si>
  <si>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</si>
  <si>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</si>
  <si>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</si>
  <si>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</si>
  <si>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</si>
  <si>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</si>
  <si>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</si>
  <si>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</si>
  <si>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</si>
  <si>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</si>
  <si>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</si>
  <si>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</si>
  <si>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</si>
  <si>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</si>
  <si>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</si>
  <si>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</si>
  <si>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</si>
  <si>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</si>
  <si>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</si>
  <si>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</si>
  <si>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</si>
  <si>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</si>
  <si>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</si>
  <si>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</si>
  <si>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</si>
  <si>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</si>
  <si>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</si>
  <si>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</si>
  <si>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</si>
  <si>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</si>
  <si>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</si>
  <si>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</si>
  <si>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</si>
  <si>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</si>
  <si>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</si>
  <si>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</si>
  <si>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</si>
  <si>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</si>
  <si>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</si>
  <si>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</si>
  <si>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</si>
  <si>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</si>
  <si>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</si>
  <si>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</si>
  <si>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</si>
  <si>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</si>
  <si>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</si>
  <si>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</si>
  <si>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</si>
  <si>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</si>
  <si>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</si>
  <si>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</si>
  <si>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</si>
  <si>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</si>
  <si>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</si>
  <si>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</si>
  <si>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</si>
  <si>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</si>
  <si>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</si>
  <si>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</si>
  <si>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</si>
  <si>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</si>
  <si>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</si>
  <si>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</si>
  <si>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</si>
  <si>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</si>
  <si>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</si>
  <si>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</si>
  <si>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</si>
  <si>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</si>
  <si>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</si>
  <si>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</si>
  <si>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</si>
  <si>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</si>
  <si>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</si>
  <si>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</si>
  <si>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</si>
  <si>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</si>
  <si>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</si>
  <si>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</si>
  <si>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</si>
  <si>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</si>
  <si>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</si>
  <si>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</si>
  <si>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</si>
  <si>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</si>
  <si>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</si>
  <si>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</si>
  <si>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</si>
  <si>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</si>
  <si>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</si>
  <si>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</si>
  <si>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</si>
  <si>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</si>
  <si>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</si>
  <si>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</si>
  <si>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</si>
  <si>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</si>
  <si>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</si>
  <si>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</si>
  <si>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</si>
  <si>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</si>
  <si>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</si>
  <si>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</si>
  <si>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</si>
  <si>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</si>
  <si>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</si>
  <si>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</si>
  <si>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</si>
  <si>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</si>
  <si>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</si>
  <si>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</si>
  <si>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</si>
  <si>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</si>
  <si>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</si>
  <si>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</si>
  <si>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</si>
  <si>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</si>
  <si>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</si>
  <si>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</si>
  <si>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</si>
  <si>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</si>
  <si>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</si>
  <si>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</si>
  <si>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</si>
  <si>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</si>
  <si>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</si>
  <si>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</si>
  <si>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</si>
  <si>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</si>
  <si>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</si>
  <si>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</si>
  <si>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</si>
  <si>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</si>
  <si>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</si>
  <si>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</si>
  <si>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</si>
  <si>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</si>
  <si>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</si>
  <si>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</si>
  <si>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</si>
  <si>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</si>
  <si>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</si>
  <si>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</si>
  <si>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</si>
  <si>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</si>
  <si>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</si>
  <si>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</si>
  <si>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</si>
  <si>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</si>
  <si>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</si>
  <si>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</si>
  <si>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</si>
  <si>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</si>
  <si>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</si>
  <si>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</si>
  <si>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</si>
  <si>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</si>
  <si>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</si>
  <si>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</si>
  <si>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</si>
  <si>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</si>
  <si>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</si>
  <si>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</si>
  <si>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</si>
  <si>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</si>
  <si>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</si>
  <si>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</si>
  <si>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</si>
  <si>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</si>
  <si>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</si>
  <si>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</si>
  <si>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</si>
  <si>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</si>
  <si>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</si>
  <si>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</si>
  <si>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</si>
  <si>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</si>
  <si>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</si>
  <si>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</si>
  <si>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</si>
  <si>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</si>
  <si>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</si>
  <si>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</si>
  <si>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</si>
  <si>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</si>
  <si>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</si>
  <si>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</si>
  <si>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</si>
  <si>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</si>
  <si>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</si>
  <si>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</si>
  <si>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</si>
  <si>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</si>
  <si>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</si>
  <si>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</si>
  <si>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</si>
  <si>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</si>
  <si>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</si>
  <si>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</si>
  <si>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</si>
  <si>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</si>
  <si>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</si>
  <si>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</si>
  <si>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</si>
  <si>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</si>
  <si>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</si>
  <si>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</si>
  <si>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</si>
  <si>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</si>
  <si>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</si>
  <si>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</si>
  <si>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</si>
  <si>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</si>
  <si>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</si>
  <si>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</si>
  <si>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</si>
  <si>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</si>
  <si>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</si>
  <si>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</si>
  <si>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</si>
  <si>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</si>
  <si>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</si>
  <si>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</si>
  <si>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</si>
  <si>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</si>
  <si>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</si>
  <si>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</si>
  <si>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</si>
  <si>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</si>
  <si>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</si>
  <si>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</si>
  <si>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</si>
  <si>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</si>
  <si>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</si>
  <si>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</si>
  <si>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</si>
  <si>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</si>
  <si>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</si>
  <si>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</si>
  <si>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</si>
  <si>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</si>
  <si>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</si>
  <si>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</si>
  <si>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</si>
  <si>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</si>
  <si>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</si>
  <si>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</si>
  <si>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</si>
  <si>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</si>
  <si>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</si>
  <si>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</si>
  <si>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</si>
  <si>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</si>
  <si>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</si>
  <si>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</si>
  <si>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</si>
  <si>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</si>
  <si>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</si>
  <si>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</si>
  <si>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</si>
  <si>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</si>
  <si>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</si>
  <si>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</si>
  <si>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</si>
  <si>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</si>
  <si>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</si>
  <si>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</si>
  <si>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</si>
  <si>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</si>
  <si>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</si>
  <si>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</si>
  <si>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</si>
  <si>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</si>
  <si>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</si>
  <si>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</si>
  <si>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</si>
  <si>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</si>
  <si>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</si>
  <si>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</si>
  <si>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</si>
  <si>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</si>
  <si>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</si>
  <si>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</si>
  <si>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</si>
  <si>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</si>
  <si>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</si>
  <si>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</si>
  <si>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</si>
  <si>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</si>
  <si>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</si>
  <si>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</si>
  <si>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</si>
  <si>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</si>
  <si>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</si>
  <si>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</si>
  <si>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</si>
  <si>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</si>
  <si>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</si>
  <si>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</si>
  <si>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</si>
  <si>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</si>
  <si>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</si>
  <si>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</si>
  <si>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</si>
  <si>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</si>
  <si>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</si>
  <si>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</si>
  <si>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</si>
  <si>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</si>
  <si>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</si>
  <si>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</si>
  <si>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</si>
  <si>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</si>
  <si>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</si>
  <si>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</si>
  <si>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</si>
  <si>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</si>
  <si>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مبل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</si>
  <si>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</si>
  <si>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</si>
  <si>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</si>
  <si>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</si>
  <si>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</si>
  <si>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</si>
  <si>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</si>
  <si>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</si>
  <si>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</si>
  <si>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</si>
  <si>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</si>
  <si>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</si>
  <si>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</si>
  <si>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</si>
  <si>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</si>
  <si>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</si>
  <si>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</si>
  <si>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</si>
  <si>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</si>
  <si>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</si>
  <si>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</si>
  <si>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</si>
  <si>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</si>
  <si>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</si>
  <si>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</si>
  <si>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</si>
  <si>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</si>
  <si>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</si>
  <si>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</si>
  <si>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</si>
  <si>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</si>
  <si>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</si>
  <si>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</si>
  <si>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</si>
  <si>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</si>
  <si>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</si>
  <si>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</si>
  <si>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</si>
  <si>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</si>
  <si>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</si>
  <si>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</si>
  <si>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</si>
  <si>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</si>
  <si>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</si>
  <si>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</si>
  <si>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</si>
  <si>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</si>
  <si>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</si>
  <si>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</si>
  <si>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</si>
  <si>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</si>
  <si>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</si>
  <si>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</si>
  <si>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</si>
  <si>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</si>
  <si>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</si>
  <si>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</si>
  <si>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</si>
  <si>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</si>
  <si>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</si>
  <si>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</si>
  <si>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</si>
  <si>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</si>
  <si>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</si>
  <si>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</si>
  <si>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</si>
  <si>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</si>
  <si>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</si>
  <si>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</si>
  <si>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</si>
  <si>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</si>
  <si>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</si>
  <si>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</si>
  <si>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</si>
  <si>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</si>
  <si>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</si>
  <si>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</si>
  <si>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</si>
  <si>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</si>
  <si>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</si>
  <si>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</si>
  <si>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</si>
  <si>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</si>
  <si>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</si>
  <si>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</si>
  <si>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</si>
  <si>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</si>
  <si>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</si>
  <si>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</si>
  <si>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</si>
  <si>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</si>
  <si>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</si>
  <si>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</si>
  <si>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</si>
  <si>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</si>
  <si>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</si>
  <si>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</si>
  <si>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</si>
  <si>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</si>
  <si>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</si>
  <si>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</si>
  <si>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</si>
  <si>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</si>
  <si>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</si>
  <si>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</si>
  <si>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</si>
  <si>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</si>
  <si>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</si>
  <si>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</si>
  <si>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</si>
  <si>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</si>
  <si>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</si>
  <si>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</si>
  <si>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</si>
  <si>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</si>
  <si>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</si>
  <si>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</si>
  <si>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</si>
  <si>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</si>
  <si>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</si>
  <si>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</si>
  <si>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</si>
  <si>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</si>
  <si>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</si>
  <si>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</si>
  <si>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</si>
  <si>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</si>
  <si>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</si>
  <si>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</si>
  <si>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</si>
  <si>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</si>
  <si>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</si>
  <si>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</si>
  <si>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</si>
  <si>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</si>
  <si>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</si>
  <si>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</si>
  <si>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</si>
  <si>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</si>
  <si>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</si>
  <si>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</si>
  <si>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</si>
  <si>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</si>
  <si>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</si>
  <si>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</si>
  <si>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</si>
  <si>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</si>
  <si>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</si>
  <si>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</si>
  <si>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</si>
  <si>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</si>
  <si>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</si>
  <si>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</si>
  <si>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</si>
  <si>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</si>
  <si>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</si>
  <si>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</si>
  <si>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</si>
  <si>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</si>
  <si>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</si>
  <si>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</si>
  <si>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</si>
  <si>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</si>
  <si>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</si>
  <si>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</si>
  <si>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</si>
  <si>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</si>
  <si>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</si>
  <si>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</si>
  <si>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</si>
  <si>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</si>
  <si>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</si>
  <si>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</si>
  <si>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</si>
  <si>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</si>
  <si>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</si>
  <si>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</si>
  <si>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</si>
  <si>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</si>
  <si>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</si>
  <si>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</si>
  <si>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</si>
  <si>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</si>
  <si>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</si>
  <si>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</si>
  <si>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</si>
  <si>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</si>
  <si>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</si>
  <si>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</si>
  <si>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</si>
  <si>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</si>
  <si>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</si>
  <si>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</si>
  <si>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</si>
  <si>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</si>
  <si>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</si>
  <si>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</si>
  <si>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</si>
  <si>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</si>
  <si>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</si>
  <si>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</si>
  <si>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</si>
  <si>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</si>
  <si>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</si>
  <si>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</si>
  <si>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</si>
  <si>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</si>
  <si>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</si>
  <si>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</si>
  <si>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</si>
  <si>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</si>
  <si>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</si>
  <si>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</si>
  <si>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</si>
  <si>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</si>
  <si>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</si>
  <si>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</si>
  <si>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</si>
  <si>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</si>
  <si>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</si>
  <si>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</si>
  <si>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</si>
  <si>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</si>
  <si>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</si>
  <si>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</si>
  <si>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</si>
  <si>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</si>
  <si>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</si>
  <si>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</si>
  <si>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</si>
  <si>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</si>
  <si>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</si>
  <si>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</si>
  <si>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</si>
  <si>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</si>
  <si>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</si>
  <si>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</si>
  <si>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</si>
  <si>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</si>
  <si>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</si>
  <si>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</si>
  <si>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</si>
  <si>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</si>
  <si>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</si>
  <si>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</si>
  <si>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</si>
  <si>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</si>
  <si>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</si>
  <si>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</si>
  <si>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</si>
  <si>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</si>
  <si>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</si>
  <si>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</si>
  <si>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</si>
  <si>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</si>
  <si>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</si>
  <si>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</si>
  <si>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</si>
  <si>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</si>
  <si>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</si>
  <si>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</si>
  <si>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</si>
  <si>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</si>
  <si>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</si>
  <si>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</si>
  <si>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</si>
  <si>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</si>
  <si>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</si>
  <si>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</si>
  <si>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</si>
  <si>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</si>
  <si>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</si>
  <si>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</si>
  <si>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</si>
  <si>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</si>
  <si>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</si>
  <si>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</si>
  <si>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</si>
  <si>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</si>
  <si>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</si>
  <si>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</si>
  <si>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</si>
  <si>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</si>
  <si>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</si>
  <si>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</si>
  <si>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</si>
  <si>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</si>
  <si>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</si>
  <si>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</si>
  <si>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</si>
  <si>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</si>
  <si>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</si>
  <si>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</si>
  <si>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</si>
  <si>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</si>
  <si>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</si>
  <si>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</si>
  <si>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</si>
  <si>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</si>
  <si>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</si>
  <si>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</si>
  <si>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</si>
  <si>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</si>
  <si>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</si>
  <si>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</si>
  <si>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</si>
  <si>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</si>
  <si>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</si>
  <si>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</si>
  <si>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</si>
  <si>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</si>
  <si>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</si>
  <si>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</si>
  <si>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</si>
  <si>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</si>
  <si>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</si>
  <si>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</si>
  <si>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</si>
  <si>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</si>
  <si>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</si>
  <si>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</si>
  <si>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</si>
  <si>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</si>
  <si>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</si>
  <si>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</si>
  <si>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</si>
  <si>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</si>
  <si>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</si>
  <si>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</si>
  <si>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</si>
  <si>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</si>
  <si>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</si>
  <si>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</si>
  <si>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</si>
  <si>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</si>
  <si>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</si>
  <si>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</si>
  <si>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</si>
  <si>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</si>
  <si>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</si>
  <si>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</si>
  <si>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</si>
  <si>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</si>
  <si>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</si>
  <si>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</si>
  <si>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</si>
  <si>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</si>
  <si>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</si>
  <si>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</si>
  <si>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</si>
  <si>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</si>
  <si>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</si>
  <si>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</si>
  <si>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</si>
  <si>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</si>
  <si>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</si>
  <si>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</si>
  <si>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</si>
  <si>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</si>
  <si>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</si>
  <si>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</si>
  <si>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</si>
  <si>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</si>
  <si>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</si>
  <si>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</si>
  <si>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</si>
  <si>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</si>
  <si>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</si>
  <si>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</si>
  <si>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</si>
  <si>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</si>
  <si>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</si>
  <si>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</si>
  <si>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</si>
  <si>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</si>
  <si>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</si>
  <si>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</si>
  <si>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</si>
  <si>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</si>
  <si>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</si>
  <si>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</si>
  <si>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</si>
  <si>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</si>
  <si>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</si>
  <si>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</si>
  <si>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</si>
  <si>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</si>
  <si>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شفن</t>
  </si>
  <si>
    <t>شخارک</t>
  </si>
  <si>
    <t>پردیس</t>
  </si>
  <si>
    <t>نماد</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</si>
  <si>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</si>
  <si>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</si>
  <si>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</si>
  <si>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</si>
  <si>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</si>
  <si>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</si>
  <si>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</si>
  <si>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</si>
  <si>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</si>
  <si>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</si>
  <si>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</si>
  <si>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</si>
  <si>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</si>
  <si>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</si>
  <si>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</si>
  <si>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</si>
  <si>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</si>
  <si>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</si>
  <si>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</si>
  <si>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</si>
  <si>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</si>
  <si>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</si>
  <si>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</si>
  <si>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</si>
  <si>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</si>
  <si>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</si>
  <si>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فملی</t>
  </si>
  <si>
    <t>مجموع سهام حساب علی</t>
  </si>
  <si>
    <t xml:space="preserve">تعداد </t>
  </si>
  <si>
    <t>9/10/1397</t>
  </si>
  <si>
    <t>از ملت علی به مسکن 1 و2 مریم 9/10/97</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</si>
  <si>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</si>
  <si>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</si>
  <si>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</si>
  <si>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</si>
  <si>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</si>
  <si>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</si>
  <si>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</si>
  <si>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</si>
  <si>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</si>
  <si>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</si>
  <si>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</si>
  <si>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</si>
  <si>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</si>
  <si>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</si>
  <si>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</si>
  <si>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</si>
  <si>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</si>
  <si>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</si>
  <si>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</si>
  <si>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</si>
  <si>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</si>
  <si>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</si>
  <si>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</si>
  <si>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</si>
  <si>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</si>
  <si>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</si>
  <si>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</si>
  <si>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</si>
  <si>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</si>
  <si>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</si>
  <si>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</si>
  <si>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</si>
  <si>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</si>
  <si>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</si>
  <si>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</si>
  <si>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</si>
  <si>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</si>
  <si>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</si>
  <si>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</si>
  <si>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</si>
  <si>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</si>
  <si>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</si>
  <si>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</si>
  <si>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</si>
  <si>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</si>
  <si>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</si>
  <si>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</si>
  <si>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</si>
  <si>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</si>
  <si>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</si>
  <si>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</si>
  <si>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</si>
  <si>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</si>
  <si>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</si>
  <si>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</si>
  <si>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</si>
  <si>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</si>
  <si>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</si>
  <si>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</si>
  <si>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</si>
  <si>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</si>
  <si>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</si>
  <si>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</si>
  <si>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</si>
  <si>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</si>
  <si>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</si>
  <si>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</si>
  <si>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</si>
  <si>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</si>
  <si>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</si>
  <si>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</si>
  <si>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</si>
  <si>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</si>
  <si>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</si>
  <si>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</si>
  <si>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</si>
  <si>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</si>
  <si>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</si>
  <si>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</si>
  <si>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</si>
  <si>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</si>
  <si>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</si>
  <si>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</si>
  <si>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</si>
  <si>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</si>
  <si>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</si>
  <si>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</si>
  <si>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</si>
  <si>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</si>
  <si>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</si>
  <si>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</si>
  <si>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</si>
  <si>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</si>
  <si>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</si>
  <si>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</si>
  <si>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</si>
  <si>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</si>
  <si>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</si>
  <si>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</si>
  <si>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</si>
  <si>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</si>
  <si>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</si>
  <si>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</si>
  <si>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</si>
  <si>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</si>
  <si>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</si>
  <si>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</si>
  <si>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</si>
  <si>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</si>
  <si>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</si>
  <si>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</si>
  <si>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</si>
  <si>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</si>
  <si>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</si>
  <si>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</si>
  <si>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</si>
  <si>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</si>
  <si>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</si>
  <si>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</si>
  <si>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</si>
  <si>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</si>
  <si>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</si>
  <si>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</si>
  <si>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</si>
  <si>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</si>
  <si>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</si>
  <si>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</si>
  <si>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</si>
  <si>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</si>
  <si>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</si>
  <si>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</si>
  <si>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</si>
  <si>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</si>
  <si>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</si>
  <si>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</si>
  <si>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</si>
  <si>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</si>
  <si>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</si>
  <si>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</si>
  <si>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</si>
  <si>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</si>
  <si>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</si>
  <si>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</si>
  <si>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</si>
  <si>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</si>
  <si>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</si>
  <si>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</si>
  <si>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</si>
  <si>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</si>
  <si>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</si>
  <si>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</si>
  <si>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</si>
  <si>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</si>
  <si>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</si>
  <si>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</si>
  <si>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</si>
  <si>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</si>
  <si>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</si>
  <si>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</si>
  <si>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</si>
  <si>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</si>
  <si>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</si>
  <si>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</si>
  <si>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</si>
  <si>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</si>
  <si>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</si>
  <si>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</si>
  <si>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</si>
  <si>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</si>
  <si>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</si>
  <si>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</si>
  <si>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</si>
  <si>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</si>
  <si>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</si>
  <si>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</si>
  <si>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</si>
  <si>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</si>
  <si>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</si>
  <si>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</si>
  <si>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</si>
  <si>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</si>
  <si>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</si>
  <si>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</si>
  <si>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</si>
  <si>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</si>
  <si>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</si>
  <si>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</si>
  <si>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</si>
  <si>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</si>
  <si>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</si>
  <si>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</si>
  <si>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</si>
  <si>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</si>
  <si>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</si>
  <si>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</si>
  <si>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</si>
  <si>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</si>
  <si>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</si>
  <si>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</si>
  <si>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</si>
  <si>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</si>
  <si>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</si>
  <si>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</si>
  <si>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</si>
  <si>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</si>
  <si>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</si>
  <si>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</si>
  <si>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</si>
  <si>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</si>
  <si>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</si>
  <si>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</si>
  <si>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</si>
  <si>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</si>
  <si>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</si>
  <si>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</si>
  <si>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</si>
  <si>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</si>
  <si>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</si>
  <si>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</si>
  <si>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</si>
  <si>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</si>
  <si>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</si>
  <si>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</si>
  <si>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</si>
  <si>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</si>
  <si>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</si>
  <si>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</si>
  <si>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</si>
  <si>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</si>
  <si>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</si>
  <si>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</si>
  <si>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</si>
  <si>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</si>
  <si>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</si>
  <si>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</si>
  <si>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</si>
  <si>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</si>
  <si>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</si>
  <si>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</si>
  <si>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</si>
  <si>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</si>
  <si>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</si>
  <si>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</si>
  <si>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</si>
  <si>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</si>
  <si>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</si>
  <si>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</si>
  <si>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</si>
  <si>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</si>
  <si>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</si>
  <si>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</si>
  <si>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</si>
  <si>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</si>
  <si>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</si>
  <si>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</si>
  <si>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</si>
  <si>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</si>
  <si>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</si>
  <si>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</si>
  <si>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</si>
  <si>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</si>
  <si>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</si>
  <si>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</si>
  <si>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</si>
  <si>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</si>
  <si>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</si>
  <si>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</si>
  <si>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</si>
  <si>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</si>
  <si>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</si>
  <si>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</si>
  <si>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</si>
  <si>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</si>
  <si>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</si>
  <si>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</si>
  <si>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</si>
  <si>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</si>
  <si>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</si>
  <si>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</si>
  <si>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</si>
  <si>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</si>
  <si>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</si>
  <si>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</si>
  <si>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</si>
  <si>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</si>
  <si>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</si>
  <si>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</si>
  <si>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</si>
  <si>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</si>
  <si>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</si>
  <si>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</si>
  <si>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</si>
  <si>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</si>
  <si>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</si>
  <si>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</si>
  <si>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</si>
  <si>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</si>
  <si>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</si>
  <si>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</si>
  <si>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</si>
  <si>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</si>
  <si>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</si>
  <si>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</si>
  <si>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</si>
  <si>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</si>
  <si>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</si>
  <si>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</si>
  <si>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</si>
  <si>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</si>
  <si>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</si>
  <si>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</si>
  <si>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</si>
  <si>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</si>
  <si>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</si>
  <si>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</si>
  <si>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</si>
  <si>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</si>
  <si>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</si>
  <si>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</si>
  <si>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</si>
  <si>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</si>
  <si>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</si>
  <si>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</si>
  <si>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</si>
  <si>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</si>
  <si>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</si>
  <si>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</si>
  <si>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</si>
  <si>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</si>
  <si>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</si>
  <si>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</si>
  <si>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</si>
  <si>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</si>
  <si>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</si>
  <si>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</si>
  <si>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</si>
  <si>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</si>
  <si>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</si>
  <si>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</si>
  <si>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</si>
  <si>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</si>
  <si>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</si>
  <si>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</si>
  <si>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</si>
  <si>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</si>
  <si>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</si>
  <si>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</si>
  <si>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</si>
  <si>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</si>
  <si>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</si>
  <si>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</si>
  <si>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</si>
  <si>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</si>
  <si>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</si>
  <si>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</si>
  <si>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</si>
  <si>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</si>
  <si>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</si>
  <si>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</si>
  <si>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</si>
  <si>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</si>
  <si>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</si>
  <si>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</si>
  <si>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</si>
  <si>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</si>
  <si>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</si>
  <si>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</si>
  <si>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</si>
  <si>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</si>
  <si>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</si>
  <si>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</si>
  <si>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</si>
  <si>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</si>
  <si>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</si>
  <si>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</si>
  <si>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</si>
  <si>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</si>
  <si>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</si>
  <si>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</si>
  <si>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</si>
  <si>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</si>
  <si>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</si>
  <si>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</si>
  <si>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</si>
  <si>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</si>
  <si>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</si>
  <si>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</si>
  <si>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</si>
  <si>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</si>
  <si>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</si>
  <si>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</si>
  <si>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</si>
  <si>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</si>
  <si>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</si>
  <si>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</si>
  <si>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</si>
  <si>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</si>
  <si>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</si>
  <si>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</si>
  <si>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</si>
  <si>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</si>
  <si>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</si>
  <si>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</si>
  <si>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</si>
  <si>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</si>
  <si>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</si>
  <si>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</si>
  <si>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</si>
  <si>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</si>
  <si>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</si>
  <si>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</si>
  <si>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</si>
  <si>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</si>
  <si>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</si>
  <si>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</si>
  <si>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</si>
  <si>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</si>
  <si>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</si>
  <si>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</si>
  <si>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</si>
  <si>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</si>
  <si>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</si>
  <si>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</si>
  <si>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</si>
  <si>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</si>
  <si>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</si>
  <si>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</si>
  <si>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</si>
  <si>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</si>
  <si>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</si>
  <si>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</si>
  <si>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</si>
  <si>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</si>
  <si>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</si>
  <si>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</si>
  <si>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</si>
  <si>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</si>
  <si>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</si>
  <si>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</si>
  <si>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</si>
  <si>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</si>
  <si>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</si>
  <si>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</si>
  <si>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</si>
  <si>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</si>
  <si>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</si>
  <si>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</si>
  <si>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</si>
  <si>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</si>
  <si>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</si>
  <si>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</si>
  <si>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</si>
  <si>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</si>
  <si>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</si>
  <si>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</si>
  <si>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</si>
  <si>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</si>
  <si>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</si>
  <si>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</si>
  <si>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</si>
  <si>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</si>
  <si>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</si>
  <si>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</si>
  <si>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</si>
  <si>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</si>
  <si>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</si>
  <si>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</si>
  <si>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</si>
  <si>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</si>
  <si>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</si>
  <si>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</si>
  <si>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</si>
  <si>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</si>
  <si>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</si>
  <si>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</si>
  <si>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</si>
  <si>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</si>
  <si>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</si>
  <si>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</si>
  <si>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</si>
  <si>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</si>
  <si>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</si>
  <si>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</si>
  <si>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</si>
  <si>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</si>
  <si>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</si>
  <si>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</si>
  <si>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</si>
  <si>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</si>
  <si>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</si>
  <si>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</si>
  <si>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</si>
  <si>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</si>
  <si>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</si>
  <si>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</si>
  <si>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</si>
  <si>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</si>
  <si>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</si>
  <si>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</si>
  <si>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</si>
  <si>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</si>
  <si>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</si>
  <si>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</si>
  <si>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</si>
  <si>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</si>
  <si>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</si>
  <si>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</si>
  <si>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</si>
  <si>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</si>
  <si>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</si>
  <si>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</si>
  <si>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</si>
  <si>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</si>
  <si>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</si>
  <si>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</si>
  <si>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</si>
  <si>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</si>
  <si>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</si>
  <si>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</si>
  <si>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</si>
  <si>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</si>
  <si>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</si>
  <si>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</si>
  <si>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</si>
  <si>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</si>
  <si>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</si>
  <si>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</si>
  <si>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</si>
  <si>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</si>
  <si>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</si>
  <si>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</si>
  <si>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</si>
  <si>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</si>
  <si>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</si>
  <si>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</si>
  <si>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</si>
  <si>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</si>
  <si>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</si>
  <si>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</si>
  <si>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</si>
  <si>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</si>
  <si>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</si>
  <si>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</si>
  <si>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</si>
  <si>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</si>
  <si>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</si>
  <si>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</si>
  <si>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</si>
  <si>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</si>
  <si>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</si>
  <si>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</si>
  <si>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</si>
  <si>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</si>
  <si>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</si>
  <si>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</si>
  <si>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</si>
  <si>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</si>
  <si>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</si>
  <si>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</si>
  <si>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</si>
  <si>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</si>
  <si>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</si>
  <si>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</si>
  <si>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</si>
  <si>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</si>
  <si>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</si>
  <si>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</si>
  <si>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</si>
  <si>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</si>
  <si>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</si>
  <si>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</si>
  <si>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</si>
  <si>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</si>
  <si>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</si>
  <si>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</si>
  <si>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</si>
  <si>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</si>
  <si>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</si>
  <si>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</si>
  <si>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</si>
  <si>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</si>
  <si>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</si>
  <si>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</si>
  <si>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</si>
  <si>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</si>
  <si>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</si>
  <si>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</si>
  <si>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</si>
  <si>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</si>
  <si>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</si>
  <si>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</si>
  <si>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</si>
  <si>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</si>
  <si>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</si>
  <si>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</si>
  <si>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</si>
  <si>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</si>
  <si>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</si>
  <si>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</si>
  <si>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</si>
  <si>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</si>
  <si>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</si>
  <si>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</si>
  <si>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</si>
  <si>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</si>
  <si>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</si>
  <si>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</si>
  <si>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</si>
  <si>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</si>
  <si>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</si>
  <si>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</si>
  <si>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</si>
  <si>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</si>
  <si>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</si>
  <si>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</si>
  <si>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</si>
  <si>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</si>
  <si>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</si>
  <si>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</si>
  <si>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</si>
  <si>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</si>
  <si>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</si>
  <si>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</si>
  <si>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</si>
  <si>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</si>
  <si>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</si>
  <si>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</si>
  <si>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</si>
  <si>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</si>
  <si>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</si>
  <si>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</si>
  <si>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</si>
  <si>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</si>
  <si>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</si>
  <si>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</si>
  <si>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</si>
  <si>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</si>
  <si>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</si>
  <si>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</si>
  <si>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</si>
  <si>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</si>
  <si>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</si>
  <si>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</si>
  <si>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</si>
  <si>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</si>
  <si>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</si>
  <si>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</si>
  <si>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</si>
  <si>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</si>
  <si>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</si>
  <si>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</si>
  <si>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</si>
  <si>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</si>
  <si>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</si>
  <si>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</si>
  <si>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</si>
  <si>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</si>
  <si>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</si>
  <si>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</si>
  <si>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</si>
  <si>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</si>
  <si>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</si>
  <si>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</si>
  <si>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</si>
  <si>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</si>
  <si>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</si>
  <si>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</si>
  <si>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</si>
  <si>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</si>
  <si>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</si>
  <si>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</si>
  <si>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</si>
  <si>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</si>
  <si>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</si>
  <si>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</si>
  <si>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</si>
  <si>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</si>
  <si>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</si>
  <si>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</si>
  <si>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</si>
  <si>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</si>
  <si>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</si>
  <si>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</si>
  <si>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</si>
  <si>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</si>
  <si>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</si>
  <si>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</si>
  <si>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</si>
  <si>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</si>
  <si>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</si>
  <si>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</si>
  <si>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</si>
  <si>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</si>
  <si>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</si>
  <si>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</si>
  <si>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</si>
  <si>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</si>
  <si>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</si>
  <si>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</si>
  <si>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</si>
  <si>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</si>
  <si>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</si>
  <si>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</si>
  <si>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</si>
  <si>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</si>
  <si>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</si>
  <si>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</si>
  <si>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</si>
  <si>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</si>
  <si>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</si>
  <si>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</si>
  <si>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</si>
  <si>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</si>
  <si>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</si>
  <si>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</si>
  <si>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</si>
  <si>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</si>
  <si>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</si>
  <si>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</si>
  <si>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</si>
  <si>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</si>
  <si>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</si>
  <si>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</si>
  <si>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</si>
  <si>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</si>
  <si>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</si>
  <si>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</si>
  <si>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</si>
  <si>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</si>
  <si>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</si>
  <si>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</si>
  <si>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</si>
  <si>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</si>
  <si>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</si>
  <si>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</si>
  <si>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</si>
  <si>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</si>
  <si>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</si>
  <si>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</si>
  <si>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</si>
  <si>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</si>
  <si>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</si>
  <si>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</si>
  <si>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</si>
  <si>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</si>
  <si>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</si>
  <si>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</si>
  <si>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</si>
  <si>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</si>
  <si>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</si>
  <si>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</si>
  <si>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</si>
  <si>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</si>
  <si>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</si>
  <si>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</si>
  <si>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</si>
  <si>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</si>
  <si>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</si>
  <si>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</si>
  <si>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</si>
  <si>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</si>
  <si>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</si>
  <si>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</si>
  <si>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</si>
  <si>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</si>
  <si>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</si>
  <si>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</si>
  <si>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</si>
  <si>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</si>
  <si>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</si>
  <si>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</si>
  <si>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</si>
  <si>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</si>
  <si>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</si>
  <si>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</si>
  <si>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</si>
  <si>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</si>
  <si>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</si>
  <si>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</si>
  <si>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</si>
  <si>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</si>
  <si>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</si>
  <si>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</si>
  <si>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</si>
  <si>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</si>
  <si>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</si>
  <si>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</si>
  <si>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</si>
  <si>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</si>
  <si>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</si>
  <si>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</si>
  <si>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</si>
  <si>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</si>
  <si>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</si>
  <si>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</si>
  <si>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</si>
  <si>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</si>
  <si>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</si>
  <si>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</si>
  <si>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</si>
  <si>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</si>
  <si>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</si>
  <si>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</si>
  <si>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</si>
  <si>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</si>
  <si>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</si>
  <si>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</si>
  <si>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</si>
  <si>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</si>
  <si>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</si>
  <si>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</si>
  <si>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</si>
  <si>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</si>
  <si>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</si>
  <si>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</si>
  <si>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</si>
  <si>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</si>
  <si>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</si>
  <si>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</si>
  <si>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</si>
  <si>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</si>
  <si>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</si>
  <si>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</si>
  <si>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19/12/1398</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</si>
  <si>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</si>
  <si>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</si>
  <si>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</si>
  <si>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</si>
  <si>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</si>
  <si>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</si>
  <si>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</si>
  <si>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</si>
  <si>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</si>
  <si>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</si>
  <si>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</si>
  <si>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</si>
  <si>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</si>
  <si>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</si>
  <si>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</si>
  <si>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</si>
  <si>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</si>
  <si>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</si>
  <si>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</si>
  <si>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</si>
  <si>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</si>
  <si>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</si>
  <si>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</si>
  <si>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</si>
  <si>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</si>
  <si>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</si>
  <si>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</si>
  <si>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</si>
  <si>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</si>
  <si>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</si>
  <si>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</si>
  <si>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</si>
  <si>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</si>
  <si>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</si>
  <si>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</si>
  <si>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</si>
  <si>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</si>
  <si>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</si>
  <si>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</si>
  <si>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</si>
  <si>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</si>
  <si>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</si>
  <si>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</si>
  <si>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</si>
  <si>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</si>
  <si>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</si>
  <si>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</si>
  <si>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</si>
  <si>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</si>
  <si>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</si>
  <si>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</si>
  <si>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</si>
  <si>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</si>
  <si>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</si>
  <si>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</si>
  <si>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</si>
  <si>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</si>
  <si>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</si>
  <si>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</si>
  <si>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</si>
  <si>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</si>
  <si>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</si>
  <si>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قسط انصار مریم از ملت علی 16/2/1399</t>
  </si>
  <si>
    <t>17/2/1399</t>
  </si>
  <si>
    <t>20/2/1399</t>
  </si>
  <si>
    <t>21/2/1399</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</si>
  <si>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</si>
  <si>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</si>
  <si>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</si>
  <si>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</si>
  <si>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</si>
  <si>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</si>
  <si>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</si>
  <si>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</si>
  <si>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</si>
  <si>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</si>
  <si>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</si>
  <si>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</si>
  <si>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</si>
  <si>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</si>
  <si>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</si>
  <si>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</si>
  <si>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</si>
  <si>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</si>
  <si>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</si>
  <si>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</si>
  <si>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</si>
  <si>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</si>
  <si>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</si>
  <si>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</si>
  <si>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</si>
  <si>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</si>
  <si>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</si>
  <si>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</si>
  <si>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</si>
  <si>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</si>
  <si>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</si>
  <si>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</si>
  <si>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</si>
  <si>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</si>
  <si>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</si>
  <si>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</si>
  <si>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</si>
  <si>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</si>
  <si>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</si>
  <si>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</si>
  <si>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</si>
  <si>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</si>
  <si>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</si>
  <si>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</si>
  <si>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</si>
  <si>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</si>
  <si>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</si>
  <si>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</si>
  <si>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</si>
  <si>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</si>
  <si>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</si>
  <si>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</si>
  <si>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</si>
  <si>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</si>
  <si>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</si>
  <si>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</si>
  <si>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</si>
  <si>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</si>
  <si>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</si>
  <si>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</si>
  <si>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</si>
  <si>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</si>
  <si>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</si>
  <si>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</si>
  <si>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</si>
  <si>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</si>
  <si>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</si>
  <si>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</si>
  <si>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</si>
  <si>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</si>
  <si>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</si>
  <si>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</si>
  <si>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</si>
  <si>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</si>
  <si>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</si>
  <si>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</si>
  <si>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</si>
  <si>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</si>
  <si>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</si>
  <si>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</si>
  <si>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</si>
  <si>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</si>
  <si>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</si>
  <si>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</si>
  <si>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</si>
  <si>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</si>
  <si>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</si>
  <si>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</si>
  <si>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</si>
  <si>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</si>
  <si>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</si>
  <si>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</si>
  <si>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</si>
  <si>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</si>
  <si>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</si>
  <si>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</si>
  <si>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</si>
  <si>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</si>
  <si>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</si>
  <si>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</si>
  <si>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</si>
  <si>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</si>
  <si>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</si>
  <si>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</si>
  <si>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</si>
  <si>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</si>
  <si>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</si>
  <si>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</si>
  <si>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</si>
  <si>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</si>
  <si>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</si>
  <si>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</si>
  <si>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</si>
  <si>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</si>
  <si>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</si>
  <si>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</si>
  <si>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</si>
  <si>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</si>
  <si>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</si>
  <si>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</si>
  <si>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</si>
  <si>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</si>
  <si>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</si>
  <si>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</si>
  <si>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</si>
  <si>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</si>
  <si>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</si>
  <si>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</si>
  <si>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</si>
  <si>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</si>
  <si>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</si>
  <si>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</si>
  <si>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</si>
  <si>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</si>
  <si>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</si>
  <si>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</si>
  <si>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</si>
  <si>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</si>
  <si>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</si>
  <si>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</si>
  <si>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</si>
  <si>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</si>
  <si>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</si>
  <si>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</si>
  <si>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</si>
  <si>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</si>
  <si>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</si>
  <si>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</si>
  <si>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</si>
  <si>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</si>
  <si>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</si>
  <si>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</si>
  <si>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</si>
  <si>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</si>
  <si>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</si>
  <si>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</si>
  <si>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</si>
  <si>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</si>
  <si>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</si>
  <si>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</si>
  <si>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</si>
  <si>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</si>
  <si>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</si>
  <si>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</si>
  <si>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</si>
  <si>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</si>
  <si>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</si>
  <si>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</si>
  <si>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</si>
  <si>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</si>
  <si>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</si>
  <si>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</si>
  <si>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</si>
  <si>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</si>
  <si>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</si>
  <si>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</si>
  <si>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</si>
  <si>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</si>
  <si>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</si>
  <si>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</si>
  <si>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</si>
  <si>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</si>
  <si>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</si>
  <si>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</si>
  <si>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</si>
  <si>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</si>
  <si>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از ملت علی به ملت مریم 6/7/1399</t>
  </si>
  <si>
    <t>6/7/1399</t>
  </si>
  <si>
    <t>7/7/1399</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</si>
  <si>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</si>
  <si>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</si>
  <si>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</si>
  <si>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</si>
  <si>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</si>
  <si>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</si>
  <si>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</si>
  <si>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</si>
  <si>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از ملت علی به ملت مریم 12/7/1399</t>
  </si>
  <si>
    <t>13/7/1399</t>
  </si>
  <si>
    <t>14/7/1399</t>
  </si>
  <si>
    <t>15/7/1399</t>
  </si>
  <si>
    <t>16/7/1399</t>
  </si>
  <si>
    <t>19/7/1399</t>
  </si>
  <si>
    <t>20/7/1399</t>
  </si>
  <si>
    <t>21/7/1399</t>
  </si>
  <si>
    <t>22/7/1399</t>
  </si>
  <si>
    <t>23/7/1399</t>
  </si>
  <si>
    <t>http://members.tsetmc.com/tsev2/excel/MarketWatchPlus.aspx?d=0</t>
  </si>
  <si>
    <t>27/7/1399</t>
  </si>
  <si>
    <t>28/7/1399</t>
  </si>
  <si>
    <t>29/7/1399</t>
  </si>
  <si>
    <t>30/7/1399</t>
  </si>
  <si>
    <t>1/8/1399</t>
  </si>
  <si>
    <t>5/8/1399</t>
  </si>
  <si>
    <t>7/8/1399</t>
  </si>
  <si>
    <t>10/8/1399</t>
  </si>
  <si>
    <t>11/8/1399</t>
  </si>
  <si>
    <t>12/8/1399</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</si>
  <si>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</si>
  <si>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</si>
  <si>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</si>
  <si>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</si>
  <si>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</si>
  <si>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</si>
  <si>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</si>
  <si>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</si>
  <si>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</si>
  <si>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</si>
  <si>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</si>
  <si>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</si>
  <si>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</si>
  <si>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</si>
  <si>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</si>
  <si>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</si>
  <si>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</si>
  <si>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</si>
  <si>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</si>
  <si>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</si>
  <si>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</si>
  <si>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</si>
  <si>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</si>
  <si>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</si>
  <si>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</si>
  <si>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</si>
  <si>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</si>
  <si>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</si>
  <si>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</si>
  <si>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</si>
  <si>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</si>
  <si>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</si>
  <si>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</si>
  <si>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</si>
  <si>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</si>
  <si>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</si>
  <si>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</si>
  <si>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</si>
  <si>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</si>
  <si>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</si>
  <si>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</si>
  <si>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</si>
  <si>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</si>
  <si>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</si>
  <si>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</si>
  <si>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</si>
  <si>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</si>
  <si>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</si>
  <si>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</si>
  <si>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</si>
  <si>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</si>
  <si>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</si>
  <si>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</si>
  <si>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</si>
  <si>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</si>
  <si>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</si>
  <si>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</si>
  <si>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</si>
  <si>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</si>
  <si>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</si>
  <si>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</si>
  <si>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</si>
  <si>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</si>
  <si>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</si>
  <si>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</si>
  <si>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</si>
  <si>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</si>
  <si>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</si>
  <si>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</si>
  <si>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</si>
  <si>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</si>
  <si>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</si>
  <si>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</si>
  <si>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</si>
  <si>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</si>
  <si>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</si>
  <si>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</si>
  <si>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</si>
  <si>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</si>
  <si>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</si>
  <si>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</si>
  <si>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</si>
  <si>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</si>
  <si>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</si>
  <si>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</si>
  <si>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</si>
  <si>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</si>
  <si>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</si>
  <si>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</si>
  <si>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</si>
  <si>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</si>
  <si>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</si>
  <si>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</si>
  <si>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</si>
  <si>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</si>
  <si>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</si>
  <si>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</si>
  <si>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</si>
  <si>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</si>
  <si>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</si>
  <si>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</si>
  <si>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</si>
  <si>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</si>
  <si>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</si>
  <si>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</si>
  <si>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</si>
  <si>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</si>
  <si>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</si>
  <si>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</si>
  <si>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</si>
  <si>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</si>
  <si>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</si>
  <si>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</si>
  <si>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</si>
  <si>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</si>
  <si>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</si>
  <si>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</si>
  <si>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</si>
  <si>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</si>
  <si>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</si>
  <si>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</si>
  <si>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</si>
  <si>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</si>
  <si>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</si>
  <si>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</si>
  <si>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</si>
  <si>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</si>
  <si>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</si>
  <si>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</si>
  <si>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</si>
  <si>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</si>
  <si>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</si>
  <si>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</si>
  <si>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</si>
  <si>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</si>
  <si>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</si>
  <si>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</si>
  <si>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</si>
  <si>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</si>
  <si>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</si>
  <si>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</si>
  <si>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</si>
  <si>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</si>
  <si>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</si>
  <si>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</si>
  <si>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</si>
  <si>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</si>
  <si>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</si>
  <si>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</si>
  <si>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</si>
  <si>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</si>
  <si>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</si>
  <si>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</si>
  <si>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</si>
  <si>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</si>
  <si>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</si>
  <si>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</si>
  <si>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</si>
  <si>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</si>
  <si>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</si>
  <si>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</si>
  <si>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</si>
  <si>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</si>
  <si>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</si>
  <si>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</si>
  <si>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</si>
  <si>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</si>
  <si>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</si>
  <si>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</si>
  <si>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</si>
  <si>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</si>
  <si>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</si>
  <si>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</si>
  <si>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</si>
  <si>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</si>
  <si>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</si>
  <si>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</si>
  <si>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</si>
  <si>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</si>
  <si>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</si>
  <si>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</si>
  <si>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</si>
  <si>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</si>
  <si>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</si>
  <si>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</si>
  <si>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</si>
  <si>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</si>
  <si>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</si>
  <si>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</si>
  <si>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</si>
  <si>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</si>
  <si>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</si>
  <si>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</si>
  <si>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</si>
  <si>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</si>
  <si>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</si>
  <si>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</si>
  <si>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</si>
  <si>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</si>
  <si>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</si>
  <si>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</si>
  <si>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</si>
  <si>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</si>
  <si>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</si>
  <si>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</si>
  <si>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</si>
  <si>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</si>
  <si>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</si>
  <si>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</si>
  <si>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</si>
  <si>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</si>
  <si>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</si>
  <si>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</si>
  <si>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</si>
  <si>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</si>
  <si>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</si>
  <si>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</si>
  <si>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</si>
  <si>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</si>
  <si>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</si>
  <si>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</si>
  <si>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</si>
  <si>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</si>
  <si>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</si>
  <si>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</si>
  <si>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</si>
  <si>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</si>
  <si>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</si>
  <si>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</si>
  <si>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</si>
  <si>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</si>
  <si>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</si>
  <si>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</si>
  <si>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</si>
  <si>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</si>
  <si>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</si>
  <si>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</si>
  <si>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</si>
  <si>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</si>
  <si>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</si>
  <si>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</si>
  <si>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</si>
  <si>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</si>
  <si>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</si>
  <si>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</si>
  <si>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</si>
  <si>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</si>
  <si>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</si>
  <si>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</si>
  <si>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</si>
  <si>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</si>
  <si>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</si>
  <si>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</si>
  <si>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</si>
  <si>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</si>
  <si>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</si>
  <si>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</si>
  <si>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</si>
  <si>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</si>
  <si>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</si>
  <si>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</si>
  <si>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</si>
  <si>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</si>
  <si>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</si>
  <si>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</si>
  <si>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</si>
  <si>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</si>
  <si>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</si>
  <si>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</si>
  <si>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</si>
  <si>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</si>
  <si>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</si>
  <si>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</si>
  <si>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</si>
  <si>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</si>
  <si>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</si>
  <si>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</si>
  <si>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</si>
  <si>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</si>
  <si>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</si>
  <si>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</si>
  <si>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</si>
  <si>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</si>
  <si>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</si>
  <si>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</si>
  <si>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</si>
  <si>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</si>
  <si>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</si>
  <si>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</si>
  <si>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</si>
  <si>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</si>
  <si>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</si>
  <si>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</si>
  <si>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</si>
  <si>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</si>
  <si>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</si>
  <si>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</si>
  <si>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</si>
  <si>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</si>
  <si>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</si>
  <si>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</si>
  <si>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</si>
  <si>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</si>
  <si>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</si>
  <si>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</si>
  <si>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</si>
  <si>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</si>
  <si>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</si>
  <si>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</si>
  <si>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</si>
  <si>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</si>
  <si>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</si>
  <si>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</si>
  <si>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</si>
  <si>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</si>
  <si>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</si>
  <si>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</si>
  <si>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</si>
  <si>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</si>
  <si>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</si>
  <si>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</si>
  <si>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</si>
  <si>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</si>
  <si>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</si>
  <si>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</si>
  <si>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</si>
  <si>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</si>
  <si>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</si>
  <si>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</si>
  <si>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</si>
  <si>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</si>
  <si>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</si>
  <si>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</si>
  <si>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</si>
  <si>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</si>
  <si>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</si>
  <si>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</si>
  <si>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</si>
  <si>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</si>
  <si>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</si>
  <si>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</si>
  <si>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</si>
  <si>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</si>
  <si>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</si>
  <si>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</si>
  <si>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</si>
  <si>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</si>
  <si>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</si>
  <si>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</si>
  <si>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</si>
  <si>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</si>
  <si>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</si>
  <si>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</si>
  <si>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</si>
  <si>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</si>
  <si>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</si>
  <si>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</si>
  <si>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</si>
  <si>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</si>
  <si>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</si>
  <si>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</si>
  <si>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</si>
  <si>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</si>
  <si>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</si>
  <si>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</si>
  <si>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</si>
  <si>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</si>
  <si>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</si>
  <si>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</si>
  <si>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</si>
  <si>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</si>
  <si>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</si>
  <si>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</si>
  <si>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</si>
  <si>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</si>
  <si>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</si>
  <si>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</si>
  <si>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</si>
  <si>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</si>
  <si>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</si>
  <si>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</si>
  <si>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</si>
  <si>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</si>
  <si>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</si>
  <si>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</si>
  <si>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</si>
  <si>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</si>
  <si>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</si>
  <si>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</si>
  <si>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</si>
  <si>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</si>
  <si>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</si>
  <si>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</si>
  <si>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</si>
  <si>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</si>
  <si>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</si>
  <si>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</si>
  <si>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</si>
  <si>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</si>
  <si>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</si>
  <si>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</si>
  <si>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</si>
  <si>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</si>
  <si>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</si>
  <si>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</si>
  <si>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</si>
  <si>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</si>
  <si>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</si>
  <si>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</si>
  <si>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</si>
  <si>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</si>
  <si>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</si>
  <si>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</si>
  <si>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</si>
  <si>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</si>
  <si>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</si>
  <si>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</si>
  <si>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</si>
  <si>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</si>
  <si>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</si>
  <si>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</si>
  <si>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</si>
  <si>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</si>
  <si>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</si>
  <si>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</si>
  <si>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</si>
  <si>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</si>
  <si>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</si>
  <si>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</si>
  <si>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</si>
  <si>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</si>
  <si>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</si>
  <si>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</si>
  <si>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</si>
  <si>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</si>
  <si>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</si>
  <si>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</si>
  <si>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</si>
  <si>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</si>
  <si>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</si>
  <si>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</si>
  <si>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</si>
  <si>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</si>
  <si>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</si>
  <si>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</si>
  <si>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</si>
  <si>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</si>
  <si>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</si>
  <si>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</si>
  <si>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</si>
  <si>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</si>
  <si>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</si>
  <si>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</si>
  <si>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</si>
  <si>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</si>
  <si>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</si>
  <si>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</si>
  <si>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</si>
  <si>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</si>
  <si>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</si>
  <si>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</si>
  <si>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</si>
  <si>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</si>
  <si>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</si>
  <si>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</si>
  <si>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</si>
  <si>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</si>
  <si>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</si>
  <si>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</si>
  <si>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</si>
  <si>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</si>
  <si>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</si>
  <si>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</si>
  <si>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</si>
  <si>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</si>
  <si>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</si>
  <si>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</si>
  <si>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</si>
  <si>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</si>
  <si>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</si>
  <si>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</si>
  <si>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</si>
  <si>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</si>
  <si>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</si>
  <si>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</si>
  <si>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</si>
  <si>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</si>
  <si>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</si>
  <si>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</si>
  <si>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</si>
  <si>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</si>
  <si>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</si>
  <si>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</si>
  <si>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</si>
  <si>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</si>
  <si>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</si>
  <si>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</si>
  <si>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</si>
  <si>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</si>
  <si>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</si>
  <si>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</si>
  <si>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</si>
  <si>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</si>
  <si>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</si>
  <si>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</si>
  <si>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</si>
  <si>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</si>
  <si>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</si>
  <si>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</si>
  <si>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</si>
  <si>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</si>
  <si>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</si>
  <si>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31/1/1400</t>
  </si>
  <si>
    <t>اعتبار سارا</t>
  </si>
  <si>
    <t>حجم نقدینگی (هزار میلیارد تومن)</t>
  </si>
  <si>
    <t>ارزش نقدینگی بر حسب میلیارد دلار</t>
  </si>
  <si>
    <t>اانتهای سال</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</si>
  <si>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</si>
  <si>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</si>
  <si>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</si>
  <si>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</si>
  <si>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</si>
  <si>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</si>
  <si>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</si>
  <si>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</si>
  <si>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</si>
  <si>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</si>
  <si>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</si>
  <si>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</si>
  <si>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</si>
  <si>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</si>
  <si>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</si>
  <si>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</si>
  <si>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</si>
  <si>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</si>
  <si>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</si>
  <si>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</si>
  <si>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</si>
  <si>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</si>
  <si>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</si>
  <si>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</si>
  <si>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</si>
  <si>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</si>
  <si>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</si>
  <si>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</si>
  <si>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</si>
  <si>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</si>
  <si>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</si>
  <si>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</si>
  <si>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</si>
  <si>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</si>
  <si>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</si>
  <si>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</si>
  <si>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</si>
  <si>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</si>
  <si>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</si>
  <si>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</si>
  <si>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</si>
  <si>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</si>
  <si>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</si>
  <si>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</si>
  <si>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</si>
  <si>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</si>
  <si>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</si>
  <si>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</si>
  <si>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</si>
  <si>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</si>
  <si>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</si>
  <si>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</si>
  <si>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</si>
  <si>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</si>
  <si>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</si>
  <si>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</si>
  <si>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</si>
  <si>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</si>
  <si>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</si>
  <si>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</si>
  <si>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</si>
  <si>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15/4/1400</t>
  </si>
  <si>
    <t>16/4/1400</t>
  </si>
  <si>
    <t>19/4/1400</t>
  </si>
  <si>
    <t>کگل</t>
  </si>
  <si>
    <t>بیمه البرز</t>
  </si>
  <si>
    <t>وبملت</t>
  </si>
  <si>
    <t>سیمان فارس و خوزستان</t>
  </si>
  <si>
    <t>شرکتهای غیر بورسی</t>
  </si>
  <si>
    <t>سود تقسیمی برای ومهان 1400</t>
  </si>
  <si>
    <t>20/4/1400</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</si>
  <si>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</si>
  <si>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</si>
  <si>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</si>
  <si>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</si>
  <si>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</si>
  <si>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</si>
  <si>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</si>
  <si>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</si>
  <si>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</si>
  <si>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</si>
  <si>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</si>
  <si>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</si>
  <si>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</si>
  <si>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</si>
  <si>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</si>
  <si>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</si>
  <si>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</si>
  <si>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</si>
  <si>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</si>
  <si>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</si>
  <si>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</si>
  <si>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</si>
  <si>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</si>
  <si>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</si>
  <si>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</si>
  <si>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</si>
  <si>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</si>
  <si>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</si>
  <si>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</si>
  <si>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</si>
  <si>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</si>
  <si>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</si>
  <si>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</si>
  <si>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</si>
  <si>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</si>
  <si>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</si>
  <si>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</si>
  <si>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</si>
  <si>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</si>
  <si>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</si>
  <si>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</si>
  <si>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</si>
  <si>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</si>
  <si>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</si>
  <si>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</si>
  <si>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</si>
  <si>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</si>
  <si>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</si>
  <si>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</si>
  <si>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</si>
  <si>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</si>
  <si>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</si>
  <si>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</si>
  <si>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</si>
  <si>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</si>
  <si>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</si>
  <si>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</si>
  <si>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</si>
  <si>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</si>
  <si>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</si>
  <si>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</si>
  <si>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</si>
  <si>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</si>
  <si>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</si>
  <si>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</si>
  <si>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</si>
  <si>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</si>
  <si>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</si>
  <si>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</si>
  <si>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</si>
  <si>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</si>
  <si>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</si>
  <si>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</si>
  <si>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</si>
  <si>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</si>
  <si>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</si>
  <si>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</si>
  <si>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</si>
  <si>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</si>
  <si>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</si>
  <si>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</si>
  <si>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</si>
  <si>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</si>
  <si>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</si>
  <si>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</si>
  <si>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</si>
  <si>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</si>
  <si>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</si>
  <si>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</si>
  <si>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</si>
  <si>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</si>
  <si>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</si>
  <si>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</si>
  <si>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</si>
  <si>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</si>
  <si>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</si>
  <si>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</si>
  <si>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</si>
  <si>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</si>
  <si>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</si>
  <si>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</si>
  <si>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</si>
  <si>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</si>
  <si>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</si>
  <si>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</si>
  <si>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10/5/1400</t>
  </si>
  <si>
    <t>11/5/1400</t>
  </si>
  <si>
    <t>19/5/1400</t>
  </si>
  <si>
    <t>ومهان 356260 تا 1388</t>
  </si>
  <si>
    <t>20/5/1400</t>
  </si>
  <si>
    <t>سود ومهان علی و مریم</t>
  </si>
  <si>
    <t>سود ومهان سارا</t>
  </si>
  <si>
    <t>EPS</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</si>
  <si>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</si>
  <si>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</si>
  <si>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</si>
  <si>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</si>
  <si>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</si>
  <si>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</si>
  <si>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</si>
  <si>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</si>
  <si>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4/6/1400</t>
  </si>
  <si>
    <t>پرداخت به مونا از طرف مریم 24/5/1400</t>
  </si>
  <si>
    <t>حاج خانوم (800 دندانپزشکی و 900 حاجی)</t>
  </si>
  <si>
    <t>9/6/1400</t>
  </si>
  <si>
    <t>اینجا با مهدی صاف کردم و 20000 تا وغدیر هم سود دادم</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</si>
  <si>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</si>
  <si>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</si>
  <si>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</si>
  <si>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</si>
  <si>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</si>
  <si>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</si>
  <si>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</si>
  <si>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</si>
  <si>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</si>
  <si>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</si>
  <si>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</si>
  <si>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</si>
  <si>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</si>
  <si>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</si>
  <si>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</si>
  <si>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</si>
  <si>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</si>
  <si>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</si>
  <si>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</si>
  <si>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</si>
  <si>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</si>
  <si>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</si>
  <si>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</si>
  <si>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</si>
  <si>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</si>
  <si>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</si>
  <si>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</si>
  <si>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</si>
  <si>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</si>
  <si>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</si>
  <si>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</si>
  <si>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</si>
  <si>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</si>
  <si>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</si>
  <si>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</si>
  <si>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</si>
  <si>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</si>
  <si>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</si>
  <si>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</si>
  <si>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</si>
  <si>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</si>
  <si>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</si>
  <si>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</si>
  <si>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</si>
  <si>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</si>
  <si>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</si>
  <si>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</si>
  <si>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</si>
  <si>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</si>
  <si>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</si>
  <si>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</si>
  <si>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</si>
  <si>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</si>
  <si>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</si>
  <si>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</si>
  <si>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</si>
  <si>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</si>
  <si>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</si>
  <si>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</si>
  <si>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</si>
  <si>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</si>
  <si>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</si>
  <si>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</si>
  <si>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</si>
  <si>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</si>
  <si>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</si>
  <si>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</si>
  <si>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</si>
  <si>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</si>
  <si>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</si>
  <si>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</si>
  <si>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</si>
  <si>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</si>
  <si>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</si>
  <si>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</si>
  <si>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</si>
  <si>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</si>
  <si>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</si>
  <si>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</si>
  <si>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</si>
  <si>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</si>
  <si>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</si>
  <si>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</si>
  <si>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</si>
  <si>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</si>
  <si>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</si>
  <si>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</si>
  <si>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</si>
  <si>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</si>
  <si>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</si>
  <si>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</si>
  <si>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</si>
  <si>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</si>
  <si>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</si>
  <si>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</si>
  <si>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</si>
  <si>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</si>
  <si>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</si>
  <si>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</si>
  <si>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</si>
  <si>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</si>
  <si>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</si>
  <si>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</si>
  <si>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</si>
  <si>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</si>
  <si>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</si>
  <si>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</si>
  <si>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</si>
  <si>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</si>
  <si>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</si>
  <si>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</si>
  <si>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</si>
  <si>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</si>
  <si>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</si>
  <si>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</si>
  <si>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</si>
  <si>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</si>
  <si>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</si>
  <si>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</si>
  <si>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</si>
  <si>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</si>
  <si>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</si>
  <si>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</si>
  <si>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</si>
  <si>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</si>
  <si>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</si>
  <si>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</si>
  <si>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</si>
  <si>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</si>
  <si>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</si>
  <si>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</si>
  <si>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</si>
  <si>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</si>
  <si>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</si>
  <si>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</si>
  <si>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</si>
  <si>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</si>
  <si>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</si>
  <si>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</si>
  <si>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</si>
  <si>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</si>
  <si>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</si>
  <si>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</si>
  <si>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</si>
  <si>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</si>
  <si>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</si>
  <si>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</si>
  <si>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</si>
  <si>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</si>
  <si>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</si>
  <si>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</si>
  <si>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</si>
  <si>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</si>
  <si>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</si>
  <si>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</si>
  <si>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</si>
  <si>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</si>
  <si>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</si>
  <si>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</si>
  <si>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</si>
  <si>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</si>
  <si>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</si>
  <si>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</si>
  <si>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</si>
  <si>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</si>
  <si>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</si>
  <si>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</si>
  <si>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</si>
  <si>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</si>
  <si>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</si>
  <si>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</si>
  <si>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</si>
  <si>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</si>
  <si>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</si>
  <si>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</si>
  <si>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</si>
  <si>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</si>
  <si>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</si>
  <si>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</si>
  <si>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</si>
  <si>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</si>
  <si>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</si>
  <si>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</si>
  <si>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</si>
  <si>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</si>
  <si>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</si>
  <si>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</si>
  <si>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</si>
  <si>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</si>
  <si>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</si>
  <si>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</si>
  <si>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</si>
  <si>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</si>
  <si>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</si>
  <si>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</si>
  <si>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</si>
  <si>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</si>
  <si>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</si>
  <si>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</si>
  <si>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</si>
  <si>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</si>
  <si>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</si>
  <si>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</si>
  <si>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</si>
  <si>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</si>
  <si>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</si>
  <si>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</si>
  <si>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</si>
  <si>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</si>
  <si>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</si>
  <si>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</si>
  <si>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</si>
  <si>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</si>
  <si>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</si>
  <si>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</si>
  <si>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</si>
  <si>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</si>
  <si>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</si>
  <si>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</si>
  <si>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</si>
  <si>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</si>
  <si>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</si>
  <si>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</si>
  <si>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</si>
  <si>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</si>
  <si>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</si>
  <si>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</si>
  <si>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</si>
  <si>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</si>
  <si>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</si>
  <si>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</si>
  <si>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</si>
  <si>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</si>
  <si>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</si>
  <si>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</si>
  <si>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</si>
  <si>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</si>
  <si>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</si>
  <si>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</si>
  <si>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</si>
  <si>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</si>
  <si>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</si>
  <si>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</si>
  <si>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</si>
  <si>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</si>
  <si>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</si>
  <si>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</si>
  <si>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</si>
  <si>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</si>
  <si>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</si>
  <si>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</si>
  <si>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</si>
  <si>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</si>
  <si>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</si>
  <si>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</si>
  <si>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</si>
  <si>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</si>
  <si>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</si>
  <si>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</si>
  <si>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</si>
  <si>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</si>
  <si>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</si>
  <si>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</si>
  <si>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</si>
  <si>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</si>
  <si>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</si>
  <si>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</si>
  <si>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</si>
  <si>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</si>
  <si>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</si>
  <si>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</si>
  <si>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</si>
  <si>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</si>
  <si>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</si>
  <si>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</si>
  <si>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</si>
  <si>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</si>
  <si>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</si>
  <si>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</si>
  <si>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</si>
  <si>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</si>
  <si>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</si>
  <si>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</si>
  <si>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</si>
  <si>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</si>
  <si>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</si>
  <si>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</si>
  <si>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</si>
  <si>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</si>
  <si>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</si>
  <si>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</si>
  <si>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</si>
  <si>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</si>
  <si>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</si>
  <si>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</si>
  <si>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</si>
  <si>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</si>
  <si>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</si>
  <si>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</si>
  <si>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</si>
  <si>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</si>
  <si>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</si>
  <si>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سایر بورسی ها</t>
  </si>
  <si>
    <t>ستاره نفت خلیج فارس</t>
  </si>
  <si>
    <t>پتروشیمی ایلام</t>
  </si>
  <si>
    <t>وپترو</t>
  </si>
  <si>
    <t>سود تقسیمی برای تاپیکو 1400</t>
  </si>
  <si>
    <t>پکرمان</t>
  </si>
  <si>
    <t>شپاس</t>
  </si>
  <si>
    <t>8/7/1400</t>
  </si>
  <si>
    <t>11/7/1400</t>
  </si>
  <si>
    <t>12/7/1400</t>
  </si>
  <si>
    <t>17/7/1400</t>
  </si>
  <si>
    <t>18/7/1400</t>
  </si>
  <si>
    <t>21/7/1400</t>
  </si>
  <si>
    <t>27/7/1400</t>
  </si>
  <si>
    <t>1/8/1400</t>
  </si>
  <si>
    <t>3/8/1400</t>
  </si>
  <si>
    <t>unknown</t>
  </si>
  <si>
    <t>10/7/1400</t>
  </si>
  <si>
    <t>mobina</t>
  </si>
  <si>
    <t>gg</t>
  </si>
  <si>
    <t>فولاد</t>
  </si>
  <si>
    <t>مدیریت سرمایه گذاری امید</t>
  </si>
  <si>
    <t>سیمان داراب</t>
  </si>
  <si>
    <t>مبین</t>
  </si>
  <si>
    <t>غبشهر</t>
  </si>
  <si>
    <t>5/8/1400</t>
  </si>
  <si>
    <t>8/8/1400</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</si>
  <si>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</si>
  <si>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</si>
  <si>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</si>
  <si>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</si>
  <si>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</si>
  <si>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</si>
  <si>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</si>
  <si>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</si>
  <si>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</si>
  <si>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</si>
  <si>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</si>
  <si>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</si>
  <si>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</si>
  <si>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</si>
  <si>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</si>
  <si>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</si>
  <si>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</si>
  <si>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</si>
  <si>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</si>
  <si>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</si>
  <si>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</si>
  <si>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</si>
  <si>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</si>
  <si>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</si>
  <si>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</si>
  <si>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</si>
  <si>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</si>
  <si>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</si>
  <si>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</si>
  <si>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</si>
  <si>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</si>
  <si>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</si>
  <si>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</si>
  <si>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</si>
  <si>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</si>
  <si>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</si>
  <si>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</si>
  <si>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</si>
  <si>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</si>
  <si>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</si>
  <si>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</si>
  <si>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</si>
  <si>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</si>
  <si>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</si>
  <si>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</si>
  <si>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</si>
  <si>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</si>
  <si>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</si>
  <si>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</si>
  <si>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</si>
  <si>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</si>
  <si>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</si>
  <si>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</si>
  <si>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</si>
  <si>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</si>
  <si>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</si>
  <si>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</si>
  <si>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</si>
  <si>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</si>
  <si>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</si>
  <si>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</si>
  <si>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</si>
  <si>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</si>
  <si>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</si>
  <si>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</si>
  <si>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</si>
  <si>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</si>
  <si>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</si>
  <si>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</si>
  <si>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</si>
  <si>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</si>
  <si>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</si>
  <si>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</si>
  <si>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</si>
  <si>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</si>
  <si>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</si>
  <si>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8/9/1400</t>
  </si>
  <si>
    <t>9/9/1400</t>
  </si>
  <si>
    <t>13/9/1400</t>
  </si>
  <si>
    <t>واریز به حساب بورسی</t>
  </si>
  <si>
    <t>سارا واریز به حساب</t>
  </si>
  <si>
    <t>ومهان 2217 تا 436.6</t>
  </si>
  <si>
    <t>29/9/1400</t>
  </si>
  <si>
    <t>پول نقد ایلیا</t>
  </si>
  <si>
    <t>وغدیر حساب ایلیا</t>
  </si>
  <si>
    <t>ومهان حساب ایلیا</t>
  </si>
  <si>
    <t>5/10/1400</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</si>
  <si>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</si>
  <si>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</si>
  <si>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</si>
  <si>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</si>
  <si>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</si>
  <si>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</si>
  <si>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</si>
  <si>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</si>
  <si>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</si>
  <si>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</si>
  <si>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</si>
  <si>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</si>
  <si>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</si>
  <si>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</si>
  <si>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</si>
  <si>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</si>
  <si>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</si>
  <si>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</si>
  <si>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</si>
  <si>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</si>
  <si>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</si>
  <si>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</si>
  <si>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</si>
  <si>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</si>
  <si>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</si>
  <si>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</si>
  <si>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</si>
  <si>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</si>
  <si>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</si>
  <si>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</si>
  <si>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</si>
  <si>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</si>
  <si>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</si>
  <si>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</si>
  <si>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</si>
  <si>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</si>
  <si>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</si>
  <si>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</si>
  <si>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</si>
  <si>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 xml:space="preserve">مریم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</si>
  <si>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</si>
  <si>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</si>
  <si>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</si>
  <si>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</si>
  <si>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</si>
  <si>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</si>
  <si>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</si>
  <si>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</si>
  <si>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</si>
  <si>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</si>
  <si>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</si>
  <si>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</si>
  <si>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ومهان 229715 تا 518</t>
  </si>
  <si>
    <t>EPS 1400</t>
  </si>
  <si>
    <t>سهم پارسان از eps</t>
  </si>
  <si>
    <t>DPS 1400</t>
  </si>
  <si>
    <t>سهم پارسان از dps</t>
  </si>
  <si>
    <t>EPS 1401</t>
  </si>
  <si>
    <t>سهم وکغدیر از eps</t>
  </si>
  <si>
    <t>سهم وکغدیر از dps</t>
  </si>
  <si>
    <t>22/1/1401</t>
  </si>
  <si>
    <t>ومهان 152444 تا 531</t>
  </si>
  <si>
    <t>23/1/1401</t>
  </si>
  <si>
    <t>ومهان 2700529 تا 508</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</si>
  <si>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</si>
  <si>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</si>
  <si>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</si>
  <si>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</si>
  <si>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</si>
  <si>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</si>
  <si>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</si>
  <si>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</si>
  <si>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</si>
  <si>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</si>
  <si>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</si>
  <si>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</si>
  <si>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</si>
  <si>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</si>
  <si>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</si>
  <si>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</si>
  <si>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</si>
  <si>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</si>
  <si>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</si>
  <si>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</si>
  <si>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</si>
  <si>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</si>
  <si>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</si>
  <si>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</si>
  <si>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</si>
  <si>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</si>
  <si>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</si>
  <si>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</si>
  <si>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ومهان 85807 تا 523</t>
  </si>
  <si>
    <t>علی سکه قدیمی که به وغدیر تبدیل شد</t>
  </si>
  <si>
    <t>19/2/1401</t>
  </si>
  <si>
    <t>21/2/1401</t>
  </si>
  <si>
    <t>ومهان 505422 تا 543</t>
  </si>
  <si>
    <t>26/2/1401</t>
  </si>
  <si>
    <t>27/2/1401</t>
  </si>
  <si>
    <t>ومهان 74758 تا 450</t>
  </si>
  <si>
    <t>ومهان 33018 تا 447</t>
  </si>
  <si>
    <t>تعدا دارایی خانواده بر حسب وغدیر</t>
  </si>
  <si>
    <t>تعداد دارایی خانواده بر حسب ومهان</t>
  </si>
  <si>
    <t>28/2/1401</t>
  </si>
  <si>
    <t>31/2/1401</t>
  </si>
  <si>
    <t>سارا دریافت وجه</t>
  </si>
  <si>
    <t>1/3/1401</t>
  </si>
  <si>
    <t>2/3/1401</t>
  </si>
  <si>
    <t>3/3/1401</t>
  </si>
  <si>
    <t>7/3/1401</t>
  </si>
  <si>
    <t>فغدیر</t>
  </si>
  <si>
    <t>ارزش برآوردی شرکت (هزار میلیارد تومن)</t>
  </si>
  <si>
    <t>DPS 1401</t>
  </si>
  <si>
    <t>وغدیر 31180 تا 1171</t>
  </si>
  <si>
    <t>11/3/1401</t>
  </si>
  <si>
    <t>16/3/1401</t>
  </si>
  <si>
    <t>ومهان 432257 تا 536</t>
  </si>
  <si>
    <t>dps 1401</t>
  </si>
  <si>
    <t>dps تاپیکو 1401</t>
  </si>
  <si>
    <t>21/3/1401</t>
  </si>
  <si>
    <t>22/3/1401</t>
  </si>
  <si>
    <t>24/3/1401</t>
  </si>
  <si>
    <t>25/3/1401</t>
  </si>
  <si>
    <t>29/3/1401</t>
  </si>
  <si>
    <t>سارا سود ومهان</t>
  </si>
  <si>
    <t>سود ومهان</t>
  </si>
  <si>
    <t>مریم سود ومهان</t>
  </si>
  <si>
    <t>علی سود ومهان</t>
  </si>
  <si>
    <t>30/3/1401</t>
  </si>
  <si>
    <t>ومهان 473558 تا 553</t>
  </si>
  <si>
    <t>21/6/1401</t>
  </si>
  <si>
    <t>دریافت وجه سارا</t>
  </si>
  <si>
    <t>293/1401</t>
  </si>
  <si>
    <t>31/3/1401</t>
  </si>
  <si>
    <t>علی واریز به حساب</t>
  </si>
  <si>
    <t>16/4/1401</t>
  </si>
  <si>
    <t>Dps شرکت زیر مجموعه</t>
  </si>
  <si>
    <t>سهم وغدیر از eps</t>
  </si>
  <si>
    <t>سهم وغدیر از dps</t>
  </si>
  <si>
    <t xml:space="preserve">EPS وغدیر </t>
  </si>
  <si>
    <t>1/4/1401</t>
  </si>
  <si>
    <t>5/4/1401</t>
  </si>
  <si>
    <t>ومهان 221465 تا 460</t>
  </si>
  <si>
    <t>7/4/1401</t>
  </si>
  <si>
    <t>ومهان 233212 تا 462</t>
  </si>
  <si>
    <t>8/4/1401</t>
  </si>
  <si>
    <t>ومهان 333419 تا 461</t>
  </si>
  <si>
    <t>12/4/1401</t>
  </si>
  <si>
    <t>18/4/1401</t>
  </si>
  <si>
    <t>ومهان 78749 تا 443</t>
  </si>
  <si>
    <t>20/4/1401</t>
  </si>
  <si>
    <t>ومهان 37743 تا 440</t>
  </si>
  <si>
    <t>22/4/1402</t>
  </si>
  <si>
    <t>22/4/1401</t>
  </si>
  <si>
    <t>ومهان 94653 تا 441</t>
  </si>
  <si>
    <t>25/4/1401</t>
  </si>
  <si>
    <t>28/4/1401</t>
  </si>
  <si>
    <t>ومهان 160268 تا 431</t>
  </si>
  <si>
    <t>29/4/1401</t>
  </si>
  <si>
    <t>ومهان 1000 تا 428.2</t>
  </si>
  <si>
    <t>1/5/1401</t>
  </si>
  <si>
    <t>ومهان 70974 تا 430.1</t>
  </si>
  <si>
    <t>DPS زیر مجموعه 1401</t>
  </si>
  <si>
    <t>سود تقسیمی برای وسپه 1401</t>
  </si>
  <si>
    <t>2/5/1401</t>
  </si>
  <si>
    <t>ومهان 237106 تا 425</t>
  </si>
  <si>
    <t>3/5/1401</t>
  </si>
  <si>
    <t>ومهان 487262 تا 418.8</t>
  </si>
  <si>
    <t>4/5/1401</t>
  </si>
  <si>
    <t>8/5/1401</t>
  </si>
  <si>
    <t>بدهی به حسین 8/5/1401 200 یورو</t>
  </si>
  <si>
    <t>9/5/1401</t>
  </si>
  <si>
    <t>وسپه ح 659438</t>
  </si>
  <si>
    <t>10/5/1401</t>
  </si>
  <si>
    <t>پول نقد بورس علی (102.378 با 2744) 1405.3</t>
  </si>
  <si>
    <t>11/5/1401</t>
  </si>
  <si>
    <t>بدهی به داریوش 11/5/1401 1 عدد سکه</t>
  </si>
  <si>
    <t>12/5/1401</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</si>
  <si>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</si>
  <si>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</si>
  <si>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</si>
  <si>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</si>
  <si>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300 تومن لاسنیس ویندوز</t>
  </si>
  <si>
    <t>petalinux-build</t>
  </si>
  <si>
    <t>petalinux-package --boot --fsbl images/linux/zynq_fsbl.elf --fpga images/linux/system.bit --u-boot images/linux/u-boot.elf</t>
  </si>
  <si>
    <t>qmu</t>
  </si>
  <si>
    <t>450 تومن لایسنس آفیس</t>
  </si>
  <si>
    <t>بدهی رضا 8/5/1401  5 تا سکه طلا 15.1</t>
  </si>
  <si>
    <t>19/5/1401</t>
  </si>
  <si>
    <t>22/5/1401</t>
  </si>
  <si>
    <t>24/5/1401</t>
  </si>
  <si>
    <t>25/5/1401</t>
  </si>
  <si>
    <t>26/5/1401</t>
  </si>
  <si>
    <t>ومهان 37984 تا 425</t>
  </si>
  <si>
    <t>28/5/1401</t>
  </si>
  <si>
    <t xml:space="preserve">لنت چرخ جلو </t>
  </si>
  <si>
    <t>31/5/1401</t>
  </si>
  <si>
    <t>ومهان 1324 تا 418</t>
  </si>
  <si>
    <t>2/6/1401</t>
  </si>
  <si>
    <t>علی واریز به بورس مریم</t>
  </si>
  <si>
    <t>مریم بدهی به علی</t>
  </si>
  <si>
    <t>3/6/1401</t>
  </si>
  <si>
    <t>بدهی وام بانک ملی 22 قسط 3/6/1401</t>
  </si>
  <si>
    <t>6/6/1401</t>
  </si>
  <si>
    <t>3300 بیمه 206 تاریخ 6/6/1401</t>
  </si>
  <si>
    <t>تاپیکو ح</t>
  </si>
  <si>
    <t>eps 1402</t>
  </si>
  <si>
    <t>dps 1402</t>
  </si>
  <si>
    <t>شرانل</t>
  </si>
  <si>
    <t>ستاره</t>
  </si>
  <si>
    <t>EPS شرکت زیر مجموعه 1402</t>
  </si>
  <si>
    <t>سود تلفیقی 1402</t>
  </si>
  <si>
    <t>DPS 1402</t>
  </si>
  <si>
    <t>dps تاپیکو 1402</t>
  </si>
  <si>
    <t>پول نقد بورس مریم</t>
  </si>
  <si>
    <t>بدهی ایلیا به صندوق</t>
  </si>
  <si>
    <t>طلب ایلیا از صندوق</t>
  </si>
  <si>
    <t>وغدیر 1699638 تا 1384</t>
  </si>
  <si>
    <t>پترول 568962 تا 221.1</t>
  </si>
  <si>
    <t>22/6/1401</t>
  </si>
  <si>
    <t>طلب علی از صندوق</t>
  </si>
  <si>
    <t>3/7/1401</t>
  </si>
  <si>
    <t>4/7/1401</t>
  </si>
  <si>
    <t>ومهان 254819 تا 429</t>
  </si>
  <si>
    <t>10/7/1401</t>
  </si>
  <si>
    <t>وسپه 39404 تا 379.6</t>
  </si>
  <si>
    <t>11/7/1401</t>
  </si>
  <si>
    <t>ومهان 509459 تا 400</t>
  </si>
  <si>
    <t>وسپه 231078 تا 380</t>
  </si>
  <si>
    <t>12/7/1401</t>
  </si>
  <si>
    <t xml:space="preserve"> 12/7/1401</t>
  </si>
  <si>
    <t>وسپه 18855 تا 377.6</t>
  </si>
  <si>
    <t>ومهان 345326 تا 400.9</t>
  </si>
  <si>
    <t>17/7/1401</t>
  </si>
  <si>
    <t>وسپه 739584 تا 369.1</t>
  </si>
  <si>
    <t>دیسک و صفحه</t>
  </si>
  <si>
    <t>20/7/1401</t>
  </si>
  <si>
    <t>150+150</t>
  </si>
  <si>
    <t>195+270</t>
  </si>
  <si>
    <t>23/7/1401</t>
  </si>
  <si>
    <t>وسپه 48513 تا 379</t>
  </si>
  <si>
    <t>24/7/1401</t>
  </si>
  <si>
    <t>وسپه 28529 تا 379</t>
  </si>
  <si>
    <t>25/7/1401</t>
  </si>
  <si>
    <t>وسپه 77406 تا 373</t>
  </si>
  <si>
    <t>26/7/1401</t>
  </si>
  <si>
    <t>وسپه 98205 تا 375</t>
  </si>
  <si>
    <t>22/7/1401</t>
  </si>
  <si>
    <t>27/7/1401</t>
  </si>
  <si>
    <t>27/4/1401</t>
  </si>
  <si>
    <t>وسپه 127565 تا 375</t>
  </si>
  <si>
    <t>1/8/1401</t>
  </si>
  <si>
    <t>وسپه 492426 تا 365</t>
  </si>
  <si>
    <t>3/8/1401</t>
  </si>
  <si>
    <t>سود تقسیمی برای وسپه 1402</t>
  </si>
  <si>
    <t>سایر دارایی ها</t>
  </si>
  <si>
    <t>بدهی علی به صندوق نقدی 7/8/1401</t>
  </si>
  <si>
    <t>بدهی به رضا 7/8/1401</t>
  </si>
  <si>
    <t>8/8/1401</t>
  </si>
  <si>
    <t>10/8/1401</t>
  </si>
  <si>
    <t>14/8/1401</t>
  </si>
  <si>
    <t>ومهان 1007763 تا 414.8</t>
  </si>
  <si>
    <t>15/8/1401</t>
  </si>
  <si>
    <t>وسپه 57717 تا 374</t>
  </si>
  <si>
    <t>ومهان 238979 تا 417</t>
  </si>
  <si>
    <t>16/8/1401</t>
  </si>
  <si>
    <t>وسپه 1476 تا 374</t>
  </si>
  <si>
    <t>وسپه 2556435 تا 376</t>
  </si>
  <si>
    <t>17/8/1401</t>
  </si>
  <si>
    <t>علی تصفیه بدهی و طلب</t>
  </si>
  <si>
    <t>18/8/1401</t>
  </si>
  <si>
    <t>طلب علی وسپه 89144 تا 16/8/1401</t>
  </si>
  <si>
    <t>.</t>
  </si>
  <si>
    <t>29/8/1401</t>
  </si>
  <si>
    <t>وغدیر 19558 تا 1575</t>
  </si>
  <si>
    <t>تعداد دارایی بر حسب وسپه</t>
  </si>
  <si>
    <t>30/8/1401</t>
  </si>
  <si>
    <t>وغدیر 36934 تا 1591</t>
  </si>
  <si>
    <t>1900Quantum</t>
  </si>
  <si>
    <t>5/9/1401</t>
  </si>
  <si>
    <t xml:space="preserve">وغدیر 387 تا 1598 </t>
  </si>
  <si>
    <t>9/9/1401</t>
  </si>
  <si>
    <t>وغدیر 227547 تا 1596</t>
  </si>
  <si>
    <t>12/9/1401</t>
  </si>
  <si>
    <t>21/9/1401</t>
  </si>
  <si>
    <t>21/12/1401</t>
  </si>
  <si>
    <t>22/9/1401</t>
  </si>
  <si>
    <t>26/9/1401</t>
  </si>
  <si>
    <t>شناسه ملی</t>
  </si>
  <si>
    <t>شماره ثبت</t>
  </si>
  <si>
    <t>وضعیت</t>
  </si>
  <si>
    <t>غیر فعال مالیاتی</t>
  </si>
  <si>
    <t>تاریخ تاسیس</t>
  </si>
  <si>
    <t>1/12/1389</t>
  </si>
  <si>
    <t>از تاریخ 19/11/1399</t>
  </si>
  <si>
    <t>27/9/1401</t>
  </si>
  <si>
    <t xml:space="preserve">گواهی می شود شرکت نیرو کنترل بدر از بدو تاسیس تا کنون هیچ گونه فعالیتی نداشته است و در حال حاضر به موجب تبصره 4 ماده 186 قانون مالیاتهای مستقیم و ابلاغ الکترونیکی سازمان امور مالیاتی کشور یک شرکت غیر فعال مالیاتی محسوب میشود  و اعضای هیئت مدیره فرآیند انحلال این شرکت را  در برنامه دارند. همچنین آقای علی نجاتی با شماره ملی 0063441578 از بدو تاسیس تا کنون در این شرکت هیچ گونه فعالیتی نداشته و  در مجمع عمومی فوق العاده تشکیل شده در تاریخ 27/9/1401  از عضویت در هیئت مدیره این شرکت خارج شده است. </t>
  </si>
  <si>
    <t>وسپه 788153 تا 437</t>
  </si>
  <si>
    <t>28/9/1401</t>
  </si>
  <si>
    <t>پترول 1538 تا 221</t>
  </si>
  <si>
    <t>29/9/1401</t>
  </si>
  <si>
    <t xml:space="preserve">  </t>
  </si>
  <si>
    <t>30/9/1401</t>
  </si>
  <si>
    <t>وسپه 229295 تا 436</t>
  </si>
  <si>
    <t>طلب نصف 34 قسط وام 50 میلیونی 24/9/1401</t>
  </si>
  <si>
    <t>قسط 24/8/1401 پرداخت نشده</t>
  </si>
  <si>
    <t>3/10/1401</t>
  </si>
  <si>
    <t>وسپه 67851 تا 456.7</t>
  </si>
  <si>
    <t>4/10/1401</t>
  </si>
  <si>
    <t>ومهان 319342 تا 530</t>
  </si>
  <si>
    <t>تاپیکو 218396 تا 1277</t>
  </si>
  <si>
    <t>وسپه 728285 تا 456</t>
  </si>
  <si>
    <t>ومهان  3554466 تا 528</t>
  </si>
  <si>
    <t>5/10/1401</t>
  </si>
  <si>
    <t>وغدیر 69673 تا 1902</t>
  </si>
  <si>
    <t>7/10/1401</t>
  </si>
  <si>
    <t>ومهان 697462 تا 551</t>
  </si>
  <si>
    <t>دارایی بر حسب دلار</t>
  </si>
  <si>
    <t>Price1</t>
  </si>
  <si>
    <t>N1</t>
  </si>
  <si>
    <t>N2</t>
  </si>
  <si>
    <t>Price2</t>
  </si>
  <si>
    <t>10/10/1401</t>
  </si>
  <si>
    <t>فرنیا</t>
  </si>
  <si>
    <t>سر به سر</t>
  </si>
  <si>
    <t>11/10/1401</t>
  </si>
  <si>
    <t>وغدیر 1592 تا 1870</t>
  </si>
  <si>
    <t>پول نقد</t>
  </si>
  <si>
    <t>طلا</t>
  </si>
  <si>
    <t>12/10/1401</t>
  </si>
  <si>
    <t>13/10/1401</t>
  </si>
  <si>
    <t>14/10/1401</t>
  </si>
  <si>
    <t>16/10/1401</t>
  </si>
  <si>
    <t>17/10/1401</t>
  </si>
  <si>
    <t>18/10/1401</t>
  </si>
  <si>
    <t>زر حساب ایلیا</t>
  </si>
  <si>
    <t>زر</t>
  </si>
  <si>
    <t>فروش اولیه</t>
  </si>
  <si>
    <t>نوسان سکه مرکزی</t>
  </si>
  <si>
    <t>19/10/1401</t>
  </si>
  <si>
    <t>بدهی به مهدی 18/10/1401</t>
  </si>
  <si>
    <t>پرداخت سود نقدی</t>
  </si>
  <si>
    <t>4/11/1401</t>
  </si>
  <si>
    <t>20/10/1401</t>
  </si>
  <si>
    <t>÷</t>
  </si>
  <si>
    <t>21/10/1401</t>
  </si>
  <si>
    <t>24/10/1401</t>
  </si>
  <si>
    <t>شپدیس حساب ایلیا</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</si>
</sst>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
      <sz val="18"/>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249977111117893"/>
        <bgColor indexed="64"/>
      </patternFill>
    </fill>
    <fill>
      <patternFill patternType="solid">
        <fgColor theme="3"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8" fillId="0" borderId="12" applyNumberFormat="0" applyFill="0" applyAlignment="0" applyProtection="0"/>
  </cellStyleXfs>
  <cellXfs count="43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164" fontId="0" fillId="0" borderId="0" xfId="0" applyNumberFormat="1"/>
    <xf numFmtId="0" fontId="0" fillId="0" borderId="3" xfId="0" applyBorder="1" applyAlignment="1">
      <alignment horizontal="center"/>
    </xf>
    <xf numFmtId="0" fontId="0" fillId="2" borderId="0" xfId="0" applyFill="1"/>
    <xf numFmtId="0" fontId="0" fillId="0" borderId="4" xfId="0"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164" fontId="0" fillId="0" borderId="0" xfId="0" applyNumberFormat="1" applyAlignment="1">
      <alignment horizontal="center"/>
    </xf>
    <xf numFmtId="164" fontId="0" fillId="0" borderId="1" xfId="0" applyNumberFormat="1" applyBorder="1"/>
    <xf numFmtId="14" fontId="0" fillId="5" borderId="1" xfId="0" applyNumberFormat="1" applyFill="1" applyBorder="1"/>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0" xfId="0" applyAlignment="1">
      <alignment horizontal="center" wrapText="1"/>
    </xf>
    <xf numFmtId="164" fontId="0" fillId="5" borderId="0" xfId="0" applyNumberFormat="1" applyFill="1" applyAlignment="1">
      <alignment horizontal="center"/>
    </xf>
    <xf numFmtId="164" fontId="0" fillId="3" borderId="1"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16" fontId="0" fillId="0" borderId="0" xfId="0" applyNumberFormat="1"/>
    <xf numFmtId="164" fontId="0" fillId="5" borderId="0" xfId="0" applyNumberFormat="1" applyFill="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17" borderId="1" xfId="0" applyNumberFormat="1" applyFill="1" applyBorder="1" applyAlignment="1">
      <alignment horizontal="center"/>
    </xf>
    <xf numFmtId="164" fontId="0" fillId="17" borderId="1" xfId="0" applyNumberFormat="1"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Alignment="1">
      <alignment horizontal="center" vertical="center"/>
    </xf>
    <xf numFmtId="14" fontId="0" fillId="2" borderId="1" xfId="0" applyNumberFormat="1" applyFill="1" applyBorder="1" applyAlignment="1">
      <alignment horizontal="center"/>
    </xf>
    <xf numFmtId="0" fontId="6" fillId="0" borderId="0" xfId="2"/>
    <xf numFmtId="0" fontId="7" fillId="0" borderId="0" xfId="2" applyFont="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Border="1" applyAlignment="1">
      <alignment horizontal="center"/>
    </xf>
    <xf numFmtId="164" fontId="0" fillId="0" borderId="1" xfId="0" applyNumberFormat="1" applyBorder="1" applyAlignment="1">
      <alignment horizontal="center" wrapText="1"/>
    </xf>
    <xf numFmtId="0" fontId="0" fillId="16" borderId="1" xfId="0" applyFill="1" applyBorder="1" applyAlignment="1">
      <alignment wrapText="1"/>
    </xf>
    <xf numFmtId="14" fontId="0" fillId="0" borderId="0" xfId="0" applyNumberFormat="1"/>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4" borderId="1" xfId="0" applyFill="1" applyBorder="1" applyAlignment="1">
      <alignment horizontal="center"/>
    </xf>
    <xf numFmtId="164" fontId="0" fillId="34" borderId="1" xfId="0" applyNumberFormat="1" applyFill="1" applyBorder="1" applyAlignment="1">
      <alignment horizontal="center"/>
    </xf>
    <xf numFmtId="164" fontId="0" fillId="34"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0" fillId="34" borderId="1" xfId="0" applyFill="1" applyBorder="1"/>
    <xf numFmtId="0" fontId="16" fillId="0" borderId="0" xfId="0" applyFont="1" applyAlignment="1">
      <alignment vertic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5" borderId="1" xfId="0" applyFill="1" applyBorder="1"/>
    <xf numFmtId="0" fontId="0" fillId="25"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4" borderId="1" xfId="0" applyFill="1" applyBorder="1" applyAlignment="1">
      <alignment wrapText="1"/>
    </xf>
    <xf numFmtId="3" fontId="0" fillId="0" borderId="0" xfId="0" applyNumberFormat="1"/>
    <xf numFmtId="0" fontId="0" fillId="37" borderId="1" xfId="0" applyFill="1" applyBorder="1"/>
    <xf numFmtId="164" fontId="0" fillId="37" borderId="1" xfId="0" applyNumberFormat="1" applyFill="1" applyBorder="1" applyAlignment="1">
      <alignment horizontal="center"/>
    </xf>
    <xf numFmtId="0" fontId="0" fillId="38" borderId="1" xfId="0" applyFill="1" applyBorder="1"/>
    <xf numFmtId="0" fontId="0" fillId="20" borderId="1" xfId="0" applyFill="1" applyBorder="1" applyAlignment="1">
      <alignment horizontal="center"/>
    </xf>
    <xf numFmtId="9" fontId="0" fillId="0" borderId="1" xfId="0" applyNumberFormat="1" applyBorder="1" applyAlignment="1">
      <alignment horizontal="center"/>
    </xf>
    <xf numFmtId="0" fontId="20" fillId="0" borderId="0" xfId="0" applyFont="1"/>
    <xf numFmtId="164" fontId="0" fillId="25" borderId="2" xfId="0" applyNumberFormat="1" applyFill="1" applyBorder="1" applyAlignment="1">
      <alignment horizontal="center"/>
    </xf>
    <xf numFmtId="0" fontId="0" fillId="39" borderId="1" xfId="0" applyFill="1" applyBorder="1"/>
    <xf numFmtId="0" fontId="0" fillId="20" borderId="1" xfId="0" applyFill="1" applyBorder="1" applyAlignment="1">
      <alignment wrapText="1"/>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21"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1" fillId="6" borderId="0" xfId="0" applyFont="1" applyFill="1" applyAlignment="1">
      <alignment horizontal="center"/>
    </xf>
    <xf numFmtId="0" fontId="0" fillId="37" borderId="1" xfId="0" applyFill="1" applyBorder="1" applyAlignment="1">
      <alignment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0" fontId="0" fillId="0" borderId="0" xfId="0" applyAlignment="1">
      <alignment readingOrder="2"/>
    </xf>
    <xf numFmtId="0" fontId="0" fillId="21" borderId="1" xfId="0" applyFill="1" applyBorder="1" applyAlignment="1">
      <alignment horizontal="center"/>
    </xf>
    <xf numFmtId="164" fontId="0" fillId="38" borderId="1" xfId="0" applyNumberFormat="1" applyFill="1" applyBorder="1" applyAlignment="1">
      <alignment horizontal="center" vertical="center"/>
    </xf>
    <xf numFmtId="0" fontId="0" fillId="38" borderId="1" xfId="0" applyFill="1" applyBorder="1" applyAlignment="1">
      <alignment horizontal="center" vertical="center"/>
    </xf>
    <xf numFmtId="164" fontId="0" fillId="39" borderId="1" xfId="0" applyNumberFormat="1" applyFill="1" applyBorder="1" applyAlignment="1">
      <alignment horizontal="center" vertical="center"/>
    </xf>
    <xf numFmtId="0" fontId="0" fillId="39" borderId="1" xfId="0" applyFill="1" applyBorder="1" applyAlignment="1">
      <alignment horizontal="center" vertical="center"/>
    </xf>
    <xf numFmtId="0" fontId="0" fillId="39" borderId="5" xfId="0" applyFill="1" applyBorder="1" applyAlignment="1">
      <alignment horizontal="center" vertical="center"/>
    </xf>
    <xf numFmtId="0" fontId="0" fillId="5" borderId="1" xfId="0" applyFill="1" applyBorder="1" applyAlignment="1">
      <alignment horizontal="center" vertical="center"/>
    </xf>
    <xf numFmtId="16" fontId="0" fillId="38" borderId="1" xfId="0" applyNumberFormat="1" applyFill="1" applyBorder="1" applyAlignment="1">
      <alignment horizontal="center" vertical="center"/>
    </xf>
    <xf numFmtId="0" fontId="15" fillId="0" borderId="1" xfId="0" applyFont="1" applyBorder="1" applyAlignment="1">
      <alignment horizontal="center" vertical="center"/>
    </xf>
    <xf numFmtId="0" fontId="23" fillId="0" borderId="0" xfId="0" applyFont="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19" fillId="39" borderId="1" xfId="0" applyFont="1" applyFill="1" applyBorder="1" applyAlignment="1">
      <alignment horizontal="center" vertical="center"/>
    </xf>
    <xf numFmtId="3" fontId="8" fillId="35" borderId="1" xfId="0" applyNumberFormat="1" applyFont="1" applyFill="1" applyBorder="1" applyAlignment="1">
      <alignment horizontal="center" vertical="center"/>
    </xf>
    <xf numFmtId="0" fontId="8" fillId="0" borderId="0" xfId="0" applyFont="1" applyAlignment="1">
      <alignment horizontal="center" vertical="center"/>
    </xf>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0" borderId="1" xfId="0" applyFont="1" applyFill="1" applyBorder="1" applyAlignment="1">
      <alignment horizontal="center" vertical="center"/>
    </xf>
    <xf numFmtId="3" fontId="8" fillId="40" borderId="1" xfId="0" applyNumberFormat="1" applyFont="1" applyFill="1" applyBorder="1" applyAlignment="1">
      <alignment horizontal="center" vertical="center"/>
    </xf>
    <xf numFmtId="0" fontId="8" fillId="35" borderId="1" xfId="0" applyFont="1" applyFill="1" applyBorder="1" applyAlignment="1">
      <alignment horizontal="center" vertical="center"/>
    </xf>
    <xf numFmtId="0" fontId="22" fillId="35" borderId="1" xfId="0" applyFont="1" applyFill="1" applyBorder="1" applyAlignment="1">
      <alignment horizontal="center" vertical="center"/>
    </xf>
    <xf numFmtId="0" fontId="3" fillId="40" borderId="1" xfId="0" applyFont="1" applyFill="1" applyBorder="1" applyAlignment="1">
      <alignment horizontal="center" vertical="center"/>
    </xf>
    <xf numFmtId="0" fontId="22" fillId="40"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2" fillId="32" borderId="1" xfId="0" applyFont="1" applyFill="1" applyBorder="1" applyAlignment="1">
      <alignment horizontal="center" vertical="center"/>
    </xf>
    <xf numFmtId="0" fontId="24" fillId="32" borderId="1" xfId="0" applyFont="1" applyFill="1" applyBorder="1" applyAlignment="1">
      <alignment horizontal="center" vertical="center"/>
    </xf>
    <xf numFmtId="0" fontId="0" fillId="41" borderId="1" xfId="0" applyFill="1" applyBorder="1" applyAlignment="1">
      <alignment horizontal="center" vertical="center"/>
    </xf>
    <xf numFmtId="0" fontId="19" fillId="40" borderId="1" xfId="0" applyFont="1" applyFill="1" applyBorder="1" applyAlignment="1">
      <alignment horizontal="center" vertical="center"/>
    </xf>
    <xf numFmtId="3" fontId="25" fillId="42" borderId="9" xfId="0" applyNumberFormat="1" applyFont="1" applyFill="1" applyBorder="1" applyAlignment="1">
      <alignment horizontal="center" vertical="center"/>
    </xf>
    <xf numFmtId="3" fontId="25" fillId="42" borderId="9" xfId="0" applyNumberFormat="1" applyFont="1" applyFill="1" applyBorder="1" applyAlignment="1">
      <alignment vertical="center"/>
    </xf>
    <xf numFmtId="0" fontId="26" fillId="42" borderId="9" xfId="0" applyFont="1" applyFill="1" applyBorder="1" applyAlignment="1">
      <alignment vertical="center"/>
    </xf>
    <xf numFmtId="10" fontId="26" fillId="42" borderId="9" xfId="0" applyNumberFormat="1" applyFont="1" applyFill="1" applyBorder="1" applyAlignment="1">
      <alignment vertical="center"/>
    </xf>
    <xf numFmtId="14" fontId="25" fillId="42" borderId="9" xfId="0" applyNumberFormat="1" applyFont="1" applyFill="1" applyBorder="1" applyAlignment="1">
      <alignment vertical="center"/>
    </xf>
    <xf numFmtId="0" fontId="25" fillId="42" borderId="9" xfId="0" applyFont="1" applyFill="1" applyBorder="1" applyAlignment="1">
      <alignment vertical="center"/>
    </xf>
    <xf numFmtId="3" fontId="25" fillId="24" borderId="10" xfId="0" applyNumberFormat="1" applyFont="1" applyFill="1" applyBorder="1" applyAlignment="1">
      <alignment horizontal="center" vertical="center"/>
    </xf>
    <xf numFmtId="3" fontId="25" fillId="24" borderId="10" xfId="0" applyNumberFormat="1" applyFont="1" applyFill="1" applyBorder="1" applyAlignment="1">
      <alignment vertical="center"/>
    </xf>
    <xf numFmtId="0" fontId="26" fillId="24" borderId="10" xfId="0" applyFont="1" applyFill="1" applyBorder="1" applyAlignment="1">
      <alignment vertical="center"/>
    </xf>
    <xf numFmtId="10" fontId="26" fillId="24" borderId="10" xfId="0" applyNumberFormat="1" applyFont="1" applyFill="1" applyBorder="1" applyAlignment="1">
      <alignment vertical="center"/>
    </xf>
    <xf numFmtId="14" fontId="25" fillId="24" borderId="10" xfId="0" applyNumberFormat="1" applyFont="1" applyFill="1" applyBorder="1" applyAlignment="1">
      <alignment vertical="center"/>
    </xf>
    <xf numFmtId="0" fontId="25" fillId="24" borderId="10" xfId="0" applyFont="1" applyFill="1" applyBorder="1" applyAlignment="1">
      <alignment vertical="center"/>
    </xf>
    <xf numFmtId="3" fontId="25" fillId="42" borderId="11" xfId="0" applyNumberFormat="1" applyFont="1" applyFill="1" applyBorder="1" applyAlignment="1">
      <alignment horizontal="center" vertical="center"/>
    </xf>
    <xf numFmtId="3" fontId="25" fillId="42" borderId="11" xfId="0" applyNumberFormat="1" applyFont="1" applyFill="1" applyBorder="1" applyAlignment="1">
      <alignment vertical="center"/>
    </xf>
    <xf numFmtId="0" fontId="26" fillId="42" borderId="11" xfId="0" applyFont="1" applyFill="1" applyBorder="1" applyAlignment="1">
      <alignment vertical="center"/>
    </xf>
    <xf numFmtId="10" fontId="26" fillId="42" borderId="11" xfId="0" applyNumberFormat="1" applyFont="1" applyFill="1" applyBorder="1" applyAlignment="1">
      <alignment vertical="center"/>
    </xf>
    <xf numFmtId="14" fontId="25" fillId="42" borderId="11" xfId="0" applyNumberFormat="1" applyFont="1" applyFill="1" applyBorder="1" applyAlignment="1">
      <alignment vertical="center"/>
    </xf>
    <xf numFmtId="0" fontId="25" fillId="42" borderId="11" xfId="0" applyFont="1" applyFill="1" applyBorder="1" applyAlignment="1">
      <alignment vertical="center"/>
    </xf>
    <xf numFmtId="0" fontId="0" fillId="38" borderId="1" xfId="0" applyFill="1" applyBorder="1" applyAlignment="1">
      <alignment horizontal="center"/>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0" borderId="1" xfId="0" applyNumberFormat="1" applyFont="1" applyFill="1" applyBorder="1" applyAlignment="1">
      <alignment horizontal="center" vertical="top"/>
    </xf>
    <xf numFmtId="164" fontId="0" fillId="20" borderId="1" xfId="0" applyNumberFormat="1" applyFill="1" applyBorder="1" applyAlignment="1">
      <alignment horizontal="center" vertical="center"/>
    </xf>
    <xf numFmtId="16" fontId="0" fillId="0" borderId="1" xfId="0" applyNumberForma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39" borderId="1" xfId="0" applyFill="1" applyBorder="1" applyAlignment="1">
      <alignment horizontal="center"/>
    </xf>
    <xf numFmtId="164" fontId="0" fillId="39" borderId="1" xfId="0" applyNumberFormat="1" applyFill="1" applyBorder="1" applyAlignment="1">
      <alignment horizontal="center"/>
    </xf>
    <xf numFmtId="0" fontId="8" fillId="40" borderId="1" xfId="0" applyFont="1" applyFill="1" applyBorder="1" applyAlignment="1">
      <alignment horizontal="center" vertical="center" readingOrder="2"/>
    </xf>
    <xf numFmtId="0" fontId="0" fillId="35" borderId="6" xfId="0" applyFill="1" applyBorder="1" applyAlignment="1">
      <alignment horizontal="center"/>
    </xf>
    <xf numFmtId="3" fontId="0" fillId="35" borderId="6" xfId="0" applyNumberFormat="1" applyFill="1" applyBorder="1" applyAlignment="1">
      <alignment horizontal="center"/>
    </xf>
    <xf numFmtId="164" fontId="0" fillId="35" borderId="6" xfId="0" applyNumberFormat="1" applyFill="1" applyBorder="1" applyAlignment="1">
      <alignment horizontal="center" vertical="center"/>
    </xf>
    <xf numFmtId="0" fontId="28" fillId="35" borderId="1" xfId="4" applyFill="1" applyBorder="1" applyAlignment="1">
      <alignment horizontal="center"/>
    </xf>
    <xf numFmtId="3" fontId="28" fillId="35" borderId="1" xfId="4" applyNumberFormat="1" applyFill="1" applyBorder="1" applyAlignment="1">
      <alignment horizontal="center"/>
    </xf>
    <xf numFmtId="164" fontId="28" fillId="35" borderId="1" xfId="4" applyNumberFormat="1" applyFill="1" applyBorder="1" applyAlignment="1">
      <alignment horizontal="center" vertical="center"/>
    </xf>
    <xf numFmtId="0" fontId="28" fillId="4" borderId="1" xfId="4" applyFill="1" applyBorder="1" applyAlignment="1">
      <alignment horizontal="center"/>
    </xf>
    <xf numFmtId="3" fontId="28" fillId="4" borderId="1" xfId="4" applyNumberFormat="1" applyFill="1" applyBorder="1" applyAlignment="1">
      <alignment horizontal="center"/>
    </xf>
    <xf numFmtId="164" fontId="28" fillId="4" borderId="1" xfId="4" applyNumberFormat="1" applyFill="1" applyBorder="1" applyAlignment="1">
      <alignment horizontal="center" vertical="center"/>
    </xf>
    <xf numFmtId="0" fontId="28" fillId="4" borderId="1" xfId="4" applyFill="1" applyBorder="1" applyAlignment="1">
      <alignment horizontal="center" wrapText="1"/>
    </xf>
    <xf numFmtId="164" fontId="28" fillId="4" borderId="1" xfId="4" applyNumberFormat="1" applyFill="1" applyBorder="1" applyAlignment="1">
      <alignment horizontal="center"/>
    </xf>
    <xf numFmtId="3" fontId="0" fillId="35" borderId="7" xfId="0" applyNumberFormat="1" applyFill="1" applyBorder="1" applyAlignment="1">
      <alignment horizontal="center"/>
    </xf>
    <xf numFmtId="0" fontId="28" fillId="21" borderId="1" xfId="4" applyFill="1" applyBorder="1" applyAlignment="1">
      <alignment horizontal="center"/>
    </xf>
    <xf numFmtId="3" fontId="28" fillId="21" borderId="1" xfId="4" applyNumberFormat="1" applyFill="1" applyBorder="1" applyAlignment="1">
      <alignment horizontal="center"/>
    </xf>
    <xf numFmtId="164" fontId="28" fillId="21" borderId="1" xfId="4" applyNumberFormat="1" applyFill="1" applyBorder="1" applyAlignment="1">
      <alignment horizontal="center" vertical="center"/>
    </xf>
    <xf numFmtId="164" fontId="28" fillId="21" borderId="1" xfId="4" applyNumberFormat="1" applyFill="1" applyBorder="1" applyAlignment="1">
      <alignment horizontal="center"/>
    </xf>
    <xf numFmtId="3" fontId="8" fillId="39" borderId="1" xfId="0" applyNumberFormat="1" applyFont="1" applyFill="1" applyBorder="1" applyAlignment="1">
      <alignment horizontal="center" vertical="center"/>
    </xf>
    <xf numFmtId="0" fontId="0" fillId="25" borderId="0" xfId="0" applyFill="1"/>
    <xf numFmtId="164" fontId="0" fillId="25" borderId="0" xfId="0" applyNumberFormat="1" applyFill="1"/>
    <xf numFmtId="3" fontId="8" fillId="38" borderId="1" xfId="0" applyNumberFormat="1" applyFont="1" applyFill="1" applyBorder="1" applyAlignment="1">
      <alignment horizontal="center" vertical="center"/>
    </xf>
    <xf numFmtId="0" fontId="15" fillId="38" borderId="1" xfId="0" applyFont="1" applyFill="1" applyBorder="1" applyAlignment="1">
      <alignment horizontal="center" vertical="center"/>
    </xf>
    <xf numFmtId="0" fontId="15" fillId="39" borderId="1" xfId="0" applyFont="1" applyFill="1" applyBorder="1" applyAlignment="1">
      <alignment horizontal="center" vertical="center"/>
    </xf>
    <xf numFmtId="0" fontId="28" fillId="21" borderId="1" xfId="4" applyFill="1" applyBorder="1" applyAlignment="1">
      <alignment horizontal="center" wrapText="1"/>
    </xf>
    <xf numFmtId="0" fontId="28" fillId="4" borderId="1" xfId="4" applyFill="1" applyBorder="1" applyAlignment="1">
      <alignment horizontal="center" readingOrder="2"/>
    </xf>
    <xf numFmtId="16" fontId="0" fillId="0" borderId="1" xfId="0" applyNumberFormat="1" applyBorder="1" applyAlignment="1">
      <alignment horizontal="center" vertical="center"/>
    </xf>
    <xf numFmtId="3" fontId="3" fillId="32" borderId="1" xfId="0" applyNumberFormat="1" applyFont="1" applyFill="1" applyBorder="1" applyAlignment="1">
      <alignment horizontal="center" vertical="center"/>
    </xf>
    <xf numFmtId="3" fontId="3" fillId="40" borderId="1" xfId="0" applyNumberFormat="1" applyFont="1" applyFill="1" applyBorder="1" applyAlignment="1">
      <alignment horizontal="center" vertical="center"/>
    </xf>
    <xf numFmtId="0" fontId="0" fillId="0" borderId="1" xfId="0" applyBorder="1" applyAlignment="1">
      <alignment horizontal="center" readingOrder="2"/>
    </xf>
    <xf numFmtId="164" fontId="0" fillId="0" borderId="0" xfId="0" applyNumberFormat="1" applyAlignment="1">
      <alignment horizontal="center" vertical="center" readingOrder="2"/>
    </xf>
    <xf numFmtId="10" fontId="0" fillId="0" borderId="0" xfId="0" applyNumberFormat="1" applyAlignment="1">
      <alignment horizontal="center" vertical="center"/>
    </xf>
    <xf numFmtId="3" fontId="8" fillId="5" borderId="1" xfId="0" applyNumberFormat="1" applyFont="1" applyFill="1" applyBorder="1" applyAlignment="1">
      <alignment horizontal="center" vertical="center"/>
    </xf>
    <xf numFmtId="0" fontId="0" fillId="28" borderId="1" xfId="0" applyFill="1" applyBorder="1" applyAlignment="1">
      <alignment horizontal="center" vertical="center"/>
    </xf>
    <xf numFmtId="0" fontId="29" fillId="0" borderId="1" xfId="0" applyFont="1" applyBorder="1" applyAlignment="1">
      <alignment horizontal="center" vertical="center"/>
    </xf>
    <xf numFmtId="0" fontId="29" fillId="28" borderId="1" xfId="0" applyFont="1" applyFill="1" applyBorder="1" applyAlignment="1">
      <alignment horizontal="center" vertical="center"/>
    </xf>
    <xf numFmtId="164" fontId="15" fillId="35" borderId="1" xfId="0" applyNumberFormat="1" applyFont="1" applyFill="1" applyBorder="1" applyAlignment="1">
      <alignment horizontal="center" vertical="center"/>
    </xf>
    <xf numFmtId="164" fontId="15" fillId="16" borderId="1" xfId="0" applyNumberFormat="1" applyFont="1" applyFill="1" applyBorder="1" applyAlignment="1">
      <alignment horizontal="center" vertical="center"/>
    </xf>
    <xf numFmtId="164" fontId="15" fillId="41" borderId="1" xfId="0" applyNumberFormat="1" applyFont="1" applyFill="1" applyBorder="1" applyAlignment="1">
      <alignment horizontal="center" vertical="center"/>
    </xf>
    <xf numFmtId="164" fontId="15" fillId="10" borderId="1" xfId="0" applyNumberFormat="1" applyFont="1" applyFill="1" applyBorder="1" applyAlignment="1">
      <alignment horizontal="center" vertical="center"/>
    </xf>
    <xf numFmtId="0" fontId="14" fillId="0" borderId="1" xfId="0" applyFont="1" applyBorder="1" applyAlignment="1">
      <alignment horizontal="center"/>
    </xf>
    <xf numFmtId="0" fontId="14" fillId="43" borderId="1" xfId="0" applyFont="1" applyFill="1" applyBorder="1" applyAlignment="1">
      <alignment horizontal="center"/>
    </xf>
    <xf numFmtId="0" fontId="0" fillId="43" borderId="1" xfId="0" applyFill="1" applyBorder="1" applyAlignment="1">
      <alignment horizontal="center" vertical="center"/>
    </xf>
    <xf numFmtId="0" fontId="15" fillId="43" borderId="1" xfId="0" applyFont="1" applyFill="1" applyBorder="1" applyAlignment="1">
      <alignment horizontal="center" vertical="center"/>
    </xf>
    <xf numFmtId="0" fontId="0" fillId="0" borderId="13" xfId="0" applyBorder="1" applyAlignment="1">
      <alignment horizontal="center"/>
    </xf>
    <xf numFmtId="3" fontId="0" fillId="0" borderId="1" xfId="0" applyNumberFormat="1" applyBorder="1" applyAlignment="1">
      <alignment horizontal="center" vertical="center"/>
    </xf>
    <xf numFmtId="0" fontId="0" fillId="0" borderId="7" xfId="0" applyBorder="1"/>
    <xf numFmtId="0" fontId="0" fillId="26" borderId="7" xfId="0" applyFill="1" applyBorder="1"/>
    <xf numFmtId="3" fontId="0" fillId="26" borderId="1" xfId="0" applyNumberFormat="1" applyFill="1" applyBorder="1" applyAlignment="1">
      <alignment horizontal="center" vertical="center"/>
    </xf>
    <xf numFmtId="0" fontId="0" fillId="26" borderId="7" xfId="0" applyFill="1" applyBorder="1" applyAlignment="1">
      <alignment horizontal="center"/>
    </xf>
    <xf numFmtId="3" fontId="0" fillId="15" borderId="1" xfId="0" applyNumberFormat="1" applyFill="1" applyBorder="1" applyAlignment="1">
      <alignment horizontal="center" vertical="center"/>
    </xf>
    <xf numFmtId="164" fontId="0" fillId="15" borderId="7" xfId="0" applyNumberFormat="1" applyFill="1" applyBorder="1" applyAlignment="1">
      <alignment horizontal="center"/>
    </xf>
    <xf numFmtId="0" fontId="0" fillId="15" borderId="7" xfId="0" applyFill="1" applyBorder="1"/>
    <xf numFmtId="3" fontId="0" fillId="27" borderId="1" xfId="0" applyNumberFormat="1" applyFill="1" applyBorder="1" applyAlignment="1">
      <alignment horizontal="center" vertical="center"/>
    </xf>
    <xf numFmtId="3" fontId="0" fillId="25" borderId="1" xfId="0" applyNumberFormat="1" applyFill="1" applyBorder="1" applyAlignment="1">
      <alignment horizontal="center" vertical="center"/>
    </xf>
    <xf numFmtId="0" fontId="0" fillId="25" borderId="7" xfId="0" applyFill="1" applyBorder="1" applyAlignment="1">
      <alignment horizontal="center"/>
    </xf>
    <xf numFmtId="0" fontId="0" fillId="25" borderId="7" xfId="0" applyFill="1" applyBorder="1"/>
    <xf numFmtId="0" fontId="0" fillId="0" borderId="14" xfId="0" applyBorder="1"/>
    <xf numFmtId="0" fontId="0" fillId="0" borderId="6" xfId="0" applyBorder="1" applyAlignment="1">
      <alignment horizontal="center"/>
    </xf>
    <xf numFmtId="164" fontId="0" fillId="0" borderId="6" xfId="0" applyNumberFormat="1" applyBorder="1" applyAlignment="1">
      <alignment horizontal="center"/>
    </xf>
    <xf numFmtId="3" fontId="0" fillId="32" borderId="1" xfId="0" applyNumberFormat="1" applyFill="1" applyBorder="1" applyAlignment="1">
      <alignment horizontal="center" vertical="center"/>
    </xf>
    <xf numFmtId="0" fontId="0" fillId="32" borderId="1" xfId="0" applyFill="1" applyBorder="1" applyAlignment="1">
      <alignment horizontal="center" wrapText="1"/>
    </xf>
    <xf numFmtId="0" fontId="0" fillId="0" borderId="0" xfId="0"/>
    <xf numFmtId="0" fontId="0" fillId="0" borderId="0" xfId="0"/>
    <xf numFmtId="3" fontId="8" fillId="41" borderId="1" xfId="0" applyNumberFormat="1" applyFont="1" applyFill="1" applyBorder="1" applyAlignment="1">
      <alignment horizontal="center" vertical="center"/>
    </xf>
    <xf numFmtId="0" fontId="0" fillId="0" borderId="0" xfId="0"/>
    <xf numFmtId="0" fontId="0" fillId="0" borderId="0" xfId="0"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164" fontId="0" fillId="0" borderId="5" xfId="0" applyNumberFormat="1" applyBorder="1" applyAlignment="1">
      <alignment horizontal="center" vertical="center"/>
    </xf>
    <xf numFmtId="0" fontId="0" fillId="0" borderId="1" xfId="0" applyFill="1" applyBorder="1" applyAlignment="1">
      <alignment horizontal="center"/>
    </xf>
    <xf numFmtId="3" fontId="0" fillId="2" borderId="1" xfId="0" applyNumberFormat="1" applyFill="1" applyBorder="1" applyAlignment="1">
      <alignment horizontal="center" vertical="center"/>
    </xf>
    <xf numFmtId="0" fontId="0" fillId="0" borderId="0" xfId="0" applyBorder="1" applyAlignment="1">
      <alignment horizontal="center"/>
    </xf>
    <xf numFmtId="164" fontId="0" fillId="0" borderId="0" xfId="0" applyNumberFormat="1" applyBorder="1" applyAlignment="1">
      <alignment horizontal="center"/>
    </xf>
    <xf numFmtId="0" fontId="0" fillId="26" borderId="15" xfId="0" applyFill="1" applyBorder="1" applyAlignment="1">
      <alignment horizontal="center" vertical="center"/>
    </xf>
    <xf numFmtId="0" fontId="0" fillId="26" borderId="16" xfId="0" applyFill="1" applyBorder="1" applyAlignment="1">
      <alignment horizontal="center" vertical="center"/>
    </xf>
    <xf numFmtId="0" fontId="0" fillId="15" borderId="17" xfId="0" applyFill="1" applyBorder="1" applyAlignment="1">
      <alignment horizontal="center" vertical="center"/>
    </xf>
    <xf numFmtId="0" fontId="0" fillId="15" borderId="18" xfId="0" applyFill="1" applyBorder="1" applyAlignment="1">
      <alignment horizontal="center" vertical="center"/>
    </xf>
    <xf numFmtId="0" fontId="0" fillId="15" borderId="19" xfId="0" applyFill="1" applyBorder="1" applyAlignment="1">
      <alignment horizontal="center" vertical="center"/>
    </xf>
    <xf numFmtId="0" fontId="0" fillId="15" borderId="20" xfId="0" applyFill="1" applyBorder="1" applyAlignment="1">
      <alignment horizontal="center" vertical="center"/>
    </xf>
    <xf numFmtId="0" fontId="0" fillId="27" borderId="1" xfId="0" applyFill="1" applyBorder="1" applyAlignment="1">
      <alignment horizontal="center" vertical="center"/>
    </xf>
    <xf numFmtId="0" fontId="0" fillId="35" borderId="1" xfId="0" applyFill="1" applyBorder="1" applyAlignment="1">
      <alignment horizontal="center" vertical="center"/>
    </xf>
    <xf numFmtId="3" fontId="15" fillId="27" borderId="1" xfId="0" applyNumberFormat="1" applyFont="1" applyFill="1" applyBorder="1" applyAlignment="1">
      <alignment horizontal="center" vertical="center"/>
    </xf>
    <xf numFmtId="3" fontId="15" fillId="35" borderId="1" xfId="0" applyNumberFormat="1" applyFont="1" applyFill="1" applyBorder="1" applyAlignment="1">
      <alignment horizontal="center" vertical="center"/>
    </xf>
    <xf numFmtId="0" fontId="15" fillId="27" borderId="1" xfId="0" applyFont="1" applyFill="1" applyBorder="1" applyAlignment="1">
      <alignment horizontal="center" vertical="center"/>
    </xf>
    <xf numFmtId="0" fontId="15" fillId="35" borderId="1" xfId="0" applyFont="1" applyFill="1" applyBorder="1" applyAlignment="1">
      <alignment horizontal="center" vertical="center"/>
    </xf>
    <xf numFmtId="3" fontId="15" fillId="2" borderId="1" xfId="0" applyNumberFormat="1" applyFont="1" applyFill="1" applyBorder="1" applyAlignment="1">
      <alignment horizontal="center" vertical="center"/>
    </xf>
    <xf numFmtId="0" fontId="0" fillId="36" borderId="1" xfId="0" applyFill="1" applyBorder="1" applyAlignment="1">
      <alignment horizontal="center" vertical="center"/>
    </xf>
    <xf numFmtId="3" fontId="15" fillId="36" borderId="1" xfId="0" applyNumberFormat="1" applyFont="1" applyFill="1" applyBorder="1" applyAlignment="1">
      <alignment horizontal="center" vertical="center"/>
    </xf>
    <xf numFmtId="0" fontId="15" fillId="36" borderId="1" xfId="0" applyFont="1" applyFill="1" applyBorder="1" applyAlignment="1">
      <alignment horizontal="center" vertical="center"/>
    </xf>
    <xf numFmtId="0" fontId="0" fillId="44" borderId="1" xfId="0" applyFill="1" applyBorder="1" applyAlignment="1">
      <alignment horizontal="center" vertical="center"/>
    </xf>
    <xf numFmtId="0" fontId="0" fillId="0" borderId="0" xfId="0"/>
    <xf numFmtId="0" fontId="0" fillId="0" borderId="0" xfId="0"/>
    <xf numFmtId="3" fontId="8" fillId="15" borderId="1" xfId="0" applyNumberFormat="1" applyFont="1" applyFill="1" applyBorder="1" applyAlignment="1">
      <alignment horizontal="center" vertical="center"/>
    </xf>
    <xf numFmtId="0" fontId="0" fillId="10" borderId="1" xfId="0" applyFill="1" applyBorder="1" applyAlignment="1">
      <alignment horizontal="center" vertical="center"/>
    </xf>
    <xf numFmtId="0" fontId="15" fillId="10" borderId="1" xfId="0" applyFont="1" applyFill="1" applyBorder="1" applyAlignment="1">
      <alignment horizontal="center" vertical="center"/>
    </xf>
    <xf numFmtId="164" fontId="0" fillId="41" borderId="1" xfId="0" applyNumberFormat="1" applyFill="1" applyBorder="1" applyAlignment="1">
      <alignment horizontal="center" vertical="center"/>
    </xf>
    <xf numFmtId="3" fontId="8" fillId="10" borderId="1" xfId="0" applyNumberFormat="1" applyFont="1" applyFill="1" applyBorder="1" applyAlignment="1">
      <alignment horizontal="center" vertical="center"/>
    </xf>
    <xf numFmtId="0" fontId="0" fillId="0" borderId="0" xfId="0"/>
    <xf numFmtId="0" fontId="4" fillId="0" borderId="0" xfId="1" applyAlignment="1">
      <alignment horizontal="left" vertical="center"/>
    </xf>
    <xf numFmtId="3" fontId="15" fillId="36" borderId="7" xfId="0" applyNumberFormat="1" applyFont="1" applyFill="1" applyBorder="1" applyAlignment="1">
      <alignment horizontal="center" vertical="center"/>
    </xf>
    <xf numFmtId="3" fontId="15" fillId="36" borderId="6" xfId="0" applyNumberFormat="1" applyFont="1" applyFill="1" applyBorder="1" applyAlignment="1">
      <alignment horizontal="center" vertical="center"/>
    </xf>
    <xf numFmtId="0" fontId="0" fillId="0" borderId="0" xfId="0"/>
    <xf numFmtId="0" fontId="19" fillId="41" borderId="1" xfId="0" applyFont="1" applyFill="1" applyBorder="1" applyAlignment="1">
      <alignment horizontal="center" vertical="center"/>
    </xf>
    <xf numFmtId="0" fontId="0" fillId="41" borderId="5" xfId="0" applyFill="1" applyBorder="1" applyAlignment="1">
      <alignment horizontal="center" vertical="center"/>
    </xf>
    <xf numFmtId="0" fontId="0" fillId="0" borderId="0" xfId="0"/>
    <xf numFmtId="3" fontId="15" fillId="36" borderId="3" xfId="0" applyNumberFormat="1" applyFont="1" applyFill="1" applyBorder="1" applyAlignment="1">
      <alignment horizontal="center" vertical="center"/>
    </xf>
    <xf numFmtId="0" fontId="0" fillId="32" borderId="15" xfId="0" applyFill="1" applyBorder="1" applyAlignment="1">
      <alignment horizontal="center" vertical="center"/>
    </xf>
    <xf numFmtId="0" fontId="0" fillId="32" borderId="21" xfId="0" applyFill="1" applyBorder="1" applyAlignment="1">
      <alignment horizontal="center" vertical="center"/>
    </xf>
    <xf numFmtId="0" fontId="0" fillId="32" borderId="16" xfId="0" applyFill="1" applyBorder="1"/>
    <xf numFmtId="0" fontId="0" fillId="32" borderId="17" xfId="0" applyFill="1" applyBorder="1" applyAlignment="1">
      <alignment horizontal="center" vertical="center"/>
    </xf>
    <xf numFmtId="0" fontId="0" fillId="32" borderId="18" xfId="0" applyFill="1" applyBorder="1"/>
    <xf numFmtId="3" fontId="0" fillId="32" borderId="18" xfId="0" applyNumberFormat="1" applyFill="1" applyBorder="1" applyAlignment="1">
      <alignment horizontal="center" vertical="center"/>
    </xf>
    <xf numFmtId="0" fontId="0" fillId="32" borderId="19" xfId="0" applyFill="1" applyBorder="1" applyAlignment="1">
      <alignment horizontal="center" vertical="center"/>
    </xf>
    <xf numFmtId="3" fontId="15" fillId="32" borderId="22" xfId="0" applyNumberFormat="1" applyFont="1" applyFill="1" applyBorder="1" applyAlignment="1">
      <alignment horizontal="center" vertical="center"/>
    </xf>
    <xf numFmtId="0" fontId="0" fillId="32" borderId="22" xfId="0" applyFill="1" applyBorder="1" applyAlignment="1">
      <alignment horizontal="center" vertical="center"/>
    </xf>
    <xf numFmtId="0" fontId="0" fillId="32" borderId="20" xfId="0" applyFill="1" applyBorder="1"/>
    <xf numFmtId="3" fontId="15" fillId="18" borderId="1" xfId="0" applyNumberFormat="1" applyFont="1" applyFill="1" applyBorder="1" applyAlignment="1">
      <alignment horizontal="center" vertical="center"/>
    </xf>
    <xf numFmtId="164" fontId="15" fillId="15" borderId="1" xfId="0" applyNumberFormat="1" applyFont="1" applyFill="1" applyBorder="1" applyAlignment="1">
      <alignment horizontal="center" vertical="center"/>
    </xf>
    <xf numFmtId="0" fontId="0" fillId="15" borderId="1" xfId="0" applyFill="1" applyBorder="1" applyAlignment="1">
      <alignment horizontal="center" vertical="center"/>
    </xf>
    <xf numFmtId="0" fontId="15" fillId="15" borderId="1" xfId="0" applyFont="1" applyFill="1" applyBorder="1" applyAlignment="1">
      <alignment horizontal="center" vertical="center"/>
    </xf>
    <xf numFmtId="3" fontId="15" fillId="15" borderId="1" xfId="0" applyNumberFormat="1" applyFont="1" applyFill="1" applyBorder="1" applyAlignment="1">
      <alignment horizontal="center" vertical="center"/>
    </xf>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cellStyle name="Normal 3" xfId="2"/>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661"/>
  <sheetViews>
    <sheetView tabSelected="1" topLeftCell="M142" zoomScale="85" zoomScaleNormal="85" workbookViewId="0">
      <selection activeCell="Z160" sqref="Z160"/>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20.7109375" style="376" customWidth="1"/>
    <col min="16" max="16" width="16.28515625" customWidth="1"/>
    <col min="17" max="17" width="28.5703125" bestFit="1" customWidth="1"/>
    <col min="18" max="18" width="17.5703125" bestFit="1" customWidth="1"/>
    <col min="19" max="19" width="37.5703125" bestFit="1" customWidth="1"/>
    <col min="20" max="20" width="20.140625" bestFit="1" customWidth="1"/>
    <col min="21" max="21" width="22.5703125" bestFit="1" customWidth="1"/>
    <col min="22" max="22" width="44.85546875" bestFit="1" customWidth="1"/>
    <col min="23" max="23" width="18.7109375" bestFit="1" customWidth="1"/>
    <col min="24" max="24" width="24" bestFit="1" customWidth="1"/>
    <col min="25" max="25" width="20.140625" bestFit="1" customWidth="1"/>
    <col min="26" max="26" width="20.5703125" customWidth="1"/>
    <col min="27" max="27" width="24" customWidth="1"/>
    <col min="28" max="28" width="16.140625" bestFit="1" customWidth="1"/>
    <col min="29" max="29" width="25.7109375" bestFit="1" customWidth="1"/>
    <col min="30" max="30" width="16.140625" bestFit="1" customWidth="1"/>
    <col min="31" max="31" width="17" customWidth="1"/>
    <col min="32" max="32" width="16.85546875" bestFit="1" customWidth="1"/>
    <col min="33" max="33" width="13.85546875" bestFit="1" customWidth="1"/>
    <col min="34" max="34" width="16.140625" bestFit="1" customWidth="1"/>
    <col min="37" max="37" width="21.42578125" bestFit="1" customWidth="1"/>
    <col min="38" max="38" width="18.7109375" bestFit="1" customWidth="1"/>
    <col min="39" max="39" width="19.140625" bestFit="1" customWidth="1"/>
    <col min="40" max="40" width="16.85546875" bestFit="1" customWidth="1"/>
    <col min="41" max="41" width="21.140625" customWidth="1"/>
    <col min="42" max="42" width="23.7109375" bestFit="1" customWidth="1"/>
    <col min="45" max="45" width="6.28515625" bestFit="1" customWidth="1"/>
    <col min="46" max="46" width="15.7109375" bestFit="1" customWidth="1"/>
    <col min="47" max="47" width="15.140625" bestFit="1" customWidth="1"/>
    <col min="48" max="48" width="40.42578125" bestFit="1" customWidth="1"/>
    <col min="49" max="49" width="38.42578125" bestFit="1" customWidth="1"/>
    <col min="50" max="50" width="15" bestFit="1" customWidth="1"/>
    <col min="51" max="51" width="15.140625" bestFit="1" customWidth="1"/>
    <col min="52" max="52" width="8.7109375" bestFit="1" customWidth="1"/>
    <col min="53" max="53" width="16.85546875" bestFit="1" customWidth="1"/>
    <col min="54" max="54" width="36.7109375" customWidth="1"/>
    <col min="55" max="55" width="15.140625" bestFit="1" customWidth="1"/>
    <col min="56" max="56" width="32.28515625" bestFit="1" customWidth="1"/>
  </cols>
  <sheetData>
    <row r="1" spans="1:26">
      <c r="A1" s="11" t="s">
        <v>429</v>
      </c>
      <c r="B1" s="11" t="s">
        <v>427</v>
      </c>
      <c r="C1" s="11" t="s">
        <v>685</v>
      </c>
      <c r="D1" s="11" t="s">
        <v>428</v>
      </c>
      <c r="E1" s="11" t="s">
        <v>524</v>
      </c>
      <c r="F1" s="11" t="s">
        <v>435</v>
      </c>
      <c r="G1" s="11" t="s">
        <v>436</v>
      </c>
      <c r="H1" s="11" t="s">
        <v>8</v>
      </c>
      <c r="K1" s="11" t="s">
        <v>430</v>
      </c>
      <c r="L1" s="11" t="s">
        <v>431</v>
      </c>
      <c r="M1" s="11" t="s">
        <v>4952</v>
      </c>
      <c r="N1" s="11" t="s">
        <v>433</v>
      </c>
      <c r="O1" s="11"/>
      <c r="P1" s="11" t="s">
        <v>723</v>
      </c>
      <c r="Q1" s="11" t="s">
        <v>8</v>
      </c>
      <c r="U1" s="7"/>
      <c r="V1" s="7"/>
      <c r="W1" s="7"/>
    </row>
    <row r="2" spans="1:26">
      <c r="A2" s="11"/>
      <c r="B2" s="11">
        <v>0</v>
      </c>
      <c r="C2" s="3">
        <v>0</v>
      </c>
      <c r="D2" s="3">
        <v>0</v>
      </c>
      <c r="E2" s="3">
        <v>52000000</v>
      </c>
      <c r="F2" s="39">
        <v>52000000</v>
      </c>
      <c r="G2" s="26">
        <f t="shared" ref="G2:G24" si="0">E2-F2</f>
        <v>0</v>
      </c>
      <c r="H2" s="11" t="s">
        <v>491</v>
      </c>
      <c r="K2" s="11">
        <v>1.01</v>
      </c>
      <c r="L2" s="11">
        <v>1.02</v>
      </c>
      <c r="M2" s="11" t="s">
        <v>300</v>
      </c>
      <c r="N2" s="26">
        <v>91000000</v>
      </c>
      <c r="O2" s="26"/>
      <c r="P2" s="26">
        <v>154000000</v>
      </c>
      <c r="Q2" s="11" t="s">
        <v>896</v>
      </c>
      <c r="U2" s="7"/>
      <c r="V2" s="7"/>
      <c r="W2" s="7"/>
      <c r="Z2" s="7"/>
    </row>
    <row r="3" spans="1:26">
      <c r="A3" s="23">
        <v>96</v>
      </c>
      <c r="B3" s="11">
        <v>1</v>
      </c>
      <c r="C3" s="38">
        <v>3000000</v>
      </c>
      <c r="D3" s="3">
        <v>2500000</v>
      </c>
      <c r="E3" s="3">
        <f t="shared" ref="E3:E14" si="1">E2*$L$2+C3-D3</f>
        <v>53540000</v>
      </c>
      <c r="F3" s="39">
        <v>54000000</v>
      </c>
      <c r="G3" s="26">
        <f t="shared" si="0"/>
        <v>-460000</v>
      </c>
      <c r="H3" s="11" t="s">
        <v>495</v>
      </c>
      <c r="M3" s="11" t="s">
        <v>1080</v>
      </c>
      <c r="N3" s="26">
        <v>46000000</v>
      </c>
      <c r="O3" s="26"/>
      <c r="P3" s="26">
        <v>40000000</v>
      </c>
      <c r="Q3" s="11" t="s">
        <v>894</v>
      </c>
      <c r="U3" s="7"/>
      <c r="V3" s="7"/>
      <c r="W3" s="7"/>
      <c r="Z3" s="7"/>
    </row>
    <row r="4" spans="1:26">
      <c r="A4" s="23">
        <v>96</v>
      </c>
      <c r="B4" s="11">
        <v>2</v>
      </c>
      <c r="C4" s="38">
        <f t="shared" ref="C4:C14" si="2">C3*$K$2</f>
        <v>3030000</v>
      </c>
      <c r="D4" s="3">
        <f t="shared" ref="D4:D14" si="3">D3*$K$2</f>
        <v>2525000</v>
      </c>
      <c r="E4" s="3">
        <f t="shared" si="1"/>
        <v>55115800</v>
      </c>
      <c r="F4" s="39">
        <v>56000000</v>
      </c>
      <c r="G4" s="26">
        <f t="shared" si="0"/>
        <v>-884200</v>
      </c>
      <c r="H4" s="11" t="s">
        <v>523</v>
      </c>
      <c r="M4" s="11" t="s">
        <v>301</v>
      </c>
      <c r="N4" s="26">
        <v>10000000</v>
      </c>
      <c r="O4" s="26"/>
      <c r="P4" s="26"/>
      <c r="Q4" s="11"/>
      <c r="U4" s="7"/>
      <c r="V4" s="7"/>
      <c r="W4" s="7"/>
      <c r="Z4" s="7"/>
    </row>
    <row r="5" spans="1:26">
      <c r="A5" s="23">
        <v>96</v>
      </c>
      <c r="B5" s="11">
        <v>3</v>
      </c>
      <c r="C5" s="38">
        <f t="shared" si="2"/>
        <v>3060300</v>
      </c>
      <c r="D5" s="3">
        <f t="shared" si="3"/>
        <v>2550250</v>
      </c>
      <c r="E5" s="3">
        <f t="shared" si="1"/>
        <v>56728166</v>
      </c>
      <c r="F5" s="39">
        <v>58000000</v>
      </c>
      <c r="G5" s="26">
        <f t="shared" si="0"/>
        <v>-1271834</v>
      </c>
      <c r="H5" s="11" t="s">
        <v>564</v>
      </c>
      <c r="M5" s="11" t="s">
        <v>686</v>
      </c>
      <c r="N5" s="26">
        <v>27000000</v>
      </c>
      <c r="O5" s="26"/>
      <c r="P5" s="26">
        <v>41000000</v>
      </c>
      <c r="Q5" s="11" t="s">
        <v>686</v>
      </c>
      <c r="U5" s="7"/>
      <c r="V5" s="7"/>
      <c r="W5" s="7"/>
      <c r="Z5" s="7"/>
    </row>
    <row r="6" spans="1:26">
      <c r="A6" s="23">
        <v>96</v>
      </c>
      <c r="B6" s="11">
        <v>4</v>
      </c>
      <c r="C6" s="41">
        <f t="shared" si="2"/>
        <v>3090903</v>
      </c>
      <c r="D6" s="3">
        <f t="shared" si="3"/>
        <v>2575752.5</v>
      </c>
      <c r="E6" s="3">
        <f t="shared" si="1"/>
        <v>58377879.82</v>
      </c>
      <c r="F6" s="39">
        <v>60000000</v>
      </c>
      <c r="G6" s="26">
        <f t="shared" si="0"/>
        <v>-1622120.1799999997</v>
      </c>
      <c r="H6" s="11" t="s">
        <v>600</v>
      </c>
      <c r="M6" s="11" t="s">
        <v>303</v>
      </c>
      <c r="N6" s="26">
        <f>-E100*12</f>
        <v>0</v>
      </c>
      <c r="O6" s="26"/>
      <c r="P6" s="26">
        <v>-25000000</v>
      </c>
      <c r="Q6" s="11" t="s">
        <v>895</v>
      </c>
      <c r="U6" s="7"/>
      <c r="V6" s="7"/>
      <c r="W6" s="7"/>
      <c r="Z6" s="7"/>
    </row>
    <row r="7" spans="1:26">
      <c r="A7" s="23">
        <v>96</v>
      </c>
      <c r="B7" s="11">
        <v>5</v>
      </c>
      <c r="C7" s="41">
        <f t="shared" si="2"/>
        <v>3121812.03</v>
      </c>
      <c r="D7" s="3">
        <f t="shared" si="3"/>
        <v>2601510.0249999999</v>
      </c>
      <c r="E7" s="3">
        <f t="shared" si="1"/>
        <v>60065739.421400003</v>
      </c>
      <c r="F7" s="39">
        <v>56000000</v>
      </c>
      <c r="G7" s="26">
        <f t="shared" si="0"/>
        <v>4065739.4214000031</v>
      </c>
      <c r="H7" s="11" t="s">
        <v>691</v>
      </c>
      <c r="M7" s="11" t="s">
        <v>687</v>
      </c>
      <c r="N7" s="26">
        <v>100000000</v>
      </c>
      <c r="O7" s="26"/>
      <c r="P7" s="26"/>
      <c r="Q7" s="11"/>
      <c r="U7" s="7"/>
      <c r="V7" s="7"/>
      <c r="W7" s="7"/>
      <c r="Z7" s="7"/>
    </row>
    <row r="8" spans="1:26">
      <c r="A8" s="23">
        <v>96</v>
      </c>
      <c r="B8" s="11">
        <v>6</v>
      </c>
      <c r="C8" s="41">
        <f t="shared" si="2"/>
        <v>3153030.1502999999</v>
      </c>
      <c r="D8" s="3">
        <f t="shared" si="3"/>
        <v>2627525.12525</v>
      </c>
      <c r="E8" s="3">
        <f t="shared" si="1"/>
        <v>61792559.234878004</v>
      </c>
      <c r="F8" s="39">
        <v>58000000</v>
      </c>
      <c r="G8" s="26">
        <f t="shared" si="0"/>
        <v>3792559.2348780036</v>
      </c>
      <c r="H8" s="11" t="s">
        <v>680</v>
      </c>
      <c r="M8" s="11"/>
      <c r="N8" s="26"/>
      <c r="O8" s="26"/>
      <c r="P8" s="26"/>
      <c r="Q8" s="11"/>
      <c r="U8" s="7"/>
      <c r="V8" s="7"/>
      <c r="W8" s="7"/>
      <c r="Z8" s="7"/>
    </row>
    <row r="9" spans="1:26">
      <c r="A9" s="23">
        <v>96</v>
      </c>
      <c r="B9" s="11">
        <v>7</v>
      </c>
      <c r="C9" s="42">
        <f t="shared" si="2"/>
        <v>3184560.4518029997</v>
      </c>
      <c r="D9" s="3">
        <f t="shared" si="3"/>
        <v>2653800.3765024999</v>
      </c>
      <c r="E9" s="3">
        <f t="shared" si="1"/>
        <v>63559170.494876064</v>
      </c>
      <c r="F9" s="39">
        <v>63665000</v>
      </c>
      <c r="G9" s="26">
        <f t="shared" si="0"/>
        <v>-105829.50512393564</v>
      </c>
      <c r="H9" s="11" t="s">
        <v>704</v>
      </c>
      <c r="M9" s="11" t="s">
        <v>25</v>
      </c>
      <c r="N9" s="26"/>
      <c r="O9" s="26"/>
      <c r="P9" s="26"/>
      <c r="Q9" s="11"/>
      <c r="U9" s="7"/>
      <c r="V9" s="7"/>
      <c r="W9" s="7"/>
      <c r="Z9" s="7"/>
    </row>
    <row r="10" spans="1:26">
      <c r="A10" s="23">
        <v>96</v>
      </c>
      <c r="B10" s="11">
        <v>8</v>
      </c>
      <c r="C10" s="42">
        <f t="shared" si="2"/>
        <v>3216406.0563210296</v>
      </c>
      <c r="D10" s="3">
        <f t="shared" si="3"/>
        <v>2680338.3802675251</v>
      </c>
      <c r="E10" s="3">
        <f t="shared" si="1"/>
        <v>65366421.580827095</v>
      </c>
      <c r="F10" s="39">
        <v>66250000</v>
      </c>
      <c r="G10" s="26">
        <f t="shared" si="0"/>
        <v>-883578.41917290539</v>
      </c>
      <c r="H10" s="11" t="s">
        <v>747</v>
      </c>
      <c r="M10" s="11" t="s">
        <v>689</v>
      </c>
      <c r="N10" s="26">
        <f>SUM(N2:N6)</f>
        <v>174000000</v>
      </c>
      <c r="O10" s="26"/>
      <c r="P10" s="26"/>
      <c r="Q10" s="11"/>
      <c r="U10" s="7"/>
      <c r="V10" s="7"/>
      <c r="W10" s="7"/>
      <c r="Z10" s="7"/>
    </row>
    <row r="11" spans="1:26" ht="59.25" customHeight="1">
      <c r="A11" s="23">
        <v>96</v>
      </c>
      <c r="B11" s="11">
        <v>9</v>
      </c>
      <c r="C11" s="42">
        <f t="shared" si="2"/>
        <v>3248570.1168842399</v>
      </c>
      <c r="D11" s="3">
        <f t="shared" si="3"/>
        <v>2707141.7640702003</v>
      </c>
      <c r="E11" s="3">
        <f t="shared" si="1"/>
        <v>67215178.36525768</v>
      </c>
      <c r="F11" s="39">
        <v>68665000</v>
      </c>
      <c r="G11" s="26">
        <f t="shared" si="0"/>
        <v>-1449821.6347423196</v>
      </c>
      <c r="H11" s="11" t="s">
        <v>779</v>
      </c>
      <c r="M11" s="11" t="s">
        <v>690</v>
      </c>
      <c r="N11" s="26">
        <f>SUM(N2:N9)</f>
        <v>274000000</v>
      </c>
      <c r="O11" s="26"/>
      <c r="P11" s="26">
        <f>SUM(P2:P9)</f>
        <v>210000000</v>
      </c>
      <c r="Q11" s="11"/>
      <c r="U11" s="7"/>
      <c r="V11" s="7" t="s">
        <v>25</v>
      </c>
      <c r="W11" s="7"/>
      <c r="Z11" s="7"/>
    </row>
    <row r="12" spans="1:26">
      <c r="A12" s="23">
        <v>96</v>
      </c>
      <c r="B12" s="11">
        <v>10</v>
      </c>
      <c r="C12" s="3">
        <f t="shared" si="2"/>
        <v>3281055.8180530826</v>
      </c>
      <c r="D12" s="3">
        <f t="shared" si="3"/>
        <v>2734213.1817109021</v>
      </c>
      <c r="E12" s="3">
        <f t="shared" si="1"/>
        <v>69106324.568905011</v>
      </c>
      <c r="F12" s="39">
        <v>71000000</v>
      </c>
      <c r="G12" s="26">
        <f t="shared" si="0"/>
        <v>-1893675.4310949892</v>
      </c>
      <c r="H12" s="11" t="s">
        <v>821</v>
      </c>
      <c r="U12" s="7"/>
      <c r="V12" s="7"/>
      <c r="W12" s="7"/>
      <c r="Z12" s="7"/>
    </row>
    <row r="13" spans="1:26">
      <c r="A13" s="23">
        <v>96</v>
      </c>
      <c r="B13" s="11">
        <v>11</v>
      </c>
      <c r="C13" s="3">
        <f t="shared" si="2"/>
        <v>3313866.3762336136</v>
      </c>
      <c r="D13" s="3">
        <f t="shared" si="3"/>
        <v>2761555.3135280111</v>
      </c>
      <c r="E13" s="3">
        <f t="shared" si="1"/>
        <v>71040762.122988701</v>
      </c>
      <c r="F13" s="39">
        <v>73900000</v>
      </c>
      <c r="G13" s="26">
        <f t="shared" si="0"/>
        <v>-2859237.8770112991</v>
      </c>
      <c r="H13" s="11" t="s">
        <v>858</v>
      </c>
      <c r="P13" s="7"/>
      <c r="U13" s="7"/>
      <c r="V13" s="7"/>
      <c r="W13" s="7"/>
      <c r="Z13" s="7"/>
    </row>
    <row r="14" spans="1:26">
      <c r="A14" s="23">
        <v>96</v>
      </c>
      <c r="B14" s="11">
        <v>12</v>
      </c>
      <c r="C14" s="3">
        <f t="shared" si="2"/>
        <v>3347005.0399959497</v>
      </c>
      <c r="D14" s="3">
        <f t="shared" si="3"/>
        <v>2789170.8666632911</v>
      </c>
      <c r="E14" s="40">
        <f t="shared" si="1"/>
        <v>73019411.538781136</v>
      </c>
      <c r="F14" s="39">
        <v>91400000</v>
      </c>
      <c r="G14" s="26">
        <f t="shared" si="0"/>
        <v>-18380588.461218864</v>
      </c>
      <c r="H14" s="11" t="s">
        <v>1027</v>
      </c>
      <c r="P14" t="s">
        <v>25</v>
      </c>
      <c r="Q14" t="s">
        <v>25</v>
      </c>
      <c r="R14" s="2">
        <v>28</v>
      </c>
      <c r="S14" s="2" t="s">
        <v>4305</v>
      </c>
      <c r="Z14" s="7"/>
    </row>
    <row r="15" spans="1:26">
      <c r="A15" s="49">
        <v>97</v>
      </c>
      <c r="B15" s="11">
        <v>13</v>
      </c>
      <c r="C15" s="38">
        <v>3650000</v>
      </c>
      <c r="D15" s="3">
        <v>2965000</v>
      </c>
      <c r="E15" s="3">
        <v>94553000</v>
      </c>
      <c r="F15" s="3">
        <v>90450000</v>
      </c>
      <c r="G15" s="26">
        <f t="shared" si="0"/>
        <v>4103000</v>
      </c>
      <c r="H15" s="11" t="s">
        <v>1117</v>
      </c>
      <c r="K15" s="2" t="s">
        <v>432</v>
      </c>
      <c r="L15" s="2" t="s">
        <v>433</v>
      </c>
      <c r="M15" s="2"/>
      <c r="N15" s="2" t="s">
        <v>723</v>
      </c>
      <c r="O15" s="36"/>
      <c r="P15" s="36"/>
      <c r="Y15" s="7"/>
    </row>
    <row r="16" spans="1:26">
      <c r="A16" s="49">
        <v>97</v>
      </c>
      <c r="B16" s="11">
        <v>14</v>
      </c>
      <c r="C16" s="38">
        <f t="shared" ref="C16:C62" si="4">C15*$K$2</f>
        <v>3686500</v>
      </c>
      <c r="D16" s="3">
        <f t="shared" ref="D16:D62" si="5">D15*$K$2</f>
        <v>2994650</v>
      </c>
      <c r="E16" s="3">
        <f>E15*$L$2+C16-D16</f>
        <v>97135910</v>
      </c>
      <c r="F16" s="3">
        <v>87000000</v>
      </c>
      <c r="G16" s="26">
        <f t="shared" si="0"/>
        <v>10135910</v>
      </c>
      <c r="H16" s="11" t="s">
        <v>3636</v>
      </c>
      <c r="K16" s="19" t="s">
        <v>299</v>
      </c>
      <c r="L16" s="37">
        <f>'مسکن ایلیا'!B422</f>
        <v>4641599</v>
      </c>
      <c r="M16" s="2" t="s">
        <v>724</v>
      </c>
      <c r="N16" s="3">
        <f>'مسکن مریم یاران'!B196</f>
        <v>88305</v>
      </c>
      <c r="O16" s="36"/>
      <c r="P16" s="25"/>
      <c r="Q16" s="7"/>
      <c r="T16" s="7"/>
      <c r="U16" s="7"/>
      <c r="V16" s="7"/>
      <c r="Y16" s="7"/>
    </row>
    <row r="17" spans="1:47">
      <c r="A17" s="49">
        <v>97</v>
      </c>
      <c r="B17" s="11">
        <v>15</v>
      </c>
      <c r="C17" s="38">
        <f t="shared" si="4"/>
        <v>3723365</v>
      </c>
      <c r="D17" s="3">
        <f t="shared" si="5"/>
        <v>3024596.5</v>
      </c>
      <c r="E17" s="3">
        <f>E16*$L$2+C17-D17</f>
        <v>99777396.700000003</v>
      </c>
      <c r="F17" s="3">
        <v>90235000</v>
      </c>
      <c r="G17" s="26">
        <f t="shared" si="0"/>
        <v>9542396.700000003</v>
      </c>
      <c r="H17" s="11" t="s">
        <v>3755</v>
      </c>
      <c r="K17" s="2" t="s">
        <v>434</v>
      </c>
      <c r="L17" s="37">
        <f>'مسکن علی سید الشهدا'!B85</f>
        <v>64773</v>
      </c>
      <c r="M17" s="2" t="s">
        <v>629</v>
      </c>
      <c r="N17" s="3">
        <f>سارا!D371</f>
        <v>52748</v>
      </c>
      <c r="O17" s="36"/>
      <c r="P17" s="25"/>
      <c r="Q17" s="7"/>
      <c r="Y17" s="7"/>
    </row>
    <row r="18" spans="1:47">
      <c r="A18" s="49">
        <v>97</v>
      </c>
      <c r="B18" s="11">
        <v>16</v>
      </c>
      <c r="C18" s="41">
        <f t="shared" si="4"/>
        <v>3760598.65</v>
      </c>
      <c r="D18" s="3">
        <f t="shared" si="5"/>
        <v>3054842.4649999999</v>
      </c>
      <c r="E18" s="3">
        <f>E17*$L$2+C18-D18</f>
        <v>102478700.81900001</v>
      </c>
      <c r="F18" s="3">
        <v>93000000</v>
      </c>
      <c r="G18" s="26">
        <f t="shared" si="0"/>
        <v>9478700.8190000057</v>
      </c>
      <c r="H18" s="11" t="s">
        <v>3917</v>
      </c>
      <c r="K18" s="2" t="s">
        <v>655</v>
      </c>
      <c r="L18" s="37">
        <v>1000000</v>
      </c>
      <c r="M18" s="2" t="s">
        <v>4040</v>
      </c>
      <c r="N18" s="3">
        <v>35695</v>
      </c>
      <c r="O18" s="36" t="s">
        <v>25</v>
      </c>
      <c r="P18" s="25" t="s">
        <v>25</v>
      </c>
      <c r="Q18" s="7"/>
      <c r="S18" s="2" t="s">
        <v>4241</v>
      </c>
      <c r="T18" s="2" t="s">
        <v>25</v>
      </c>
      <c r="U18" s="2"/>
      <c r="V18" s="3"/>
      <c r="W18" s="11"/>
      <c r="X18" s="11"/>
      <c r="Y18" s="11"/>
      <c r="Z18" s="11"/>
    </row>
    <row r="19" spans="1:47" ht="18" customHeight="1">
      <c r="A19" s="49">
        <v>97</v>
      </c>
      <c r="B19" s="11">
        <v>17</v>
      </c>
      <c r="C19" s="41">
        <f t="shared" si="4"/>
        <v>3798204.6365</v>
      </c>
      <c r="D19" s="3">
        <f t="shared" si="5"/>
        <v>3085390.8896499998</v>
      </c>
      <c r="E19" s="3">
        <f>E18*$L$2+C19-D19</f>
        <v>105241088.58223</v>
      </c>
      <c r="F19" s="3">
        <v>101300000</v>
      </c>
      <c r="G19" s="26">
        <f t="shared" si="0"/>
        <v>3941088.5822300017</v>
      </c>
      <c r="H19" s="32" t="s">
        <v>4093</v>
      </c>
      <c r="K19" s="2"/>
      <c r="L19" s="37"/>
      <c r="M19" s="2" t="s">
        <v>727</v>
      </c>
      <c r="N19" s="3">
        <v>3000000</v>
      </c>
      <c r="O19" s="36"/>
      <c r="P19" s="25"/>
      <c r="S19" s="2" t="s">
        <v>267</v>
      </c>
      <c r="T19" s="2" t="s">
        <v>180</v>
      </c>
      <c r="U19" s="2" t="s">
        <v>183</v>
      </c>
      <c r="V19" s="2" t="s">
        <v>8</v>
      </c>
      <c r="W19" s="2" t="s">
        <v>4304</v>
      </c>
      <c r="X19" s="60" t="s">
        <v>4306</v>
      </c>
      <c r="Y19" s="28">
        <v>2</v>
      </c>
      <c r="Z19" s="28">
        <v>4</v>
      </c>
      <c r="AA19" s="7"/>
      <c r="AI19" s="11" t="s">
        <v>3603</v>
      </c>
      <c r="AJ19" s="11" t="s">
        <v>180</v>
      </c>
      <c r="AK19" s="11" t="s">
        <v>267</v>
      </c>
      <c r="AL19" s="11" t="s">
        <v>4020</v>
      </c>
      <c r="AM19" s="11" t="s">
        <v>4012</v>
      </c>
      <c r="AN19" s="11" t="s">
        <v>282</v>
      </c>
      <c r="AO19" s="11" t="s">
        <v>433</v>
      </c>
    </row>
    <row r="20" spans="1:47" ht="21.75" customHeight="1">
      <c r="A20" s="49">
        <v>97</v>
      </c>
      <c r="B20" s="11">
        <v>18</v>
      </c>
      <c r="C20" s="41">
        <f t="shared" si="4"/>
        <v>3836186.6828649999</v>
      </c>
      <c r="D20" s="3">
        <f t="shared" si="5"/>
        <v>3116244.7985465</v>
      </c>
      <c r="E20" s="3">
        <f>E19*$L$2+C20-D20</f>
        <v>108065852.23819311</v>
      </c>
      <c r="F20" s="3">
        <v>95200000</v>
      </c>
      <c r="G20" s="26">
        <f t="shared" si="0"/>
        <v>12865852.23819311</v>
      </c>
      <c r="H20" s="32" t="s">
        <v>4094</v>
      </c>
      <c r="K20" s="2"/>
      <c r="L20" s="37"/>
      <c r="M20" s="2" t="s">
        <v>731</v>
      </c>
      <c r="N20" s="3">
        <v>1200000</v>
      </c>
      <c r="O20" s="2"/>
      <c r="P20" s="2"/>
      <c r="S20" s="3">
        <v>9268987</v>
      </c>
      <c r="T20" s="2" t="s">
        <v>4125</v>
      </c>
      <c r="U20" s="147">
        <f>U110</f>
        <v>1500</v>
      </c>
      <c r="V20" s="2" t="s">
        <v>4255</v>
      </c>
      <c r="W20" s="2">
        <v>192.1</v>
      </c>
      <c r="X20" s="2">
        <f t="shared" ref="X20:X51" si="6">W20*(1+$T$106+$R$14*U20/36500)</f>
        <v>416.06649534246577</v>
      </c>
      <c r="Y20" s="28">
        <f t="shared" ref="Y20:Y51" si="7">X20*(1+$Y$19/100)</f>
        <v>424.38782524931509</v>
      </c>
      <c r="Z20" s="28">
        <f t="shared" ref="Z20:Z51" si="8">X20*(1+$Z$19/100)</f>
        <v>432.7091551561644</v>
      </c>
      <c r="AA20">
        <v>48028</v>
      </c>
      <c r="AI20" s="11">
        <v>1</v>
      </c>
      <c r="AJ20" s="3" t="s">
        <v>1070</v>
      </c>
      <c r="AK20" s="3">
        <v>18000000</v>
      </c>
      <c r="AL20" s="11">
        <v>1</v>
      </c>
      <c r="AM20" s="11">
        <f>AM21+AL20</f>
        <v>1452</v>
      </c>
      <c r="AN20" s="3">
        <f t="shared" ref="AN20:AO61" si="9">AK20*AM20</f>
        <v>26136000000</v>
      </c>
      <c r="AO20" s="11"/>
    </row>
    <row r="21" spans="1:47">
      <c r="A21" s="49">
        <v>97</v>
      </c>
      <c r="B21" s="11">
        <v>19</v>
      </c>
      <c r="C21" s="42">
        <f t="shared" si="4"/>
        <v>3874548.5496936501</v>
      </c>
      <c r="D21" s="37">
        <f t="shared" si="5"/>
        <v>3147407.2465319652</v>
      </c>
      <c r="E21" s="37">
        <v>262000000</v>
      </c>
      <c r="F21" s="37">
        <v>284066000</v>
      </c>
      <c r="G21" s="26">
        <f t="shared" si="0"/>
        <v>-22066000</v>
      </c>
      <c r="H21" s="11" t="s">
        <v>4156</v>
      </c>
      <c r="K21" s="2"/>
      <c r="L21" s="37"/>
      <c r="M21" s="161" t="s">
        <v>6794</v>
      </c>
      <c r="N21" s="179">
        <v>478</v>
      </c>
      <c r="O21" s="161"/>
      <c r="P21" s="161"/>
      <c r="Q21" s="352"/>
      <c r="S21" s="3">
        <v>1353959</v>
      </c>
      <c r="T21" s="2" t="s">
        <v>4362</v>
      </c>
      <c r="U21" s="151">
        <f>U20-59</f>
        <v>1441</v>
      </c>
      <c r="V21" s="19" t="s">
        <v>4394</v>
      </c>
      <c r="W21" s="2">
        <v>192.2</v>
      </c>
      <c r="X21" s="2">
        <f t="shared" si="6"/>
        <v>407.58405917808221</v>
      </c>
      <c r="Y21" s="28">
        <f t="shared" si="7"/>
        <v>415.73574036164388</v>
      </c>
      <c r="Z21" s="28">
        <f t="shared" si="8"/>
        <v>423.88742154520554</v>
      </c>
      <c r="AA21">
        <v>7012</v>
      </c>
      <c r="AI21" s="11">
        <v>2</v>
      </c>
      <c r="AJ21" s="3" t="s">
        <v>1072</v>
      </c>
      <c r="AK21" s="3">
        <v>2500000</v>
      </c>
      <c r="AL21" s="11">
        <v>1</v>
      </c>
      <c r="AM21" s="11">
        <f t="shared" ref="AM21:AN60" si="10">AM22+AL21</f>
        <v>1451</v>
      </c>
      <c r="AN21" s="3">
        <f t="shared" si="9"/>
        <v>3627500000</v>
      </c>
      <c r="AO21" s="11"/>
    </row>
    <row r="22" spans="1:47">
      <c r="A22" s="49">
        <v>97</v>
      </c>
      <c r="B22" s="11">
        <v>20</v>
      </c>
      <c r="C22" s="42">
        <f t="shared" si="4"/>
        <v>3913294.0351905865</v>
      </c>
      <c r="D22" s="3">
        <f t="shared" si="5"/>
        <v>3178881.3189972849</v>
      </c>
      <c r="E22" s="3">
        <f t="shared" ref="E22:E62" si="11">E21*$L$2+C22-D22</f>
        <v>267974412.71619329</v>
      </c>
      <c r="F22" s="3">
        <v>240000000</v>
      </c>
      <c r="G22" s="26">
        <f t="shared" si="0"/>
        <v>27974412.716193289</v>
      </c>
      <c r="H22" s="11"/>
      <c r="K22" s="2"/>
      <c r="L22" s="37"/>
      <c r="M22" s="161" t="s">
        <v>6795</v>
      </c>
      <c r="N22" s="179">
        <f>O22*P22</f>
        <v>322525472</v>
      </c>
      <c r="O22" s="353">
        <v>170288</v>
      </c>
      <c r="P22" s="354">
        <f>P42</f>
        <v>1894</v>
      </c>
      <c r="Q22" s="352">
        <f>N22*100/$P$51</f>
        <v>2.0091183336311298</v>
      </c>
      <c r="S22" s="3">
        <v>1614398</v>
      </c>
      <c r="T22" s="2" t="s">
        <v>4368</v>
      </c>
      <c r="U22" s="2">
        <f>U21-3</f>
        <v>1438</v>
      </c>
      <c r="V22" s="19" t="s">
        <v>5533</v>
      </c>
      <c r="W22" s="2">
        <v>184.6</v>
      </c>
      <c r="X22" s="2">
        <f t="shared" si="6"/>
        <v>391.04247890410954</v>
      </c>
      <c r="Y22" s="28">
        <f t="shared" si="7"/>
        <v>398.86332848219172</v>
      </c>
      <c r="Z22" s="28">
        <f t="shared" si="8"/>
        <v>406.68417806027395</v>
      </c>
      <c r="AA22">
        <v>8705</v>
      </c>
      <c r="AI22" s="11">
        <v>3</v>
      </c>
      <c r="AJ22" s="3" t="s">
        <v>1081</v>
      </c>
      <c r="AK22" s="3">
        <v>8000000</v>
      </c>
      <c r="AL22" s="11">
        <v>1</v>
      </c>
      <c r="AM22" s="11">
        <f t="shared" si="10"/>
        <v>1450</v>
      </c>
      <c r="AN22" s="3">
        <f t="shared" si="9"/>
        <v>11600000000</v>
      </c>
      <c r="AO22" s="11"/>
    </row>
    <row r="23" spans="1:47">
      <c r="A23" s="49">
        <v>97</v>
      </c>
      <c r="B23" s="11">
        <v>21</v>
      </c>
      <c r="C23" s="42">
        <f t="shared" si="4"/>
        <v>3952426.9755424922</v>
      </c>
      <c r="D23" s="3">
        <f t="shared" si="5"/>
        <v>3210670.1321872575</v>
      </c>
      <c r="E23" s="3">
        <f t="shared" si="11"/>
        <v>274075657.8138724</v>
      </c>
      <c r="F23" s="3">
        <v>242000000</v>
      </c>
      <c r="G23" s="26">
        <f t="shared" si="0"/>
        <v>32075657.813872397</v>
      </c>
      <c r="H23" s="11" t="s">
        <v>25</v>
      </c>
      <c r="K23" s="2"/>
      <c r="L23" s="37"/>
      <c r="M23" s="161" t="s">
        <v>6796</v>
      </c>
      <c r="N23" s="179">
        <f>O23*P23</f>
        <v>11969380</v>
      </c>
      <c r="O23" s="353">
        <v>21260</v>
      </c>
      <c r="P23" s="354">
        <f>P43</f>
        <v>563</v>
      </c>
      <c r="Q23" s="352">
        <f>N23*100/$P$51</f>
        <v>7.4561245197395681E-2</v>
      </c>
      <c r="S23" s="3">
        <v>133576</v>
      </c>
      <c r="T23" s="2" t="s">
        <v>4431</v>
      </c>
      <c r="U23" s="150">
        <f>U22-22</f>
        <v>1416</v>
      </c>
      <c r="V23" s="2" t="s">
        <v>4432</v>
      </c>
      <c r="W23" s="2">
        <v>166.2</v>
      </c>
      <c r="X23" s="2">
        <f t="shared" si="6"/>
        <v>349.26042082191782</v>
      </c>
      <c r="Y23" s="28">
        <f t="shared" si="7"/>
        <v>356.24562923835617</v>
      </c>
      <c r="Z23" s="28">
        <f t="shared" si="8"/>
        <v>363.23083765479453</v>
      </c>
      <c r="AA23">
        <v>800</v>
      </c>
      <c r="AI23" s="11">
        <v>4</v>
      </c>
      <c r="AJ23" s="3" t="s">
        <v>4016</v>
      </c>
      <c r="AK23" s="3">
        <v>-79552</v>
      </c>
      <c r="AL23" s="11">
        <v>1</v>
      </c>
      <c r="AM23" s="11">
        <f t="shared" si="10"/>
        <v>1449</v>
      </c>
      <c r="AN23" s="3">
        <f t="shared" si="9"/>
        <v>-115270848</v>
      </c>
      <c r="AO23" s="11"/>
    </row>
    <row r="24" spans="1:47">
      <c r="A24" s="49">
        <v>97</v>
      </c>
      <c r="B24" s="11">
        <v>22</v>
      </c>
      <c r="C24" s="3">
        <f t="shared" si="4"/>
        <v>3991951.2452979172</v>
      </c>
      <c r="D24" s="3">
        <f t="shared" si="5"/>
        <v>3242776.8335091299</v>
      </c>
      <c r="E24" s="3">
        <f t="shared" si="11"/>
        <v>280306345.38193864</v>
      </c>
      <c r="F24" s="3">
        <f>L56</f>
        <v>315888395.16379833</v>
      </c>
      <c r="G24" s="26">
        <f t="shared" si="0"/>
        <v>-35582049.781859696</v>
      </c>
      <c r="H24" s="11"/>
      <c r="K24" s="2"/>
      <c r="L24" s="37"/>
      <c r="M24" s="2"/>
      <c r="N24" s="2"/>
      <c r="O24" s="350"/>
      <c r="P24" s="154"/>
      <c r="Q24" s="351"/>
      <c r="S24" s="3">
        <v>220803</v>
      </c>
      <c r="T24" s="2" t="s">
        <v>4180</v>
      </c>
      <c r="U24" s="150">
        <f>U23-1</f>
        <v>1415</v>
      </c>
      <c r="V24" s="2" t="s">
        <v>4438</v>
      </c>
      <c r="W24" s="2">
        <v>166</v>
      </c>
      <c r="X24" s="2">
        <f t="shared" si="6"/>
        <v>348.71278904109596</v>
      </c>
      <c r="Y24" s="28">
        <f t="shared" si="7"/>
        <v>355.68704482191788</v>
      </c>
      <c r="Z24" s="28">
        <f t="shared" si="8"/>
        <v>362.6613006027398</v>
      </c>
      <c r="AA24">
        <v>1326</v>
      </c>
      <c r="AI24" s="11">
        <v>5</v>
      </c>
      <c r="AJ24" s="3" t="s">
        <v>1093</v>
      </c>
      <c r="AK24" s="3">
        <v>165500</v>
      </c>
      <c r="AL24" s="11">
        <v>12</v>
      </c>
      <c r="AM24" s="11">
        <f t="shared" si="10"/>
        <v>1448</v>
      </c>
      <c r="AN24" s="3">
        <f t="shared" si="9"/>
        <v>239644000</v>
      </c>
      <c r="AO24" s="11"/>
    </row>
    <row r="25" spans="1:47">
      <c r="A25" s="49">
        <v>97</v>
      </c>
      <c r="B25" s="11">
        <v>23</v>
      </c>
      <c r="C25" s="3">
        <f t="shared" si="4"/>
        <v>4031870.7577508963</v>
      </c>
      <c r="D25" s="3">
        <f t="shared" si="5"/>
        <v>3275204.6018442214</v>
      </c>
      <c r="E25" s="3">
        <f t="shared" si="11"/>
        <v>286669138.44548404</v>
      </c>
      <c r="F25" s="3"/>
      <c r="G25" s="11"/>
      <c r="H25" s="11"/>
      <c r="K25" s="2"/>
      <c r="L25" s="37"/>
      <c r="M25" s="150" t="s">
        <v>6716</v>
      </c>
      <c r="N25" s="63">
        <v>106108675</v>
      </c>
      <c r="O25" s="355"/>
      <c r="P25" s="356"/>
      <c r="Q25" s="357">
        <f t="shared" ref="Q25:Q34" si="12">N25*100/$P$51</f>
        <v>0.66098619429291816</v>
      </c>
      <c r="S25" s="3">
        <v>1023940</v>
      </c>
      <c r="T25" s="2" t="s">
        <v>4439</v>
      </c>
      <c r="U25" s="150">
        <f>U24-2</f>
        <v>1413</v>
      </c>
      <c r="V25" s="2" t="s">
        <v>4445</v>
      </c>
      <c r="W25" s="2">
        <v>160.19999999999999</v>
      </c>
      <c r="X25" s="2">
        <f t="shared" si="6"/>
        <v>336.2830619178082</v>
      </c>
      <c r="Y25" s="28">
        <f t="shared" si="7"/>
        <v>343.00872315616436</v>
      </c>
      <c r="Z25" s="28">
        <f t="shared" si="8"/>
        <v>349.73438439452053</v>
      </c>
      <c r="AA25">
        <v>6362</v>
      </c>
      <c r="AB25" t="s">
        <v>25</v>
      </c>
      <c r="AI25" s="11">
        <v>6</v>
      </c>
      <c r="AJ25" s="3" t="s">
        <v>1118</v>
      </c>
      <c r="AK25" s="3">
        <v>-28830327</v>
      </c>
      <c r="AL25" s="11">
        <v>6</v>
      </c>
      <c r="AM25" s="11">
        <f t="shared" si="10"/>
        <v>1436</v>
      </c>
      <c r="AN25" s="3">
        <f t="shared" si="9"/>
        <v>-41400349572</v>
      </c>
      <c r="AO25" s="11"/>
    </row>
    <row r="26" spans="1:47">
      <c r="A26" s="49">
        <v>97</v>
      </c>
      <c r="B26" s="11">
        <v>24</v>
      </c>
      <c r="C26" s="3">
        <f t="shared" si="4"/>
        <v>4072189.4653284051</v>
      </c>
      <c r="D26" s="3">
        <f t="shared" si="5"/>
        <v>3307956.6478626635</v>
      </c>
      <c r="E26" s="40">
        <f t="shared" si="11"/>
        <v>293166754.03185946</v>
      </c>
      <c r="F26" s="3"/>
      <c r="G26" s="11"/>
      <c r="H26" s="11"/>
      <c r="J26" t="s">
        <v>25</v>
      </c>
      <c r="K26" s="2"/>
      <c r="L26" s="37"/>
      <c r="M26" s="150" t="s">
        <v>6717</v>
      </c>
      <c r="N26" s="63">
        <f>O26*P26</f>
        <v>194530846</v>
      </c>
      <c r="O26" s="355">
        <v>102709</v>
      </c>
      <c r="P26" s="356">
        <f>P42</f>
        <v>1894</v>
      </c>
      <c r="Q26" s="357">
        <f t="shared" si="12"/>
        <v>1.2117972783103901</v>
      </c>
      <c r="S26" s="3">
        <v>168846</v>
      </c>
      <c r="T26" s="2" t="s">
        <v>3653</v>
      </c>
      <c r="U26" s="150">
        <f>U25-28</f>
        <v>1385</v>
      </c>
      <c r="V26" s="2" t="s">
        <v>4514</v>
      </c>
      <c r="W26" s="2">
        <v>172.2</v>
      </c>
      <c r="X26" s="2">
        <f t="shared" si="6"/>
        <v>357.77404273972599</v>
      </c>
      <c r="Y26" s="28">
        <f t="shared" si="7"/>
        <v>364.9295235945205</v>
      </c>
      <c r="Z26" s="28">
        <f t="shared" si="8"/>
        <v>372.08500444931502</v>
      </c>
      <c r="AA26">
        <v>976</v>
      </c>
      <c r="AI26" s="11">
        <v>7</v>
      </c>
      <c r="AJ26" s="3" t="s">
        <v>1143</v>
      </c>
      <c r="AK26" s="3">
        <v>18500000</v>
      </c>
      <c r="AL26" s="11">
        <v>1</v>
      </c>
      <c r="AM26" s="11">
        <f t="shared" si="10"/>
        <v>1430</v>
      </c>
      <c r="AN26" s="3">
        <f t="shared" si="9"/>
        <v>26455000000</v>
      </c>
      <c r="AO26" s="11"/>
    </row>
    <row r="27" spans="1:47">
      <c r="A27" s="50">
        <v>98</v>
      </c>
      <c r="B27" s="11">
        <v>25</v>
      </c>
      <c r="C27" s="38">
        <f t="shared" si="4"/>
        <v>4112911.3599816891</v>
      </c>
      <c r="D27" s="3">
        <f t="shared" si="5"/>
        <v>3341036.2143412903</v>
      </c>
      <c r="E27" s="3">
        <f t="shared" si="11"/>
        <v>299801964.25813711</v>
      </c>
      <c r="F27" s="3"/>
      <c r="G27" s="11"/>
      <c r="H27" s="11"/>
      <c r="K27" s="2"/>
      <c r="L27" s="37"/>
      <c r="M27" s="150" t="s">
        <v>6718</v>
      </c>
      <c r="N27" s="63">
        <f>O27*P27</f>
        <v>159817121</v>
      </c>
      <c r="O27" s="355">
        <v>283867</v>
      </c>
      <c r="P27" s="356">
        <f>P43</f>
        <v>563</v>
      </c>
      <c r="Q27" s="357">
        <f t="shared" si="12"/>
        <v>0.99555395063260199</v>
      </c>
      <c r="S27" s="3">
        <v>1563192</v>
      </c>
      <c r="T27" s="2" t="s">
        <v>4605</v>
      </c>
      <c r="U27" s="150">
        <f>U26-33</f>
        <v>1352</v>
      </c>
      <c r="V27" s="2" t="s">
        <v>4606</v>
      </c>
      <c r="W27" s="2">
        <v>168.8</v>
      </c>
      <c r="X27" s="2">
        <f t="shared" si="6"/>
        <v>346.43679561643836</v>
      </c>
      <c r="Y27" s="28">
        <f t="shared" si="7"/>
        <v>353.36553152876712</v>
      </c>
      <c r="Z27" s="28">
        <f t="shared" si="8"/>
        <v>360.29426744109588</v>
      </c>
      <c r="AA27">
        <v>9222</v>
      </c>
      <c r="AI27" s="11">
        <v>8</v>
      </c>
      <c r="AJ27" s="3" t="s">
        <v>1152</v>
      </c>
      <c r="AK27" s="3">
        <v>-18550000</v>
      </c>
      <c r="AL27" s="11">
        <v>1</v>
      </c>
      <c r="AM27" s="11">
        <f t="shared" si="10"/>
        <v>1429</v>
      </c>
      <c r="AN27" s="3">
        <f t="shared" si="9"/>
        <v>-26507950000</v>
      </c>
      <c r="AO27" s="11"/>
    </row>
    <row r="28" spans="1:47">
      <c r="A28" s="50">
        <v>98</v>
      </c>
      <c r="B28" s="11">
        <v>26</v>
      </c>
      <c r="C28" s="38">
        <f t="shared" si="4"/>
        <v>4154040.4735815059</v>
      </c>
      <c r="D28" s="3">
        <f t="shared" si="5"/>
        <v>3374446.5764847035</v>
      </c>
      <c r="E28" s="3">
        <f t="shared" si="11"/>
        <v>306577597.44039667</v>
      </c>
      <c r="F28" s="3"/>
      <c r="G28" s="11"/>
      <c r="H28" s="11"/>
      <c r="J28" t="s">
        <v>25</v>
      </c>
      <c r="K28" s="2"/>
      <c r="L28" s="37"/>
      <c r="M28" s="150" t="s">
        <v>7067</v>
      </c>
      <c r="N28" s="63">
        <f>O28*P28</f>
        <v>1300610</v>
      </c>
      <c r="O28" s="355">
        <v>83</v>
      </c>
      <c r="P28" s="356">
        <v>15670</v>
      </c>
      <c r="Q28" s="357">
        <f t="shared" si="12"/>
        <v>8.1019318558007841E-3</v>
      </c>
      <c r="S28" s="3">
        <v>1204691</v>
      </c>
      <c r="T28" s="2" t="s">
        <v>4806</v>
      </c>
      <c r="U28" s="150">
        <f>U27-76</f>
        <v>1276</v>
      </c>
      <c r="V28" s="2" t="s">
        <v>4807</v>
      </c>
      <c r="W28" s="2">
        <v>218.5</v>
      </c>
      <c r="X28" s="2">
        <f t="shared" si="6"/>
        <v>435.69977534246578</v>
      </c>
      <c r="Y28" s="28">
        <f t="shared" si="7"/>
        <v>444.41377084931509</v>
      </c>
      <c r="Z28" s="28">
        <f t="shared" si="8"/>
        <v>453.12776635616444</v>
      </c>
      <c r="AA28">
        <v>5488</v>
      </c>
      <c r="AI28" s="11">
        <v>9</v>
      </c>
      <c r="AJ28" s="3" t="s">
        <v>1159</v>
      </c>
      <c r="AK28" s="3">
        <v>-64961</v>
      </c>
      <c r="AL28" s="11">
        <v>5</v>
      </c>
      <c r="AM28" s="11">
        <f t="shared" si="10"/>
        <v>1428</v>
      </c>
      <c r="AN28" s="3">
        <f t="shared" si="9"/>
        <v>-92764308</v>
      </c>
      <c r="AO28" s="11"/>
    </row>
    <row r="29" spans="1:47">
      <c r="A29" s="50">
        <v>98</v>
      </c>
      <c r="B29" s="11">
        <v>27</v>
      </c>
      <c r="C29" s="38">
        <f t="shared" si="4"/>
        <v>4195580.8783173207</v>
      </c>
      <c r="D29" s="3">
        <f t="shared" si="5"/>
        <v>3408191.0422495506</v>
      </c>
      <c r="E29" s="3">
        <f t="shared" si="11"/>
        <v>313496539.22527236</v>
      </c>
      <c r="F29" s="3"/>
      <c r="G29" s="11"/>
      <c r="H29" s="11"/>
      <c r="J29" t="s">
        <v>25</v>
      </c>
      <c r="K29" s="2"/>
      <c r="L29" s="37"/>
      <c r="M29" s="150" t="s">
        <v>7055</v>
      </c>
      <c r="N29" s="63">
        <f>O29*P29</f>
        <v>597525600</v>
      </c>
      <c r="O29" s="355">
        <v>71134</v>
      </c>
      <c r="P29" s="236">
        <f>'خرید و فروش نسبتی'!O64</f>
        <v>8400</v>
      </c>
      <c r="Q29" s="357">
        <f t="shared" si="12"/>
        <v>3.7221855077974775</v>
      </c>
      <c r="S29" s="3">
        <v>15011877</v>
      </c>
      <c r="T29" s="2" t="s">
        <v>4809</v>
      </c>
      <c r="U29" s="150">
        <f>U28-3</f>
        <v>1273</v>
      </c>
      <c r="V29" s="2" t="s">
        <v>4813</v>
      </c>
      <c r="W29" s="2">
        <v>197.1</v>
      </c>
      <c r="X29" s="2">
        <f t="shared" si="6"/>
        <v>392.57352000000003</v>
      </c>
      <c r="Y29" s="28">
        <f t="shared" si="7"/>
        <v>400.42499040000001</v>
      </c>
      <c r="Z29" s="28">
        <f t="shared" si="8"/>
        <v>408.27646080000005</v>
      </c>
      <c r="AA29">
        <v>75812</v>
      </c>
      <c r="AI29" s="11">
        <v>10</v>
      </c>
      <c r="AJ29" s="3" t="s">
        <v>1175</v>
      </c>
      <c r="AK29" s="3">
        <v>6400000</v>
      </c>
      <c r="AL29" s="11">
        <v>1</v>
      </c>
      <c r="AM29" s="11">
        <f t="shared" si="10"/>
        <v>1423</v>
      </c>
      <c r="AN29" s="3">
        <f t="shared" si="9"/>
        <v>9107200000</v>
      </c>
      <c r="AO29" s="11"/>
    </row>
    <row r="30" spans="1:47">
      <c r="A30" s="50">
        <v>98</v>
      </c>
      <c r="B30" s="11">
        <v>28</v>
      </c>
      <c r="C30" s="41">
        <f t="shared" si="4"/>
        <v>4237536.6871004943</v>
      </c>
      <c r="D30" s="3">
        <f t="shared" si="5"/>
        <v>3442272.9526720461</v>
      </c>
      <c r="E30" s="3">
        <f t="shared" si="11"/>
        <v>320561733.74420619</v>
      </c>
      <c r="F30" s="3"/>
      <c r="G30" s="11"/>
      <c r="H30" s="11"/>
      <c r="K30" s="2"/>
      <c r="L30" s="37"/>
      <c r="M30" s="162" t="s">
        <v>6934</v>
      </c>
      <c r="N30" s="163">
        <v>4940</v>
      </c>
      <c r="O30" s="358" t="s">
        <v>900</v>
      </c>
      <c r="P30" s="162" t="s">
        <v>3891</v>
      </c>
      <c r="Q30" s="164">
        <f t="shared" si="12"/>
        <v>3.0772901459819527E-5</v>
      </c>
      <c r="S30" s="3">
        <v>7046042.5001907032</v>
      </c>
      <c r="T30" s="2" t="s">
        <v>4820</v>
      </c>
      <c r="U30" s="150">
        <f>U29-5</f>
        <v>1268</v>
      </c>
      <c r="V30" s="2" t="s">
        <v>5500</v>
      </c>
      <c r="W30" s="2">
        <v>194.4</v>
      </c>
      <c r="X30" s="2">
        <f t="shared" si="6"/>
        <v>386.45015671232881</v>
      </c>
      <c r="Y30" s="28">
        <f t="shared" si="7"/>
        <v>394.17915984657537</v>
      </c>
      <c r="Z30" s="28">
        <f t="shared" si="8"/>
        <v>401.908162980822</v>
      </c>
      <c r="AA30">
        <v>36073</v>
      </c>
      <c r="AI30" s="11">
        <v>11</v>
      </c>
      <c r="AJ30" s="3" t="s">
        <v>4017</v>
      </c>
      <c r="AK30" s="3">
        <v>-170000</v>
      </c>
      <c r="AL30" s="11">
        <v>5</v>
      </c>
      <c r="AM30" s="11">
        <f t="shared" si="10"/>
        <v>1422</v>
      </c>
      <c r="AN30" s="3">
        <f t="shared" si="9"/>
        <v>-241740000</v>
      </c>
      <c r="AO30" s="11"/>
    </row>
    <row r="31" spans="1:47">
      <c r="A31" s="50">
        <v>98</v>
      </c>
      <c r="B31" s="11">
        <v>29</v>
      </c>
      <c r="C31" s="41">
        <f t="shared" si="4"/>
        <v>4279912.0539714992</v>
      </c>
      <c r="D31" s="3">
        <f t="shared" si="5"/>
        <v>3476695.6821987666</v>
      </c>
      <c r="E31" s="3">
        <f t="shared" si="11"/>
        <v>327776184.79086304</v>
      </c>
      <c r="F31" s="3"/>
      <c r="G31" s="11"/>
      <c r="H31" s="11"/>
      <c r="K31" s="2" t="s">
        <v>6593</v>
      </c>
      <c r="L31" s="37">
        <f>-'فروردین 98'!D176</f>
        <v>3846463</v>
      </c>
      <c r="M31" s="162" t="s">
        <v>4247</v>
      </c>
      <c r="N31" s="163">
        <f>O31*P31</f>
        <v>1751758706</v>
      </c>
      <c r="O31" s="358">
        <v>924899</v>
      </c>
      <c r="P31" s="162">
        <f>P42</f>
        <v>1894</v>
      </c>
      <c r="Q31" s="164">
        <f t="shared" si="12"/>
        <v>10.91228705285809</v>
      </c>
      <c r="S31" s="3">
        <v>5368238</v>
      </c>
      <c r="T31" s="2" t="s">
        <v>5506</v>
      </c>
      <c r="U31" s="150">
        <f>U30-465</f>
        <v>803</v>
      </c>
      <c r="V31" s="2" t="s">
        <v>5507</v>
      </c>
      <c r="W31" s="2">
        <v>1843</v>
      </c>
      <c r="X31" s="2">
        <f t="shared" si="6"/>
        <v>3006.3016000000002</v>
      </c>
      <c r="Y31" s="28">
        <f t="shared" si="7"/>
        <v>3066.4276320000004</v>
      </c>
      <c r="Z31" s="28">
        <f t="shared" si="8"/>
        <v>3126.5536640000005</v>
      </c>
      <c r="AA31">
        <v>2902</v>
      </c>
      <c r="AI31" s="11">
        <v>12</v>
      </c>
      <c r="AJ31" s="3" t="s">
        <v>1195</v>
      </c>
      <c r="AK31" s="3">
        <v>-6300000</v>
      </c>
      <c r="AL31" s="11">
        <v>1</v>
      </c>
      <c r="AM31" s="11">
        <f>AM32+AL31</f>
        <v>1417</v>
      </c>
      <c r="AN31" s="3">
        <f t="shared" si="9"/>
        <v>-8927100000</v>
      </c>
      <c r="AO31" s="11"/>
    </row>
    <row r="32" spans="1:47">
      <c r="A32" s="50">
        <v>98</v>
      </c>
      <c r="B32" s="11">
        <v>30</v>
      </c>
      <c r="C32" s="41">
        <f t="shared" si="4"/>
        <v>4322711.1745112138</v>
      </c>
      <c r="D32" s="3">
        <f t="shared" si="5"/>
        <v>3511462.6390207545</v>
      </c>
      <c r="E32" s="3">
        <f t="shared" si="11"/>
        <v>335142957.02217078</v>
      </c>
      <c r="F32" s="3"/>
      <c r="G32" s="11"/>
      <c r="H32" s="11"/>
      <c r="J32" s="46"/>
      <c r="K32" s="2" t="s">
        <v>4392</v>
      </c>
      <c r="L32" s="37">
        <f>-Y160</f>
        <v>309535560.16379833</v>
      </c>
      <c r="M32" s="162" t="s">
        <v>5223</v>
      </c>
      <c r="N32" s="163">
        <f>O32*P32</f>
        <v>83498530</v>
      </c>
      <c r="O32" s="358">
        <v>148310</v>
      </c>
      <c r="P32" s="162">
        <f>P43</f>
        <v>563</v>
      </c>
      <c r="Q32" s="164">
        <f t="shared" si="12"/>
        <v>0.52014008820440982</v>
      </c>
      <c r="S32" s="3">
        <v>40195775</v>
      </c>
      <c r="T32" s="2" t="s">
        <v>5508</v>
      </c>
      <c r="U32" s="150">
        <f>U31-3</f>
        <v>800</v>
      </c>
      <c r="V32" s="2" t="s">
        <v>5509</v>
      </c>
      <c r="W32" s="2">
        <v>1751</v>
      </c>
      <c r="X32" s="2">
        <f t="shared" si="6"/>
        <v>2852.2015013698633</v>
      </c>
      <c r="Y32" s="28">
        <f t="shared" si="7"/>
        <v>2909.2455313972605</v>
      </c>
      <c r="Z32" s="28">
        <f t="shared" si="8"/>
        <v>2966.2895614246581</v>
      </c>
      <c r="AA32">
        <v>22871</v>
      </c>
      <c r="AI32" s="11">
        <v>13</v>
      </c>
      <c r="AJ32" s="3" t="s">
        <v>1204</v>
      </c>
      <c r="AK32" s="3">
        <v>-52015</v>
      </c>
      <c r="AL32" s="11">
        <v>16</v>
      </c>
      <c r="AM32" s="11">
        <f t="shared" si="10"/>
        <v>1416</v>
      </c>
      <c r="AN32" s="3">
        <f t="shared" si="9"/>
        <v>-73653240</v>
      </c>
      <c r="AO32" s="11"/>
      <c r="AU32" t="s">
        <v>25</v>
      </c>
    </row>
    <row r="33" spans="1:41">
      <c r="A33" s="50">
        <v>98</v>
      </c>
      <c r="B33" s="11">
        <v>31</v>
      </c>
      <c r="C33" s="42">
        <f t="shared" si="4"/>
        <v>4365938.2862563264</v>
      </c>
      <c r="D33" s="3">
        <f t="shared" si="5"/>
        <v>3546577.265410962</v>
      </c>
      <c r="E33" s="3">
        <f t="shared" si="11"/>
        <v>342665177.18345958</v>
      </c>
      <c r="F33" s="3"/>
      <c r="G33" s="11"/>
      <c r="H33" s="11"/>
      <c r="K33" s="2"/>
      <c r="L33" s="37"/>
      <c r="M33" s="162" t="s">
        <v>4617</v>
      </c>
      <c r="N33" s="163">
        <f>O33*P33</f>
        <v>784981808</v>
      </c>
      <c r="O33" s="358">
        <v>1589032</v>
      </c>
      <c r="P33" s="162">
        <f>P44</f>
        <v>494</v>
      </c>
      <c r="Q33" s="164">
        <f t="shared" si="12"/>
        <v>4.8899125152499945</v>
      </c>
      <c r="S33" s="3">
        <v>16176504</v>
      </c>
      <c r="T33" s="2" t="s">
        <v>5510</v>
      </c>
      <c r="U33" s="150">
        <f>U32-1</f>
        <v>799</v>
      </c>
      <c r="V33" s="2" t="s">
        <v>5511</v>
      </c>
      <c r="W33" s="2">
        <v>1730</v>
      </c>
      <c r="X33" s="2">
        <f t="shared" si="6"/>
        <v>2816.6675068493155</v>
      </c>
      <c r="Y33" s="28">
        <f t="shared" si="7"/>
        <v>2873.0008569863016</v>
      </c>
      <c r="Z33" s="28">
        <f t="shared" si="8"/>
        <v>2929.3342071232883</v>
      </c>
      <c r="AA33">
        <v>9316</v>
      </c>
      <c r="AB33" t="s">
        <v>25</v>
      </c>
      <c r="AI33" s="11">
        <v>14</v>
      </c>
      <c r="AJ33" s="3" t="s">
        <v>3670</v>
      </c>
      <c r="AK33" s="3">
        <v>20017400</v>
      </c>
      <c r="AL33" s="11">
        <v>0</v>
      </c>
      <c r="AM33" s="11">
        <f t="shared" si="10"/>
        <v>1400</v>
      </c>
      <c r="AN33" s="3">
        <f t="shared" si="9"/>
        <v>28024360000</v>
      </c>
      <c r="AO33" s="11"/>
    </row>
    <row r="34" spans="1:41" ht="15" customHeight="1">
      <c r="A34" s="50">
        <v>98</v>
      </c>
      <c r="B34" s="11">
        <v>32</v>
      </c>
      <c r="C34" s="42">
        <f t="shared" si="4"/>
        <v>4409597.6691188896</v>
      </c>
      <c r="D34" s="3">
        <f t="shared" si="5"/>
        <v>3582043.0380650717</v>
      </c>
      <c r="E34" s="3">
        <f t="shared" si="11"/>
        <v>350346035.35818261</v>
      </c>
      <c r="F34" s="3"/>
      <c r="G34" s="11"/>
      <c r="H34" s="11"/>
      <c r="K34" s="2" t="s">
        <v>882</v>
      </c>
      <c r="L34" s="37">
        <v>4800000</v>
      </c>
      <c r="M34" s="162" t="s">
        <v>7048</v>
      </c>
      <c r="N34" s="163">
        <f>O34*P34</f>
        <v>3135586200</v>
      </c>
      <c r="O34" s="358">
        <v>222382</v>
      </c>
      <c r="P34" s="162">
        <f>P46</f>
        <v>14100</v>
      </c>
      <c r="Q34" s="164">
        <f t="shared" si="12"/>
        <v>19.532608330236833</v>
      </c>
      <c r="R34" s="215"/>
      <c r="S34" s="3">
        <v>47880291</v>
      </c>
      <c r="T34" s="2" t="s">
        <v>5516</v>
      </c>
      <c r="U34" s="150">
        <f>U33-8</f>
        <v>791</v>
      </c>
      <c r="V34" s="2" t="s">
        <v>5520</v>
      </c>
      <c r="W34" s="2">
        <v>1737.1</v>
      </c>
      <c r="X34" s="2">
        <f t="shared" si="6"/>
        <v>2817.5666816438356</v>
      </c>
      <c r="Y34" s="28">
        <f t="shared" si="7"/>
        <v>2873.9180152767126</v>
      </c>
      <c r="Z34" s="28">
        <f t="shared" si="8"/>
        <v>2930.2693489095891</v>
      </c>
      <c r="AA34">
        <v>27461</v>
      </c>
      <c r="AI34" s="11">
        <v>15</v>
      </c>
      <c r="AJ34" s="3" t="s">
        <v>3670</v>
      </c>
      <c r="AK34" s="3">
        <v>1014466</v>
      </c>
      <c r="AL34" s="11">
        <v>12</v>
      </c>
      <c r="AM34" s="11">
        <f t="shared" si="10"/>
        <v>1400</v>
      </c>
      <c r="AN34" s="3">
        <f t="shared" si="9"/>
        <v>1420252400</v>
      </c>
      <c r="AO34" s="11"/>
    </row>
    <row r="35" spans="1:41">
      <c r="A35" s="50">
        <v>98</v>
      </c>
      <c r="B35" s="11">
        <v>33</v>
      </c>
      <c r="C35" s="42">
        <f t="shared" si="4"/>
        <v>4453693.6458100788</v>
      </c>
      <c r="D35" s="3">
        <f t="shared" si="5"/>
        <v>3617863.4684457225</v>
      </c>
      <c r="E35" s="3">
        <f t="shared" si="11"/>
        <v>358188786.24271059</v>
      </c>
      <c r="F35" s="3"/>
      <c r="G35" s="11"/>
      <c r="H35" s="11"/>
      <c r="K35" s="2"/>
      <c r="L35" s="37"/>
      <c r="M35" s="2"/>
      <c r="N35" s="3"/>
      <c r="O35" s="350"/>
      <c r="P35" s="349"/>
      <c r="Q35" s="351"/>
      <c r="S35" s="3">
        <v>48859908</v>
      </c>
      <c r="T35" s="2" t="s">
        <v>5519</v>
      </c>
      <c r="U35" s="150">
        <f>U34-1</f>
        <v>790</v>
      </c>
      <c r="V35" s="2" t="s">
        <v>5523</v>
      </c>
      <c r="W35" s="2">
        <v>1730.1</v>
      </c>
      <c r="X35" s="2">
        <f t="shared" si="6"/>
        <v>2804.8855200000003</v>
      </c>
      <c r="Y35" s="28">
        <f t="shared" si="7"/>
        <v>2860.9832304000001</v>
      </c>
      <c r="Z35" s="28">
        <f t="shared" si="8"/>
        <v>2917.0809408000005</v>
      </c>
      <c r="AA35">
        <v>28136</v>
      </c>
      <c r="AB35" t="s">
        <v>25</v>
      </c>
      <c r="AC35" t="s">
        <v>25</v>
      </c>
      <c r="AI35" s="11">
        <v>16</v>
      </c>
      <c r="AJ35" s="3" t="s">
        <v>1106</v>
      </c>
      <c r="AK35" s="3">
        <v>360000</v>
      </c>
      <c r="AL35" s="11">
        <v>2</v>
      </c>
      <c r="AM35" s="11">
        <f t="shared" si="10"/>
        <v>1388</v>
      </c>
      <c r="AN35" s="3">
        <f t="shared" si="9"/>
        <v>499680000</v>
      </c>
      <c r="AO35" s="11"/>
    </row>
    <row r="36" spans="1:41">
      <c r="A36" s="50">
        <v>98</v>
      </c>
      <c r="B36" s="11">
        <v>34</v>
      </c>
      <c r="C36" s="3">
        <f t="shared" si="4"/>
        <v>4498230.5822681794</v>
      </c>
      <c r="D36" s="3">
        <f t="shared" si="5"/>
        <v>3654042.1031301799</v>
      </c>
      <c r="E36" s="3">
        <f t="shared" si="11"/>
        <v>366196750.44670284</v>
      </c>
      <c r="F36" s="3"/>
      <c r="G36" s="11"/>
      <c r="H36" s="11"/>
      <c r="J36" t="s">
        <v>25</v>
      </c>
      <c r="K36" s="2" t="s">
        <v>6922</v>
      </c>
      <c r="L36" s="37">
        <v>-33000000</v>
      </c>
      <c r="M36" s="145" t="s">
        <v>4387</v>
      </c>
      <c r="N36" s="144">
        <v>1440</v>
      </c>
      <c r="O36" s="359"/>
      <c r="P36" s="360"/>
      <c r="Q36" s="361"/>
      <c r="S36" s="3">
        <v>38191823</v>
      </c>
      <c r="T36" s="2" t="s">
        <v>5521</v>
      </c>
      <c r="U36" s="150">
        <f>U35-1</f>
        <v>789</v>
      </c>
      <c r="V36" s="2" t="s">
        <v>5522</v>
      </c>
      <c r="W36" s="2">
        <v>1646</v>
      </c>
      <c r="X36" s="2">
        <f t="shared" si="6"/>
        <v>2667.2776109589045</v>
      </c>
      <c r="Y36" s="28">
        <f t="shared" si="7"/>
        <v>2720.6231631780825</v>
      </c>
      <c r="Z36" s="28">
        <f t="shared" si="8"/>
        <v>2773.9687153972609</v>
      </c>
      <c r="AA36">
        <v>23117</v>
      </c>
      <c r="AI36" s="11">
        <v>17</v>
      </c>
      <c r="AJ36" s="3" t="s">
        <v>3730</v>
      </c>
      <c r="AK36" s="3">
        <v>-350000</v>
      </c>
      <c r="AL36" s="11">
        <v>0</v>
      </c>
      <c r="AM36" s="11">
        <f t="shared" si="10"/>
        <v>1386</v>
      </c>
      <c r="AN36" s="3">
        <f t="shared" si="9"/>
        <v>-485100000</v>
      </c>
      <c r="AO36" s="11"/>
    </row>
    <row r="37" spans="1:41">
      <c r="A37" s="50">
        <v>98</v>
      </c>
      <c r="B37" s="11">
        <v>35</v>
      </c>
      <c r="C37" s="3">
        <f t="shared" si="4"/>
        <v>4543212.888090861</v>
      </c>
      <c r="D37" s="3">
        <f t="shared" si="5"/>
        <v>3690582.5241614818</v>
      </c>
      <c r="E37" s="3">
        <f t="shared" si="11"/>
        <v>374373315.81956631</v>
      </c>
      <c r="F37" s="3"/>
      <c r="G37" s="11"/>
      <c r="H37" s="11"/>
      <c r="J37" s="7"/>
      <c r="K37" s="2"/>
      <c r="L37" s="2"/>
      <c r="M37" s="145" t="s">
        <v>4369</v>
      </c>
      <c r="N37" s="144">
        <f>O37*P37</f>
        <v>529194964</v>
      </c>
      <c r="O37" s="359">
        <f>SUM(AA80:AA100)</f>
        <v>279406</v>
      </c>
      <c r="P37" s="360">
        <f>P42</f>
        <v>1894</v>
      </c>
      <c r="Q37" s="361"/>
      <c r="S37" s="3">
        <v>70173463</v>
      </c>
      <c r="T37" s="2" t="s">
        <v>5524</v>
      </c>
      <c r="U37" s="150">
        <f>U36-3</f>
        <v>786</v>
      </c>
      <c r="V37" s="2" t="s">
        <v>5528</v>
      </c>
      <c r="W37" s="2">
        <v>1674.7</v>
      </c>
      <c r="X37" s="2">
        <f t="shared" si="6"/>
        <v>2709.9307167123293</v>
      </c>
      <c r="Y37" s="28">
        <f t="shared" si="7"/>
        <v>2764.1293310465758</v>
      </c>
      <c r="Z37" s="28">
        <f t="shared" si="8"/>
        <v>2818.3279453808227</v>
      </c>
      <c r="AA37">
        <v>41747</v>
      </c>
      <c r="AB37" t="s">
        <v>25</v>
      </c>
      <c r="AI37" s="11">
        <v>18</v>
      </c>
      <c r="AJ37" s="3" t="s">
        <v>3730</v>
      </c>
      <c r="AK37" s="3">
        <v>1000</v>
      </c>
      <c r="AL37" s="11">
        <v>1</v>
      </c>
      <c r="AM37" s="11">
        <f t="shared" si="10"/>
        <v>1386</v>
      </c>
      <c r="AN37" s="3">
        <f t="shared" si="9"/>
        <v>1386000</v>
      </c>
      <c r="AO37" s="11"/>
    </row>
    <row r="38" spans="1:41">
      <c r="A38" s="50">
        <v>98</v>
      </c>
      <c r="B38" s="11">
        <v>36</v>
      </c>
      <c r="C38" s="3">
        <f t="shared" si="4"/>
        <v>4588645.0169717697</v>
      </c>
      <c r="D38" s="3">
        <f t="shared" si="5"/>
        <v>3727488.3494030968</v>
      </c>
      <c r="E38" s="40">
        <f t="shared" si="11"/>
        <v>382721938.80352634</v>
      </c>
      <c r="F38" s="3"/>
      <c r="G38" s="11"/>
      <c r="H38" s="11"/>
      <c r="J38" s="7"/>
      <c r="K38" s="60" t="s">
        <v>7024</v>
      </c>
      <c r="L38" s="37">
        <v>25000000</v>
      </c>
      <c r="M38" s="145" t="s">
        <v>5223</v>
      </c>
      <c r="N38" s="144">
        <f>O38*P38</f>
        <v>43965207</v>
      </c>
      <c r="O38" s="359">
        <f>SUM(AC80:AC100)</f>
        <v>82797</v>
      </c>
      <c r="P38" s="360">
        <v>531</v>
      </c>
      <c r="Q38" s="361"/>
      <c r="R38" t="s">
        <v>25</v>
      </c>
      <c r="S38" s="3">
        <v>23283294</v>
      </c>
      <c r="T38" s="2" t="s">
        <v>5526</v>
      </c>
      <c r="U38" s="150">
        <f>U37-2</f>
        <v>784</v>
      </c>
      <c r="V38" s="2" t="s">
        <v>5527</v>
      </c>
      <c r="W38" s="2">
        <v>1663</v>
      </c>
      <c r="X38" s="2">
        <f t="shared" si="6"/>
        <v>2688.446805479452</v>
      </c>
      <c r="Y38" s="28">
        <f t="shared" si="7"/>
        <v>2742.215741589041</v>
      </c>
      <c r="Z38" s="28">
        <f t="shared" si="8"/>
        <v>2795.9846776986301</v>
      </c>
      <c r="AA38">
        <v>13949</v>
      </c>
      <c r="AB38" t="s">
        <v>25</v>
      </c>
      <c r="AI38" s="11">
        <v>19</v>
      </c>
      <c r="AJ38" s="3" t="s">
        <v>3734</v>
      </c>
      <c r="AK38" s="3">
        <v>33610000</v>
      </c>
      <c r="AL38" s="11">
        <v>4</v>
      </c>
      <c r="AM38" s="11">
        <f t="shared" si="10"/>
        <v>1385</v>
      </c>
      <c r="AN38" s="3">
        <f t="shared" si="9"/>
        <v>46549850000</v>
      </c>
      <c r="AO38" s="11"/>
    </row>
    <row r="39" spans="1:41">
      <c r="A39" s="51">
        <v>99</v>
      </c>
      <c r="B39" s="11">
        <v>37</v>
      </c>
      <c r="C39" s="38">
        <f t="shared" si="4"/>
        <v>4634531.4671414876</v>
      </c>
      <c r="D39" s="3">
        <f t="shared" si="5"/>
        <v>3764763.232897128</v>
      </c>
      <c r="E39" s="3">
        <f t="shared" si="11"/>
        <v>391246145.81384128</v>
      </c>
      <c r="F39" s="3"/>
      <c r="G39" s="11"/>
      <c r="H39" s="11"/>
      <c r="J39" s="7" t="s">
        <v>7025</v>
      </c>
      <c r="K39" s="2"/>
      <c r="L39" s="2"/>
      <c r="M39" s="145" t="s">
        <v>4617</v>
      </c>
      <c r="N39" s="144">
        <f>O39*P39</f>
        <v>20194720</v>
      </c>
      <c r="O39" s="359">
        <f>SUM(AB80:AB100)</f>
        <v>40880</v>
      </c>
      <c r="P39" s="360">
        <f>P44</f>
        <v>494</v>
      </c>
      <c r="Q39" s="361"/>
      <c r="R39" s="215"/>
      <c r="S39" s="3">
        <v>1611237.824</v>
      </c>
      <c r="T39" s="2" t="s">
        <v>5529</v>
      </c>
      <c r="U39" s="150">
        <f>U38-1</f>
        <v>783</v>
      </c>
      <c r="V39" s="2" t="s">
        <v>5534</v>
      </c>
      <c r="W39" s="2">
        <v>1580</v>
      </c>
      <c r="X39" s="2">
        <f t="shared" si="6"/>
        <v>2553.0549041095892</v>
      </c>
      <c r="Y39" s="28">
        <f t="shared" si="7"/>
        <v>2604.1160021917808</v>
      </c>
      <c r="Z39" s="28">
        <f t="shared" si="8"/>
        <v>2655.1771002739729</v>
      </c>
      <c r="AA39">
        <v>1016</v>
      </c>
      <c r="AC39" t="s">
        <v>25</v>
      </c>
      <c r="AI39" s="11">
        <v>20</v>
      </c>
      <c r="AJ39" s="3" t="s">
        <v>4018</v>
      </c>
      <c r="AK39" s="3">
        <v>-15600000</v>
      </c>
      <c r="AL39" s="11">
        <v>3</v>
      </c>
      <c r="AM39" s="11">
        <f t="shared" si="10"/>
        <v>1381</v>
      </c>
      <c r="AN39" s="3">
        <f t="shared" si="9"/>
        <v>-21543600000</v>
      </c>
      <c r="AO39" s="11"/>
    </row>
    <row r="40" spans="1:41">
      <c r="A40" s="51">
        <v>99</v>
      </c>
      <c r="B40" s="11">
        <v>38</v>
      </c>
      <c r="C40" s="38">
        <f t="shared" si="4"/>
        <v>4680876.7818129025</v>
      </c>
      <c r="D40" s="3">
        <f t="shared" si="5"/>
        <v>3802410.8652260993</v>
      </c>
      <c r="E40" s="3">
        <f t="shared" si="11"/>
        <v>399949534.64670491</v>
      </c>
      <c r="F40" s="3"/>
      <c r="G40" s="11"/>
      <c r="H40" s="11"/>
      <c r="J40" s="7"/>
      <c r="K40" s="2"/>
      <c r="L40" s="37"/>
      <c r="M40" s="36"/>
      <c r="N40" s="36"/>
      <c r="O40" s="36"/>
      <c r="P40" s="36"/>
      <c r="Q40" s="362"/>
      <c r="S40" s="3">
        <v>563902380</v>
      </c>
      <c r="T40" s="2" t="s">
        <v>5536</v>
      </c>
      <c r="U40" s="150">
        <f>U39-5</f>
        <v>778</v>
      </c>
      <c r="V40" s="2" t="s">
        <v>5538</v>
      </c>
      <c r="W40" s="2">
        <v>1560.1</v>
      </c>
      <c r="X40" s="2">
        <f t="shared" si="6"/>
        <v>2514.9153939726025</v>
      </c>
      <c r="Y40" s="28">
        <f t="shared" si="7"/>
        <v>2565.2137018520548</v>
      </c>
      <c r="Z40" s="28">
        <f t="shared" si="8"/>
        <v>2615.5120097315066</v>
      </c>
      <c r="AA40">
        <v>154970</v>
      </c>
      <c r="AI40" s="11">
        <v>21</v>
      </c>
      <c r="AJ40" s="3" t="s">
        <v>3748</v>
      </c>
      <c r="AK40" s="3">
        <v>7500000</v>
      </c>
      <c r="AL40" s="11">
        <v>4</v>
      </c>
      <c r="AM40" s="11">
        <f t="shared" si="10"/>
        <v>1378</v>
      </c>
      <c r="AN40" s="3">
        <f t="shared" si="9"/>
        <v>10335000000</v>
      </c>
      <c r="AO40" s="11"/>
    </row>
    <row r="41" spans="1:41">
      <c r="A41" s="51">
        <v>99</v>
      </c>
      <c r="B41" s="11">
        <v>39</v>
      </c>
      <c r="C41" s="38">
        <f t="shared" si="4"/>
        <v>4727685.5496310312</v>
      </c>
      <c r="D41" s="3">
        <f t="shared" si="5"/>
        <v>3840434.9738783604</v>
      </c>
      <c r="E41" s="3">
        <f t="shared" si="11"/>
        <v>408835775.91539168</v>
      </c>
      <c r="F41" s="3"/>
      <c r="G41" s="11"/>
      <c r="H41" s="11"/>
      <c r="J41" s="7"/>
      <c r="K41" s="2"/>
      <c r="L41" s="37"/>
      <c r="M41" s="152" t="s">
        <v>6894</v>
      </c>
      <c r="N41" s="140">
        <v>760</v>
      </c>
      <c r="O41" s="140"/>
      <c r="P41" s="152" t="s">
        <v>25</v>
      </c>
      <c r="Q41" s="139">
        <f t="shared" ref="Q41:Q46" si="13">N41*100/$P$51</f>
        <v>4.7342925322799268E-6</v>
      </c>
      <c r="S41" s="3"/>
      <c r="T41" s="2" t="s">
        <v>6167</v>
      </c>
      <c r="U41" s="150">
        <f>-196</f>
        <v>-196</v>
      </c>
      <c r="V41" s="2" t="s">
        <v>6820</v>
      </c>
      <c r="W41" s="2">
        <v>1343</v>
      </c>
      <c r="X41" s="2">
        <f t="shared" si="6"/>
        <v>1161.485271232877</v>
      </c>
      <c r="Y41" s="28">
        <f t="shared" si="7"/>
        <v>1184.7149766575346</v>
      </c>
      <c r="Z41" s="28">
        <f t="shared" si="8"/>
        <v>1207.9446820821922</v>
      </c>
      <c r="AC41">
        <v>33018</v>
      </c>
      <c r="AI41" s="11">
        <v>22</v>
      </c>
      <c r="AJ41" s="3" t="s">
        <v>4019</v>
      </c>
      <c r="AK41" s="3">
        <v>-98000</v>
      </c>
      <c r="AL41" s="11">
        <v>1</v>
      </c>
      <c r="AM41" s="11">
        <f t="shared" si="10"/>
        <v>1374</v>
      </c>
      <c r="AN41" s="3">
        <f t="shared" si="9"/>
        <v>-134652000</v>
      </c>
      <c r="AO41" s="11"/>
    </row>
    <row r="42" spans="1:41">
      <c r="A42" s="51">
        <v>99</v>
      </c>
      <c r="B42" s="11">
        <v>40</v>
      </c>
      <c r="C42" s="41">
        <f t="shared" si="4"/>
        <v>4774962.4051273419</v>
      </c>
      <c r="D42" s="3">
        <f t="shared" si="5"/>
        <v>3878839.323617144</v>
      </c>
      <c r="E42" s="3">
        <f t="shared" si="11"/>
        <v>417908614.51520973</v>
      </c>
      <c r="F42" s="3"/>
      <c r="G42" s="11"/>
      <c r="H42" s="11"/>
      <c r="J42" s="7"/>
      <c r="K42" s="2"/>
      <c r="L42" s="37"/>
      <c r="M42" s="152" t="s">
        <v>4132</v>
      </c>
      <c r="N42" s="140">
        <f t="shared" ref="N42:N48" si="14">O42*P42</f>
        <v>4878633384</v>
      </c>
      <c r="O42" s="365">
        <v>2575836</v>
      </c>
      <c r="P42" s="152">
        <f>'خرید و فروش نسبتی'!O58</f>
        <v>1894</v>
      </c>
      <c r="Q42" s="139">
        <f t="shared" si="13"/>
        <v>30.390628417898355</v>
      </c>
      <c r="S42" s="3"/>
      <c r="T42" s="2" t="s">
        <v>6168</v>
      </c>
      <c r="U42" s="150">
        <f>U41-1</f>
        <v>-197</v>
      </c>
      <c r="V42" s="2" t="s">
        <v>6819</v>
      </c>
      <c r="W42" s="2">
        <v>1350.4</v>
      </c>
      <c r="X42" s="2">
        <f t="shared" si="6"/>
        <v>1166.8491923287675</v>
      </c>
      <c r="Y42" s="28">
        <f t="shared" si="7"/>
        <v>1190.1861761753428</v>
      </c>
      <c r="Z42" s="28">
        <f t="shared" si="8"/>
        <v>1213.5231600219181</v>
      </c>
      <c r="AC42">
        <v>74758</v>
      </c>
      <c r="AI42" s="11">
        <v>23</v>
      </c>
      <c r="AJ42" s="3" t="s">
        <v>4013</v>
      </c>
      <c r="AK42" s="3">
        <v>-26000000</v>
      </c>
      <c r="AL42" s="11">
        <v>0</v>
      </c>
      <c r="AM42" s="11">
        <f t="shared" si="10"/>
        <v>1373</v>
      </c>
      <c r="AN42" s="3">
        <f t="shared" si="9"/>
        <v>-35698000000</v>
      </c>
      <c r="AO42" s="11"/>
    </row>
    <row r="43" spans="1:41">
      <c r="A43" s="51">
        <v>99</v>
      </c>
      <c r="B43" s="11">
        <v>41</v>
      </c>
      <c r="C43" s="41">
        <f t="shared" si="4"/>
        <v>4822712.0291786157</v>
      </c>
      <c r="D43" s="3">
        <f t="shared" si="5"/>
        <v>3917627.7168533155</v>
      </c>
      <c r="E43" s="3">
        <f t="shared" si="11"/>
        <v>427171871.11783922</v>
      </c>
      <c r="F43" s="3"/>
      <c r="G43" s="11"/>
      <c r="H43" s="11"/>
      <c r="J43" s="335" t="s">
        <v>6902</v>
      </c>
      <c r="K43" s="2" t="s">
        <v>6977</v>
      </c>
      <c r="L43" s="37">
        <f>-862*P48</f>
        <v>-35342000</v>
      </c>
      <c r="M43" s="152" t="s">
        <v>5223</v>
      </c>
      <c r="N43" s="140">
        <f t="shared" si="14"/>
        <v>67560000</v>
      </c>
      <c r="O43" s="365">
        <v>120000</v>
      </c>
      <c r="P43" s="152">
        <f>'خرید و فروش نسبتی'!O59</f>
        <v>563</v>
      </c>
      <c r="Q43" s="139">
        <f t="shared" si="13"/>
        <v>0.42085368879056828</v>
      </c>
      <c r="S43" s="3"/>
      <c r="T43" s="2" t="s">
        <v>6835</v>
      </c>
      <c r="U43" s="150">
        <f>U110-1353</f>
        <v>147</v>
      </c>
      <c r="V43" s="2" t="s">
        <v>6836</v>
      </c>
      <c r="W43" s="2">
        <v>536</v>
      </c>
      <c r="X43" s="2">
        <f t="shared" si="6"/>
        <v>604.59037808219182</v>
      </c>
      <c r="Y43" s="28">
        <f t="shared" si="7"/>
        <v>616.68218564383562</v>
      </c>
      <c r="Z43" s="28">
        <f t="shared" si="8"/>
        <v>628.77399320547954</v>
      </c>
      <c r="AC43">
        <v>432257</v>
      </c>
      <c r="AI43" s="11">
        <v>24</v>
      </c>
      <c r="AJ43" s="3" t="s">
        <v>4013</v>
      </c>
      <c r="AK43" s="3">
        <v>25000000</v>
      </c>
      <c r="AL43" s="11">
        <v>1</v>
      </c>
      <c r="AM43" s="11">
        <f t="shared" si="10"/>
        <v>1373</v>
      </c>
      <c r="AN43" s="3">
        <f t="shared" si="9"/>
        <v>34325000000</v>
      </c>
      <c r="AO43" s="11"/>
    </row>
    <row r="44" spans="1:41">
      <c r="A44" s="51">
        <v>99</v>
      </c>
      <c r="B44" s="11">
        <v>42</v>
      </c>
      <c r="C44" s="41">
        <f t="shared" si="4"/>
        <v>4870939.1494704019</v>
      </c>
      <c r="D44" s="3">
        <f t="shared" si="5"/>
        <v>3956803.9940218488</v>
      </c>
      <c r="E44" s="3">
        <f t="shared" si="11"/>
        <v>436629443.69564456</v>
      </c>
      <c r="F44" s="3"/>
      <c r="G44" s="11"/>
      <c r="H44" s="11"/>
      <c r="J44" s="335" t="s">
        <v>6906</v>
      </c>
      <c r="K44" s="334" t="s">
        <v>6907</v>
      </c>
      <c r="L44" s="37">
        <f>-50*P47</f>
        <v>-101340000</v>
      </c>
      <c r="M44" s="152" t="s">
        <v>4617</v>
      </c>
      <c r="N44" s="140">
        <f t="shared" si="14"/>
        <v>198719898</v>
      </c>
      <c r="O44" s="365">
        <v>402267</v>
      </c>
      <c r="P44" s="152">
        <f>'خرید و فروش نسبتی'!O61</f>
        <v>494</v>
      </c>
      <c r="Q44" s="139">
        <f t="shared" si="13"/>
        <v>1.237892275153722</v>
      </c>
      <c r="S44" s="3"/>
      <c r="T44" s="2" t="s">
        <v>6876</v>
      </c>
      <c r="U44" s="150">
        <f>U110-1397</f>
        <v>103</v>
      </c>
      <c r="V44" s="2" t="s">
        <v>6877</v>
      </c>
      <c r="W44" s="2">
        <v>431</v>
      </c>
      <c r="X44" s="2">
        <f t="shared" si="6"/>
        <v>471.60610410958913</v>
      </c>
      <c r="Y44" s="28">
        <f t="shared" si="7"/>
        <v>481.03822619178089</v>
      </c>
      <c r="Z44" s="28">
        <f t="shared" si="8"/>
        <v>490.47034827397272</v>
      </c>
      <c r="AC44">
        <v>160268</v>
      </c>
      <c r="AE44" t="s">
        <v>25</v>
      </c>
      <c r="AI44" s="11">
        <v>25</v>
      </c>
      <c r="AJ44" s="3" t="s">
        <v>4014</v>
      </c>
      <c r="AK44" s="3">
        <v>110000</v>
      </c>
      <c r="AL44" s="11">
        <v>1</v>
      </c>
      <c r="AM44" s="11">
        <f t="shared" si="10"/>
        <v>1372</v>
      </c>
      <c r="AN44" s="3">
        <f t="shared" si="9"/>
        <v>150920000</v>
      </c>
      <c r="AO44" s="11"/>
    </row>
    <row r="45" spans="1:41">
      <c r="A45" s="51">
        <v>99</v>
      </c>
      <c r="B45" s="11">
        <v>43</v>
      </c>
      <c r="C45" s="42">
        <f t="shared" si="4"/>
        <v>4919648.5409651063</v>
      </c>
      <c r="D45" s="3">
        <f t="shared" si="5"/>
        <v>3996372.0339620672</v>
      </c>
      <c r="E45" s="3">
        <f t="shared" si="11"/>
        <v>446285309.07656044</v>
      </c>
      <c r="F45" s="3"/>
      <c r="G45" s="11"/>
      <c r="H45" s="11"/>
      <c r="J45" s="335" t="s">
        <v>6924</v>
      </c>
      <c r="K45" s="60" t="s">
        <v>6896</v>
      </c>
      <c r="L45" s="37">
        <f>-10*P47</f>
        <v>-20268000</v>
      </c>
      <c r="M45" s="152" t="s">
        <v>5237</v>
      </c>
      <c r="N45" s="140">
        <f t="shared" si="14"/>
        <v>135779000</v>
      </c>
      <c r="O45" s="365">
        <v>570500</v>
      </c>
      <c r="P45" s="152">
        <f>'خرید و فروش نسبتی'!O65</f>
        <v>238</v>
      </c>
      <c r="Q45" s="139">
        <f t="shared" si="13"/>
        <v>0.84581250755320558</v>
      </c>
      <c r="R45" t="s">
        <v>25</v>
      </c>
      <c r="S45" s="3"/>
      <c r="T45" s="2" t="s">
        <v>6878</v>
      </c>
      <c r="U45" s="150">
        <f>U110-1398</f>
        <v>102</v>
      </c>
      <c r="V45" s="2" t="s">
        <v>6879</v>
      </c>
      <c r="W45" s="2">
        <v>428.2</v>
      </c>
      <c r="X45" s="2">
        <f t="shared" si="6"/>
        <v>468.21382356164384</v>
      </c>
      <c r="Y45" s="28">
        <f t="shared" si="7"/>
        <v>477.5781000328767</v>
      </c>
      <c r="Z45" s="28">
        <f t="shared" si="8"/>
        <v>486.94237650410963</v>
      </c>
      <c r="AC45">
        <v>1000</v>
      </c>
      <c r="AD45" t="s">
        <v>25</v>
      </c>
      <c r="AE45" t="s">
        <v>25</v>
      </c>
      <c r="AG45" t="s">
        <v>25</v>
      </c>
      <c r="AI45" s="11">
        <v>26</v>
      </c>
      <c r="AJ45" s="3" t="s">
        <v>3763</v>
      </c>
      <c r="AK45" s="3">
        <v>380000</v>
      </c>
      <c r="AL45" s="11">
        <v>7</v>
      </c>
      <c r="AM45" s="11">
        <f t="shared" si="10"/>
        <v>1371</v>
      </c>
      <c r="AN45" s="3">
        <f t="shared" si="9"/>
        <v>520980000</v>
      </c>
      <c r="AO45" s="11"/>
    </row>
    <row r="46" spans="1:41">
      <c r="A46" s="51">
        <v>99</v>
      </c>
      <c r="B46" s="11">
        <v>44</v>
      </c>
      <c r="C46" s="42">
        <f t="shared" si="4"/>
        <v>4968845.0263747573</v>
      </c>
      <c r="D46" s="3">
        <f t="shared" si="5"/>
        <v>4036335.7543016877</v>
      </c>
      <c r="E46" s="3">
        <f t="shared" si="11"/>
        <v>456143524.53016472</v>
      </c>
      <c r="F46" s="3"/>
      <c r="G46" s="11"/>
      <c r="H46" s="11"/>
      <c r="J46" s="7"/>
      <c r="K46" s="2" t="s">
        <v>6890</v>
      </c>
      <c r="L46" s="37">
        <f>-200*P48</f>
        <v>-8200000</v>
      </c>
      <c r="M46" s="152" t="s">
        <v>7048</v>
      </c>
      <c r="N46" s="140">
        <f t="shared" si="14"/>
        <v>3622783500</v>
      </c>
      <c r="O46" s="365">
        <v>256935</v>
      </c>
      <c r="P46" s="152">
        <f>'خرید و فروش نسبتی'!O63</f>
        <v>14100</v>
      </c>
      <c r="Q46" s="139">
        <f t="shared" si="13"/>
        <v>22.567522197522287</v>
      </c>
      <c r="S46" s="3"/>
      <c r="T46" s="2" t="s">
        <v>6880</v>
      </c>
      <c r="U46" s="150">
        <f>U110-1400</f>
        <v>100</v>
      </c>
      <c r="V46" s="2" t="s">
        <v>6881</v>
      </c>
      <c r="W46" s="2">
        <v>430.1</v>
      </c>
      <c r="X46" s="2">
        <f t="shared" si="6"/>
        <v>469.63149260273974</v>
      </c>
      <c r="Y46" s="28">
        <f t="shared" si="7"/>
        <v>479.02412245479456</v>
      </c>
      <c r="Z46" s="28">
        <f t="shared" si="8"/>
        <v>488.41675230684933</v>
      </c>
      <c r="AC46">
        <v>70974</v>
      </c>
      <c r="AI46" s="11">
        <v>27</v>
      </c>
      <c r="AJ46" s="3" t="s">
        <v>3849</v>
      </c>
      <c r="AK46" s="3">
        <v>450000</v>
      </c>
      <c r="AL46" s="11">
        <v>6</v>
      </c>
      <c r="AM46" s="11">
        <f t="shared" si="10"/>
        <v>1364</v>
      </c>
      <c r="AN46" s="3">
        <f t="shared" si="9"/>
        <v>613800000</v>
      </c>
      <c r="AO46" s="11"/>
    </row>
    <row r="47" spans="1:41">
      <c r="A47" s="51">
        <v>99</v>
      </c>
      <c r="B47" s="11">
        <v>45</v>
      </c>
      <c r="C47" s="42">
        <f t="shared" si="4"/>
        <v>5018533.4766385052</v>
      </c>
      <c r="D47" s="3">
        <f t="shared" si="5"/>
        <v>4076699.1118447045</v>
      </c>
      <c r="E47" s="3">
        <f t="shared" si="11"/>
        <v>466208229.38556182</v>
      </c>
      <c r="F47" s="3"/>
      <c r="G47" s="11"/>
      <c r="H47" s="11"/>
      <c r="J47" s="7"/>
      <c r="K47" s="2" t="s">
        <v>7060</v>
      </c>
      <c r="L47" s="37">
        <v>-2000000</v>
      </c>
      <c r="M47" s="366" t="s">
        <v>1048</v>
      </c>
      <c r="N47" s="140">
        <f t="shared" si="14"/>
        <v>0</v>
      </c>
      <c r="O47" s="365">
        <v>0</v>
      </c>
      <c r="P47" s="140">
        <v>2026800</v>
      </c>
      <c r="Q47" s="139"/>
      <c r="S47" s="3"/>
      <c r="T47" s="2" t="s">
        <v>6884</v>
      </c>
      <c r="U47" s="150">
        <f>U110-1401</f>
        <v>99</v>
      </c>
      <c r="V47" s="2" t="s">
        <v>6885</v>
      </c>
      <c r="W47" s="2">
        <v>425</v>
      </c>
      <c r="X47" s="2">
        <f t="shared" si="6"/>
        <v>463.73671232876717</v>
      </c>
      <c r="Y47" s="28">
        <f t="shared" si="7"/>
        <v>473.01144657534252</v>
      </c>
      <c r="Z47" s="28">
        <f t="shared" si="8"/>
        <v>482.28618082191787</v>
      </c>
      <c r="AC47">
        <v>237106</v>
      </c>
      <c r="AE47" t="s">
        <v>25</v>
      </c>
      <c r="AI47" s="11">
        <v>28</v>
      </c>
      <c r="AJ47" s="3" t="s">
        <v>3873</v>
      </c>
      <c r="AK47" s="3">
        <v>2800000</v>
      </c>
      <c r="AL47" s="11">
        <v>1</v>
      </c>
      <c r="AM47" s="11">
        <f t="shared" si="10"/>
        <v>1358</v>
      </c>
      <c r="AN47" s="3">
        <f t="shared" si="9"/>
        <v>3802400000</v>
      </c>
      <c r="AO47" s="11"/>
    </row>
    <row r="48" spans="1:41">
      <c r="A48" s="53">
        <v>99</v>
      </c>
      <c r="B48" s="53">
        <v>46</v>
      </c>
      <c r="C48" s="54">
        <f t="shared" si="4"/>
        <v>5068718.8114048904</v>
      </c>
      <c r="D48" s="54">
        <f t="shared" si="5"/>
        <v>4117466.1029631514</v>
      </c>
      <c r="E48" s="54">
        <f t="shared" si="11"/>
        <v>476483646.68171477</v>
      </c>
      <c r="F48" s="3"/>
      <c r="G48" s="11"/>
      <c r="H48" s="11" t="s">
        <v>585</v>
      </c>
      <c r="J48" s="7"/>
      <c r="K48" s="11"/>
      <c r="L48" s="11"/>
      <c r="M48" s="366" t="s">
        <v>5011</v>
      </c>
      <c r="N48" s="140">
        <f t="shared" si="14"/>
        <v>0</v>
      </c>
      <c r="O48" s="365">
        <v>0</v>
      </c>
      <c r="P48" s="152">
        <v>41000</v>
      </c>
      <c r="Q48" s="139"/>
      <c r="R48" t="s">
        <v>25</v>
      </c>
      <c r="S48" s="3"/>
      <c r="T48" s="2" t="s">
        <v>6886</v>
      </c>
      <c r="U48" s="150">
        <f>U110-1402</f>
        <v>98</v>
      </c>
      <c r="V48" s="2" t="s">
        <v>6887</v>
      </c>
      <c r="W48" s="2">
        <v>418.8</v>
      </c>
      <c r="X48" s="2">
        <f t="shared" si="6"/>
        <v>456.65034082191789</v>
      </c>
      <c r="Y48" s="28">
        <f t="shared" si="7"/>
        <v>465.78334763835625</v>
      </c>
      <c r="Z48" s="28">
        <f t="shared" si="8"/>
        <v>474.9163544547946</v>
      </c>
      <c r="AC48">
        <v>114172</v>
      </c>
      <c r="AI48" s="11">
        <v>29</v>
      </c>
      <c r="AJ48" s="3" t="s">
        <v>3874</v>
      </c>
      <c r="AK48" s="3">
        <v>-1500000</v>
      </c>
      <c r="AL48" s="11">
        <v>0</v>
      </c>
      <c r="AM48" s="11">
        <f t="shared" si="10"/>
        <v>1357</v>
      </c>
      <c r="AN48" s="3">
        <f t="shared" si="9"/>
        <v>-2035500000</v>
      </c>
      <c r="AO48" s="11"/>
    </row>
    <row r="49" spans="1:42">
      <c r="A49" s="51">
        <v>99</v>
      </c>
      <c r="B49" s="11">
        <v>47</v>
      </c>
      <c r="C49" s="3">
        <f t="shared" si="4"/>
        <v>5119405.9995189393</v>
      </c>
      <c r="D49" s="3">
        <f t="shared" si="5"/>
        <v>4158640.7639927831</v>
      </c>
      <c r="E49" s="3">
        <f t="shared" si="11"/>
        <v>486974084.8508752</v>
      </c>
      <c r="F49" s="3"/>
      <c r="G49" s="11"/>
      <c r="H49" s="11"/>
      <c r="J49" s="7"/>
      <c r="K49" s="2"/>
      <c r="L49" s="37"/>
      <c r="M49" s="152" t="s">
        <v>1114</v>
      </c>
      <c r="N49" s="140">
        <v>14908</v>
      </c>
      <c r="O49" s="152">
        <v>1</v>
      </c>
      <c r="P49" s="152" t="s">
        <v>25</v>
      </c>
      <c r="Q49" s="139"/>
      <c r="S49" s="3"/>
      <c r="T49" s="2" t="s">
        <v>6891</v>
      </c>
      <c r="U49" s="150">
        <f>U110-1408</f>
        <v>92</v>
      </c>
      <c r="V49" s="2" t="s">
        <v>6892</v>
      </c>
      <c r="W49" s="2">
        <v>273.3</v>
      </c>
      <c r="X49" s="2">
        <f t="shared" si="6"/>
        <v>296.74240109589044</v>
      </c>
      <c r="Y49" s="28">
        <f t="shared" si="7"/>
        <v>302.67724911780823</v>
      </c>
      <c r="Z49" s="28">
        <f t="shared" si="8"/>
        <v>308.61209713972607</v>
      </c>
      <c r="AB49">
        <v>659428</v>
      </c>
      <c r="AD49" t="s">
        <v>25</v>
      </c>
      <c r="AE49" t="s">
        <v>25</v>
      </c>
      <c r="AI49" s="11">
        <v>30</v>
      </c>
      <c r="AJ49" s="3" t="s">
        <v>3874</v>
      </c>
      <c r="AK49" s="3">
        <v>3050000</v>
      </c>
      <c r="AL49" s="11">
        <v>3</v>
      </c>
      <c r="AM49" s="11">
        <f>AM50+AL49</f>
        <v>1357</v>
      </c>
      <c r="AN49" s="3">
        <f t="shared" si="9"/>
        <v>4138850000</v>
      </c>
      <c r="AO49" s="11"/>
    </row>
    <row r="50" spans="1:42">
      <c r="A50" s="51">
        <v>99</v>
      </c>
      <c r="B50" s="11">
        <v>48</v>
      </c>
      <c r="C50" s="43">
        <f t="shared" si="4"/>
        <v>5170600.0595141286</v>
      </c>
      <c r="D50" s="43">
        <f t="shared" si="5"/>
        <v>4200227.1716327108</v>
      </c>
      <c r="E50" s="44">
        <f t="shared" si="11"/>
        <v>497683939.43577409</v>
      </c>
      <c r="F50" s="43"/>
      <c r="G50" s="11"/>
      <c r="H50" s="11"/>
      <c r="I50" s="35"/>
      <c r="J50" s="88"/>
      <c r="K50" s="2"/>
      <c r="L50" s="2"/>
      <c r="M50" s="152" t="s">
        <v>1115</v>
      </c>
      <c r="N50" s="140">
        <v>5282</v>
      </c>
      <c r="O50" s="152"/>
      <c r="P50" s="152" t="s">
        <v>25</v>
      </c>
      <c r="Q50" s="139"/>
      <c r="S50" s="3"/>
      <c r="T50" s="2" t="s">
        <v>6912</v>
      </c>
      <c r="U50" s="150">
        <f>U110-1425</f>
        <v>75</v>
      </c>
      <c r="V50" s="2" t="s">
        <v>6913</v>
      </c>
      <c r="W50" s="2">
        <v>425</v>
      </c>
      <c r="X50" s="2">
        <f t="shared" si="6"/>
        <v>455.91205479452066</v>
      </c>
      <c r="Y50" s="28">
        <f t="shared" si="7"/>
        <v>465.03029589041108</v>
      </c>
      <c r="Z50" s="28">
        <f t="shared" si="8"/>
        <v>474.14853698630151</v>
      </c>
      <c r="AC50">
        <v>10182</v>
      </c>
      <c r="AI50" s="11">
        <v>31</v>
      </c>
      <c r="AJ50" s="3" t="s">
        <v>3898</v>
      </c>
      <c r="AK50" s="3">
        <v>-8299612</v>
      </c>
      <c r="AL50" s="11">
        <v>2</v>
      </c>
      <c r="AM50" s="11">
        <f t="shared" si="10"/>
        <v>1354</v>
      </c>
      <c r="AN50" s="3">
        <f t="shared" si="9"/>
        <v>-11237674648</v>
      </c>
      <c r="AO50" s="11"/>
    </row>
    <row r="51" spans="1:42">
      <c r="A51" s="52">
        <v>1400</v>
      </c>
      <c r="B51" s="11">
        <v>49</v>
      </c>
      <c r="C51" s="38">
        <f t="shared" si="4"/>
        <v>5222306.0601092698</v>
      </c>
      <c r="D51" s="3">
        <f t="shared" si="5"/>
        <v>4242229.4433490383</v>
      </c>
      <c r="E51" s="3">
        <f t="shared" si="11"/>
        <v>508617694.84124976</v>
      </c>
      <c r="F51" s="3"/>
      <c r="G51" s="11"/>
      <c r="H51" s="11"/>
      <c r="I51" s="35"/>
      <c r="J51" s="88"/>
      <c r="K51" s="2"/>
      <c r="L51" s="37"/>
      <c r="M51" s="363"/>
      <c r="N51" s="364"/>
      <c r="O51"/>
      <c r="P51" s="255">
        <f>(N41+N42+N43+N44+N45+N46+N30+N31+N32+N33+N34+N25+N26+N27+N28+N29+N21+N22+N23)</f>
        <v>16053084908</v>
      </c>
      <c r="Q51" s="35"/>
      <c r="S51" s="3"/>
      <c r="T51" s="2" t="s">
        <v>6916</v>
      </c>
      <c r="U51" s="150">
        <f>U110-1430</f>
        <v>70</v>
      </c>
      <c r="V51" s="2" t="s">
        <v>6917</v>
      </c>
      <c r="W51" s="2">
        <v>418</v>
      </c>
      <c r="X51" s="2">
        <f t="shared" si="6"/>
        <v>446.79962739726034</v>
      </c>
      <c r="Y51" s="28">
        <f t="shared" si="7"/>
        <v>455.73561994520554</v>
      </c>
      <c r="Z51" s="28">
        <f t="shared" si="8"/>
        <v>464.67161249315075</v>
      </c>
      <c r="AC51">
        <v>1324</v>
      </c>
      <c r="AI51" s="11">
        <v>32</v>
      </c>
      <c r="AJ51" s="3" t="s">
        <v>3893</v>
      </c>
      <c r="AK51" s="3">
        <v>5000000</v>
      </c>
      <c r="AL51" s="11">
        <v>14</v>
      </c>
      <c r="AM51" s="11">
        <f t="shared" si="10"/>
        <v>1352</v>
      </c>
      <c r="AN51" s="3">
        <f t="shared" si="9"/>
        <v>6760000000</v>
      </c>
      <c r="AO51" s="11"/>
    </row>
    <row r="52" spans="1:42" ht="30">
      <c r="A52" s="52">
        <v>1400</v>
      </c>
      <c r="B52" s="11">
        <v>50</v>
      </c>
      <c r="C52" s="38">
        <f t="shared" si="4"/>
        <v>5274529.1207103627</v>
      </c>
      <c r="D52" s="3">
        <f t="shared" si="5"/>
        <v>4284651.7377825286</v>
      </c>
      <c r="E52" s="3">
        <f t="shared" si="11"/>
        <v>519779926.12100261</v>
      </c>
      <c r="F52" s="3"/>
      <c r="G52" s="11"/>
      <c r="H52" s="11"/>
      <c r="I52" s="35"/>
      <c r="K52" s="60" t="s">
        <v>5445</v>
      </c>
      <c r="L52" s="37"/>
      <c r="M52" s="2" t="s">
        <v>4375</v>
      </c>
      <c r="N52" s="3">
        <f>-Y153</f>
        <v>-154419934.29476535</v>
      </c>
      <c r="O52" s="381" t="s">
        <v>7037</v>
      </c>
      <c r="P52" s="35" t="s">
        <v>6995</v>
      </c>
      <c r="Q52" s="84" t="s">
        <v>6821</v>
      </c>
      <c r="R52" s="84" t="s">
        <v>6822</v>
      </c>
      <c r="S52" s="3"/>
      <c r="T52" s="2" t="s">
        <v>6923</v>
      </c>
      <c r="U52" s="150">
        <f>U110-1436</f>
        <v>64</v>
      </c>
      <c r="V52" s="2" t="s">
        <v>6943</v>
      </c>
      <c r="W52" s="2">
        <v>429</v>
      </c>
      <c r="X52" s="2">
        <f t="shared" ref="X52:X71" si="15">W52*(1+$T$106+$R$14*U52/36500)</f>
        <v>456.58293698630138</v>
      </c>
      <c r="Y52" s="28">
        <f t="shared" ref="Y52:Y71" si="16">X52*(1+$Y$19/100)</f>
        <v>465.71459572602743</v>
      </c>
      <c r="Z52" s="28">
        <f t="shared" ref="Z52:Z71" si="17">X52*(1+$Z$19/100)</f>
        <v>474.84625446575347</v>
      </c>
      <c r="AC52">
        <v>214960</v>
      </c>
      <c r="AI52" s="11">
        <v>33</v>
      </c>
      <c r="AJ52" s="3" t="s">
        <v>953</v>
      </c>
      <c r="AK52" s="3">
        <v>-90000</v>
      </c>
      <c r="AL52" s="11">
        <v>1</v>
      </c>
      <c r="AM52" s="11">
        <f>AN53+AL52</f>
        <v>1338</v>
      </c>
      <c r="AN52" s="3">
        <f t="shared" si="9"/>
        <v>-120420000</v>
      </c>
      <c r="AO52" s="11"/>
    </row>
    <row r="53" spans="1:42" ht="45">
      <c r="A53" s="52">
        <v>1400</v>
      </c>
      <c r="B53" s="11">
        <v>51</v>
      </c>
      <c r="C53" s="38">
        <f t="shared" si="4"/>
        <v>5327274.4119174667</v>
      </c>
      <c r="D53" s="3">
        <f t="shared" si="5"/>
        <v>4327498.2551603541</v>
      </c>
      <c r="E53" s="3">
        <f t="shared" si="11"/>
        <v>531175300.80017978</v>
      </c>
      <c r="F53" s="3"/>
      <c r="G53" s="11"/>
      <c r="H53" s="11"/>
      <c r="I53" s="35"/>
      <c r="K53" s="60" t="s">
        <v>5464</v>
      </c>
      <c r="L53" s="37">
        <v>-1605910</v>
      </c>
      <c r="M53" s="2"/>
      <c r="N53" s="3"/>
      <c r="O53" s="255">
        <f>P51/P48</f>
        <v>391538.65629268292</v>
      </c>
      <c r="P53" s="255">
        <f>P51/P44</f>
        <v>32496123.295546558</v>
      </c>
      <c r="Q53" s="255">
        <f>P51/P42</f>
        <v>8475757.6071805693</v>
      </c>
      <c r="R53" s="255">
        <f>P51/P43</f>
        <v>28513472.305506218</v>
      </c>
      <c r="S53" s="3"/>
      <c r="T53" s="2" t="s">
        <v>6850</v>
      </c>
      <c r="U53" s="150">
        <f>U110-1451</f>
        <v>49</v>
      </c>
      <c r="V53" s="2" t="s">
        <v>6937</v>
      </c>
      <c r="W53" s="2">
        <v>1384</v>
      </c>
      <c r="X53" s="2">
        <f t="shared" si="15"/>
        <v>1457.0600328767123</v>
      </c>
      <c r="Y53" s="28">
        <f t="shared" si="16"/>
        <v>1486.2012335342465</v>
      </c>
      <c r="Z53" s="28">
        <f t="shared" si="17"/>
        <v>1515.3424341917807</v>
      </c>
      <c r="AA53">
        <v>688836</v>
      </c>
      <c r="AJ53" s="11">
        <v>34</v>
      </c>
      <c r="AK53" s="3" t="s">
        <v>4015</v>
      </c>
      <c r="AL53" s="3">
        <v>5600000</v>
      </c>
      <c r="AM53" s="11">
        <v>4</v>
      </c>
      <c r="AN53" s="11">
        <f t="shared" si="10"/>
        <v>1337</v>
      </c>
      <c r="AO53" s="3">
        <f t="shared" si="9"/>
        <v>7487200000</v>
      </c>
      <c r="AP53" s="11"/>
    </row>
    <row r="54" spans="1:42">
      <c r="A54" s="52">
        <v>1400</v>
      </c>
      <c r="B54" s="11">
        <v>52</v>
      </c>
      <c r="C54" s="41">
        <f t="shared" si="4"/>
        <v>5380547.1560366414</v>
      </c>
      <c r="D54" s="3">
        <f t="shared" si="5"/>
        <v>4370773.2377119577</v>
      </c>
      <c r="E54" s="3">
        <f t="shared" si="11"/>
        <v>542808580.73450804</v>
      </c>
      <c r="F54" s="3"/>
      <c r="G54" s="11"/>
      <c r="H54" s="11"/>
      <c r="I54" s="35"/>
      <c r="K54" s="2"/>
      <c r="L54" s="37"/>
      <c r="M54" s="2"/>
      <c r="N54" s="3"/>
      <c r="O54" s="381"/>
      <c r="P54" s="255">
        <f>O44+O33+O28</f>
        <v>1991382</v>
      </c>
      <c r="Q54" s="255">
        <f>O22+O26+O31+O42</f>
        <v>3773732</v>
      </c>
      <c r="R54" s="255">
        <f>O23+O27+O32+O43</f>
        <v>573437</v>
      </c>
      <c r="S54" s="3"/>
      <c r="T54" s="2" t="s">
        <v>6946</v>
      </c>
      <c r="U54" s="150">
        <f>U110-1472</f>
        <v>28</v>
      </c>
      <c r="V54" s="2" t="s">
        <v>6947</v>
      </c>
      <c r="W54" s="2">
        <v>400</v>
      </c>
      <c r="X54" s="2">
        <f t="shared" si="15"/>
        <v>414.67178082191782</v>
      </c>
      <c r="Y54" s="28">
        <f t="shared" si="16"/>
        <v>422.96521643835621</v>
      </c>
      <c r="Z54" s="28">
        <f t="shared" si="17"/>
        <v>431.25865205479454</v>
      </c>
      <c r="AC54">
        <v>509459</v>
      </c>
      <c r="AJ54" s="11">
        <v>35</v>
      </c>
      <c r="AK54" s="3" t="s">
        <v>3943</v>
      </c>
      <c r="AL54" s="3">
        <v>750000</v>
      </c>
      <c r="AM54" s="11">
        <v>2</v>
      </c>
      <c r="AN54" s="11">
        <f t="shared" si="10"/>
        <v>1333</v>
      </c>
      <c r="AO54" s="3">
        <f t="shared" si="9"/>
        <v>999750000</v>
      </c>
      <c r="AP54" s="11"/>
    </row>
    <row r="55" spans="1:42">
      <c r="A55" s="52">
        <v>1400</v>
      </c>
      <c r="B55" s="11">
        <v>53</v>
      </c>
      <c r="C55" s="41">
        <f t="shared" si="4"/>
        <v>5434352.6275970079</v>
      </c>
      <c r="D55" s="3">
        <f t="shared" si="5"/>
        <v>4414480.970089077</v>
      </c>
      <c r="E55" s="3">
        <f t="shared" si="11"/>
        <v>554684624.00670612</v>
      </c>
      <c r="F55" s="3"/>
      <c r="G55" s="11"/>
      <c r="H55" s="11"/>
      <c r="I55" s="35"/>
      <c r="K55" s="2"/>
      <c r="L55" s="37"/>
      <c r="M55" s="2"/>
      <c r="N55" s="3">
        <f>SUM(N16:N54)</f>
        <v>16496418242.705235</v>
      </c>
      <c r="O55" s="381"/>
      <c r="P55" s="336">
        <f>P54/P53</f>
        <v>6.128060205485833E-2</v>
      </c>
      <c r="Q55" s="336">
        <f>Q54/Q53</f>
        <v>0.44523831082697968</v>
      </c>
      <c r="R55" s="336">
        <f>R54/R53</f>
        <v>2.0111089728249758E-2</v>
      </c>
      <c r="S55" s="3"/>
      <c r="T55" s="2" t="s">
        <v>6946</v>
      </c>
      <c r="U55" s="150">
        <f>U110-1472</f>
        <v>28</v>
      </c>
      <c r="V55" s="2" t="s">
        <v>6948</v>
      </c>
      <c r="W55" s="2">
        <v>380</v>
      </c>
      <c r="X55" s="2">
        <f t="shared" si="15"/>
        <v>393.93819178082197</v>
      </c>
      <c r="Y55" s="28">
        <f t="shared" si="16"/>
        <v>401.81695561643841</v>
      </c>
      <c r="Z55" s="28">
        <f t="shared" si="17"/>
        <v>409.69571945205485</v>
      </c>
      <c r="AB55">
        <v>180797</v>
      </c>
      <c r="AJ55" s="129">
        <v>36</v>
      </c>
      <c r="AK55" s="128" t="s">
        <v>3953</v>
      </c>
      <c r="AL55" s="128">
        <v>-4242000</v>
      </c>
      <c r="AM55" s="129">
        <v>2</v>
      </c>
      <c r="AN55" s="129">
        <f t="shared" si="10"/>
        <v>1331</v>
      </c>
      <c r="AO55" s="128">
        <f t="shared" si="9"/>
        <v>-5646102000</v>
      </c>
      <c r="AP55" s="129" t="s">
        <v>4024</v>
      </c>
    </row>
    <row r="56" spans="1:42">
      <c r="A56" s="52">
        <v>1400</v>
      </c>
      <c r="B56" s="11">
        <v>54</v>
      </c>
      <c r="C56" s="41">
        <f t="shared" si="4"/>
        <v>5488696.1538729779</v>
      </c>
      <c r="D56" s="3">
        <f t="shared" si="5"/>
        <v>4458625.7797899675</v>
      </c>
      <c r="E56" s="3">
        <f t="shared" si="11"/>
        <v>566808386.86092329</v>
      </c>
      <c r="F56" s="3"/>
      <c r="G56" s="11"/>
      <c r="H56" s="11"/>
      <c r="I56" s="35"/>
      <c r="K56" s="2" t="s">
        <v>572</v>
      </c>
      <c r="L56" s="3">
        <f>SUM(L16:L40)</f>
        <v>315888395.16379833</v>
      </c>
      <c r="M56" s="2"/>
      <c r="N56" s="3">
        <f>N16+N17</f>
        <v>141053</v>
      </c>
      <c r="O56" s="381"/>
      <c r="P56" s="255">
        <f>P53*80</f>
        <v>2599689863.6437244</v>
      </c>
      <c r="Q56" s="255">
        <f>Q53*280</f>
        <v>2373212130.0105596</v>
      </c>
      <c r="R56" s="255">
        <f>R53*100</f>
        <v>2851347230.550622</v>
      </c>
      <c r="S56" s="3"/>
      <c r="T56" s="2" t="s">
        <v>6950</v>
      </c>
      <c r="U56" s="150">
        <f>U110-1473</f>
        <v>27</v>
      </c>
      <c r="V56" s="2" t="s">
        <v>6951</v>
      </c>
      <c r="W56" s="2">
        <v>377.6</v>
      </c>
      <c r="X56" s="2">
        <f t="shared" si="15"/>
        <v>391.16049534246582</v>
      </c>
      <c r="Y56" s="28">
        <f t="shared" si="16"/>
        <v>398.98370524931516</v>
      </c>
      <c r="Z56" s="28">
        <f t="shared" si="17"/>
        <v>406.80691515616445</v>
      </c>
      <c r="AB56">
        <v>18855</v>
      </c>
      <c r="AJ56" s="11">
        <v>37</v>
      </c>
      <c r="AK56" s="3" t="s">
        <v>3953</v>
      </c>
      <c r="AL56" s="3">
        <v>4100000</v>
      </c>
      <c r="AM56" s="11">
        <v>0</v>
      </c>
      <c r="AN56" s="11">
        <f t="shared" si="10"/>
        <v>1329</v>
      </c>
      <c r="AO56" s="3">
        <f t="shared" si="9"/>
        <v>5448900000</v>
      </c>
      <c r="AP56" s="11"/>
    </row>
    <row r="57" spans="1:42">
      <c r="A57" s="52">
        <v>1400</v>
      </c>
      <c r="B57" s="11">
        <v>55</v>
      </c>
      <c r="C57" s="42">
        <f t="shared" si="4"/>
        <v>5543583.1154117081</v>
      </c>
      <c r="D57" s="3">
        <f t="shared" si="5"/>
        <v>4503212.0375878671</v>
      </c>
      <c r="E57" s="3">
        <f t="shared" si="11"/>
        <v>579184925.67596567</v>
      </c>
      <c r="F57" s="3"/>
      <c r="G57" s="11"/>
      <c r="H57" s="11"/>
      <c r="I57" s="35"/>
      <c r="K57" s="2" t="s">
        <v>573</v>
      </c>
      <c r="L57" s="3">
        <f>L16+L17+L32</f>
        <v>314241932.16379833</v>
      </c>
      <c r="M57" s="3"/>
      <c r="N57" s="2"/>
      <c r="O57" s="380"/>
      <c r="P57" s="255">
        <f>P54*85</f>
        <v>169267470</v>
      </c>
      <c r="Q57" s="255">
        <f>Q54*280</f>
        <v>1056644960</v>
      </c>
      <c r="R57" s="255">
        <f>R54*100</f>
        <v>57343700</v>
      </c>
      <c r="S57" s="3"/>
      <c r="T57" s="2" t="s">
        <v>6949</v>
      </c>
      <c r="U57" s="150">
        <f>U110-1473</f>
        <v>27</v>
      </c>
      <c r="V57" s="2" t="s">
        <v>6952</v>
      </c>
      <c r="W57" s="2">
        <v>400.9</v>
      </c>
      <c r="X57" s="2">
        <f t="shared" si="15"/>
        <v>415.29725260273977</v>
      </c>
      <c r="Y57" s="28">
        <f t="shared" si="16"/>
        <v>423.6031976547946</v>
      </c>
      <c r="Z57" s="28">
        <f t="shared" si="17"/>
        <v>431.90914270684937</v>
      </c>
      <c r="AC57">
        <v>120522</v>
      </c>
      <c r="AJ57" s="11">
        <v>38</v>
      </c>
      <c r="AK57" s="3" t="s">
        <v>3959</v>
      </c>
      <c r="AL57" s="3">
        <v>4100000</v>
      </c>
      <c r="AM57" s="11">
        <v>1</v>
      </c>
      <c r="AN57" s="11">
        <f t="shared" si="10"/>
        <v>1329</v>
      </c>
      <c r="AO57" s="3">
        <f t="shared" si="9"/>
        <v>5448900000</v>
      </c>
      <c r="AP57" s="11"/>
    </row>
    <row r="58" spans="1:42" ht="18.75">
      <c r="A58" s="52">
        <v>1400</v>
      </c>
      <c r="B58" s="11">
        <v>56</v>
      </c>
      <c r="C58" s="42">
        <f t="shared" si="4"/>
        <v>5599018.9465658255</v>
      </c>
      <c r="D58" s="3">
        <f t="shared" si="5"/>
        <v>4548244.1579637462</v>
      </c>
      <c r="E58" s="3">
        <f t="shared" si="11"/>
        <v>591819398.97808707</v>
      </c>
      <c r="F58" s="3"/>
      <c r="G58" s="11"/>
      <c r="H58" s="11"/>
      <c r="I58" s="254"/>
      <c r="K58" s="2" t="s">
        <v>688</v>
      </c>
      <c r="L58" s="3">
        <f>L56+N7</f>
        <v>415888395.16379833</v>
      </c>
      <c r="N58" s="255">
        <f>P51/P46*200</f>
        <v>227703332.0283688</v>
      </c>
      <c r="O58" s="255" t="s">
        <v>25</v>
      </c>
      <c r="P58" s="35" t="s">
        <v>25</v>
      </c>
      <c r="Q58" s="255" t="s">
        <v>25</v>
      </c>
      <c r="R58" s="255"/>
      <c r="S58" s="3"/>
      <c r="T58" s="2" t="s">
        <v>6953</v>
      </c>
      <c r="U58" s="150">
        <f>U110-1478</f>
        <v>22</v>
      </c>
      <c r="V58" s="2" t="s">
        <v>6954</v>
      </c>
      <c r="W58" s="2">
        <v>369.1</v>
      </c>
      <c r="X58" s="2">
        <f t="shared" si="15"/>
        <v>380.93951452054802</v>
      </c>
      <c r="Y58" s="28">
        <f t="shared" si="16"/>
        <v>388.55830481095899</v>
      </c>
      <c r="Z58" s="28">
        <f t="shared" si="17"/>
        <v>396.17709510136996</v>
      </c>
      <c r="AB58">
        <v>739584</v>
      </c>
      <c r="AJ58" s="11">
        <v>39</v>
      </c>
      <c r="AK58" s="3" t="s">
        <v>3968</v>
      </c>
      <c r="AL58" s="3">
        <v>790000</v>
      </c>
      <c r="AM58" s="11">
        <v>15</v>
      </c>
      <c r="AN58" s="11">
        <f t="shared" si="10"/>
        <v>1328</v>
      </c>
      <c r="AO58" s="3">
        <f t="shared" si="9"/>
        <v>1049120000</v>
      </c>
      <c r="AP58" s="11"/>
    </row>
    <row r="59" spans="1:42">
      <c r="A59" s="52">
        <v>1400</v>
      </c>
      <c r="B59" s="11">
        <v>57</v>
      </c>
      <c r="C59" s="42">
        <f t="shared" si="4"/>
        <v>5655009.1360314842</v>
      </c>
      <c r="D59" s="3">
        <f t="shared" si="5"/>
        <v>4593726.5995433833</v>
      </c>
      <c r="E59" s="3">
        <f t="shared" si="11"/>
        <v>604717069.49413705</v>
      </c>
      <c r="F59" s="3"/>
      <c r="G59" s="11"/>
      <c r="H59" s="11"/>
      <c r="P59" s="255"/>
      <c r="Q59" s="255" t="s">
        <v>25</v>
      </c>
      <c r="R59" s="255"/>
      <c r="S59" s="3"/>
      <c r="T59" s="2" t="s">
        <v>6959</v>
      </c>
      <c r="U59" s="150">
        <f>U110-1484</f>
        <v>16</v>
      </c>
      <c r="V59" s="2" t="s">
        <v>6960</v>
      </c>
      <c r="W59" s="2">
        <v>379</v>
      </c>
      <c r="X59" s="2">
        <f t="shared" si="15"/>
        <v>389.41263561643837</v>
      </c>
      <c r="Y59" s="28">
        <f t="shared" si="16"/>
        <v>397.20088832876712</v>
      </c>
      <c r="Z59" s="28">
        <f t="shared" si="17"/>
        <v>404.98914104109593</v>
      </c>
      <c r="AB59">
        <v>48513</v>
      </c>
      <c r="AJ59" s="129">
        <v>40</v>
      </c>
      <c r="AK59" s="128" t="s">
        <v>3999</v>
      </c>
      <c r="AL59" s="128">
        <v>-3865000</v>
      </c>
      <c r="AM59" s="129">
        <v>6</v>
      </c>
      <c r="AN59" s="129">
        <f t="shared" si="10"/>
        <v>1313</v>
      </c>
      <c r="AO59" s="130">
        <f t="shared" si="9"/>
        <v>-5074745000</v>
      </c>
      <c r="AP59" s="129" t="s">
        <v>4025</v>
      </c>
    </row>
    <row r="60" spans="1:42">
      <c r="A60" s="52">
        <v>1400</v>
      </c>
      <c r="B60" s="11">
        <v>58</v>
      </c>
      <c r="C60" s="3">
        <f t="shared" si="4"/>
        <v>5711559.227391799</v>
      </c>
      <c r="D60" s="3">
        <f t="shared" si="5"/>
        <v>4639663.8655388169</v>
      </c>
      <c r="E60" s="3">
        <f t="shared" si="11"/>
        <v>617883306.24587286</v>
      </c>
      <c r="F60" s="3"/>
      <c r="G60" s="11"/>
      <c r="H60" s="11"/>
      <c r="K60" s="410"/>
      <c r="L60" s="410"/>
      <c r="N60" s="2" t="s">
        <v>180</v>
      </c>
      <c r="O60" s="2" t="s">
        <v>5011</v>
      </c>
      <c r="P60" s="28" t="s">
        <v>4617</v>
      </c>
      <c r="Q60" s="350" t="s">
        <v>4192</v>
      </c>
      <c r="R60" s="350" t="s">
        <v>5223</v>
      </c>
      <c r="S60" s="3"/>
      <c r="T60" s="2" t="s">
        <v>6961</v>
      </c>
      <c r="U60" s="150">
        <f>U110-1485</f>
        <v>15</v>
      </c>
      <c r="V60" s="2" t="s">
        <v>6962</v>
      </c>
      <c r="W60" s="2">
        <v>379</v>
      </c>
      <c r="X60" s="2">
        <f t="shared" si="15"/>
        <v>389.121895890411</v>
      </c>
      <c r="Y60" s="28">
        <f t="shared" si="16"/>
        <v>396.90433380821923</v>
      </c>
      <c r="Z60" s="28">
        <f t="shared" si="17"/>
        <v>404.68677172602747</v>
      </c>
      <c r="AB60">
        <v>28529</v>
      </c>
      <c r="AJ60" s="20">
        <v>41</v>
      </c>
      <c r="AK60" s="37" t="s">
        <v>4029</v>
      </c>
      <c r="AL60" s="37">
        <v>18800000</v>
      </c>
      <c r="AM60" s="20">
        <v>3</v>
      </c>
      <c r="AN60" s="11">
        <f t="shared" si="10"/>
        <v>1307</v>
      </c>
      <c r="AO60" s="3">
        <f t="shared" si="9"/>
        <v>24571600000</v>
      </c>
      <c r="AP60" s="20"/>
    </row>
    <row r="61" spans="1:42">
      <c r="A61" s="52">
        <v>1400</v>
      </c>
      <c r="B61" s="11">
        <v>59</v>
      </c>
      <c r="C61" s="3">
        <f t="shared" si="4"/>
        <v>5768674.819665717</v>
      </c>
      <c r="D61" s="3">
        <f t="shared" si="5"/>
        <v>4686060.5041942047</v>
      </c>
      <c r="E61" s="3">
        <f t="shared" si="11"/>
        <v>631323586.68626177</v>
      </c>
      <c r="F61" s="3"/>
      <c r="G61" s="11"/>
      <c r="H61" s="11"/>
      <c r="M61" t="s">
        <v>25</v>
      </c>
      <c r="N61" s="2"/>
      <c r="O61" s="2"/>
      <c r="P61" s="28"/>
      <c r="Q61" s="350"/>
      <c r="R61" s="350"/>
      <c r="S61" s="155"/>
      <c r="T61" s="2" t="s">
        <v>6963</v>
      </c>
      <c r="U61" s="150">
        <f>U110-1486</f>
        <v>14</v>
      </c>
      <c r="V61" s="2" t="s">
        <v>6964</v>
      </c>
      <c r="W61" s="2">
        <v>373</v>
      </c>
      <c r="X61" s="2">
        <f t="shared" si="15"/>
        <v>382.67551780821924</v>
      </c>
      <c r="Y61" s="28">
        <f t="shared" si="16"/>
        <v>390.32902816438366</v>
      </c>
      <c r="Z61" s="28">
        <f t="shared" si="17"/>
        <v>397.98253852054802</v>
      </c>
      <c r="AB61">
        <v>77406</v>
      </c>
      <c r="AJ61" s="20">
        <v>42</v>
      </c>
      <c r="AK61" s="37" t="s">
        <v>4045</v>
      </c>
      <c r="AL61" s="37">
        <v>500000</v>
      </c>
      <c r="AM61" s="20">
        <v>1</v>
      </c>
      <c r="AN61" s="11">
        <f>AM62+AM61</f>
        <v>1304</v>
      </c>
      <c r="AO61" s="3">
        <f t="shared" si="9"/>
        <v>652000000</v>
      </c>
      <c r="AP61" s="20"/>
    </row>
    <row r="62" spans="1:42">
      <c r="A62" s="52">
        <v>1400</v>
      </c>
      <c r="B62" s="11">
        <v>60</v>
      </c>
      <c r="C62" s="3">
        <f t="shared" si="4"/>
        <v>5826361.5678623738</v>
      </c>
      <c r="D62" s="3">
        <f t="shared" si="5"/>
        <v>4732921.1092361463</v>
      </c>
      <c r="E62" s="40">
        <f t="shared" si="11"/>
        <v>645043498.87861323</v>
      </c>
      <c r="F62" s="3"/>
      <c r="G62" s="11"/>
      <c r="H62" s="11"/>
      <c r="N62" s="2" t="s">
        <v>7066</v>
      </c>
      <c r="O62" s="2">
        <v>391976</v>
      </c>
      <c r="P62" s="28">
        <v>32532410</v>
      </c>
      <c r="Q62" s="350">
        <v>8485222</v>
      </c>
      <c r="R62" s="350">
        <v>28545312</v>
      </c>
      <c r="S62" s="155"/>
      <c r="T62" s="2" t="s">
        <v>6965</v>
      </c>
      <c r="U62" s="150">
        <f>U110-1487</f>
        <v>13</v>
      </c>
      <c r="V62" s="2" t="s">
        <v>6966</v>
      </c>
      <c r="W62" s="2">
        <v>375</v>
      </c>
      <c r="X62" s="2">
        <f t="shared" si="15"/>
        <v>384.43972602739728</v>
      </c>
      <c r="Y62" s="28">
        <f t="shared" si="16"/>
        <v>392.12852054794524</v>
      </c>
      <c r="Z62" s="28">
        <f t="shared" si="17"/>
        <v>399.8173150684932</v>
      </c>
      <c r="AB62">
        <v>98205</v>
      </c>
      <c r="AI62" s="20">
        <v>43</v>
      </c>
      <c r="AJ62" s="37" t="s">
        <v>4049</v>
      </c>
      <c r="AK62" s="37">
        <v>200000</v>
      </c>
      <c r="AL62" s="20">
        <v>3</v>
      </c>
      <c r="AM62" s="11">
        <f>AM63+AL62</f>
        <v>1303</v>
      </c>
      <c r="AN62" s="3">
        <f>AK62*AM62</f>
        <v>260600000</v>
      </c>
      <c r="AO62" s="20"/>
    </row>
    <row r="63" spans="1:42">
      <c r="E63" s="25"/>
      <c r="H63" s="2" t="s">
        <v>4450</v>
      </c>
      <c r="I63" s="2" t="s">
        <v>4562</v>
      </c>
      <c r="J63" s="28" t="s">
        <v>4564</v>
      </c>
      <c r="K63" s="28" t="s">
        <v>4539</v>
      </c>
      <c r="L63" s="2" t="s">
        <v>4540</v>
      </c>
      <c r="N63" s="2" t="s">
        <v>7063</v>
      </c>
      <c r="O63" s="2">
        <v>390291</v>
      </c>
      <c r="P63" s="28">
        <v>32656971</v>
      </c>
      <c r="Q63" s="350">
        <v>8377966</v>
      </c>
      <c r="R63" s="350">
        <v>28172387</v>
      </c>
      <c r="S63" s="155"/>
      <c r="T63" s="2" t="s">
        <v>6969</v>
      </c>
      <c r="U63" s="150">
        <f>U110-1488</f>
        <v>12</v>
      </c>
      <c r="V63" s="2" t="s">
        <v>6970</v>
      </c>
      <c r="W63" s="2">
        <v>375</v>
      </c>
      <c r="X63" s="2">
        <f t="shared" si="15"/>
        <v>384.15205479452061</v>
      </c>
      <c r="Y63" s="28">
        <f t="shared" si="16"/>
        <v>391.83509589041103</v>
      </c>
      <c r="Z63" s="28">
        <f t="shared" si="17"/>
        <v>399.51813698630144</v>
      </c>
      <c r="AB63">
        <v>127565</v>
      </c>
      <c r="AI63" s="20">
        <v>44</v>
      </c>
      <c r="AJ63" s="37" t="s">
        <v>4056</v>
      </c>
      <c r="AK63" s="37">
        <v>1000000</v>
      </c>
      <c r="AL63" s="20">
        <v>3</v>
      </c>
      <c r="AM63" s="11">
        <f>AN64+AL63</f>
        <v>1300</v>
      </c>
      <c r="AN63" s="3">
        <f>AK63*AM63</f>
        <v>1300000000</v>
      </c>
      <c r="AO63" s="20"/>
    </row>
    <row r="64" spans="1:42">
      <c r="E64" s="25"/>
      <c r="H64" s="159" t="s">
        <v>4192</v>
      </c>
      <c r="I64" s="152">
        <v>790</v>
      </c>
      <c r="J64" s="160">
        <f>I64*$J$72</f>
        <v>16011720000</v>
      </c>
      <c r="K64" s="160">
        <f>N31+N37+N42</f>
        <v>7159587054</v>
      </c>
      <c r="L64" s="140">
        <f>J64-K64</f>
        <v>8852132946</v>
      </c>
      <c r="M64" t="s">
        <v>25</v>
      </c>
      <c r="N64" s="2" t="s">
        <v>7054</v>
      </c>
      <c r="O64" s="2">
        <v>387463</v>
      </c>
      <c r="P64" s="28">
        <v>32972110</v>
      </c>
      <c r="Q64" s="350">
        <v>8449980</v>
      </c>
      <c r="R64" s="350">
        <v>29202137</v>
      </c>
      <c r="S64" s="155"/>
      <c r="T64" s="2" t="s">
        <v>6971</v>
      </c>
      <c r="U64" s="150">
        <f>U110-1492</f>
        <v>8</v>
      </c>
      <c r="V64" s="2" t="s">
        <v>6972</v>
      </c>
      <c r="W64" s="2">
        <v>365</v>
      </c>
      <c r="X64" s="2">
        <f t="shared" si="15"/>
        <v>372.78800000000001</v>
      </c>
      <c r="Y64" s="28">
        <f t="shared" si="16"/>
        <v>380.24376000000001</v>
      </c>
      <c r="Z64" s="28">
        <f t="shared" si="17"/>
        <v>387.69952000000001</v>
      </c>
      <c r="AB64">
        <v>386005</v>
      </c>
      <c r="AD64" t="s">
        <v>25</v>
      </c>
      <c r="AJ64" s="20">
        <v>45</v>
      </c>
      <c r="AK64" s="37" t="s">
        <v>4064</v>
      </c>
      <c r="AL64" s="37">
        <v>1300000</v>
      </c>
      <c r="AM64" s="20">
        <v>0</v>
      </c>
      <c r="AN64" s="11">
        <f>AN65+AM64</f>
        <v>1297</v>
      </c>
      <c r="AO64" s="3">
        <f t="shared" ref="AO64:AO95" si="18">AL64*AN64</f>
        <v>1686100000</v>
      </c>
      <c r="AP64" s="20"/>
    </row>
    <row r="65" spans="1:42">
      <c r="H65" s="28" t="s">
        <v>5223</v>
      </c>
      <c r="I65" s="2">
        <v>254</v>
      </c>
      <c r="J65" s="1">
        <f>I65*$J$72</f>
        <v>5148072000</v>
      </c>
      <c r="K65" s="1">
        <f>N43+N38+N32</f>
        <v>195023737</v>
      </c>
      <c r="L65" s="3">
        <f>J65-K65</f>
        <v>4953048263</v>
      </c>
      <c r="M65" t="s">
        <v>25</v>
      </c>
      <c r="N65" s="2" t="s">
        <v>7053</v>
      </c>
      <c r="O65" s="2">
        <v>385714</v>
      </c>
      <c r="P65" s="28">
        <v>33047195</v>
      </c>
      <c r="Q65" s="350">
        <v>8471480</v>
      </c>
      <c r="R65" s="350">
        <v>29308460</v>
      </c>
      <c r="S65" s="155"/>
      <c r="T65" s="2" t="s">
        <v>6993</v>
      </c>
      <c r="U65" s="150">
        <f>U110-1520</f>
        <v>-20</v>
      </c>
      <c r="V65" s="2" t="s">
        <v>6994</v>
      </c>
      <c r="W65" s="2">
        <v>1575</v>
      </c>
      <c r="X65" s="2">
        <f t="shared" si="15"/>
        <v>1574.7756164383563</v>
      </c>
      <c r="Y65" s="28">
        <f t="shared" si="16"/>
        <v>1606.2711287671234</v>
      </c>
      <c r="Z65" s="28">
        <f t="shared" si="17"/>
        <v>1637.7666410958907</v>
      </c>
      <c r="AA65">
        <v>19558</v>
      </c>
      <c r="AJ65" s="20">
        <v>45</v>
      </c>
      <c r="AK65" s="37" t="s">
        <v>4064</v>
      </c>
      <c r="AL65" s="37">
        <v>995000</v>
      </c>
      <c r="AM65" s="20">
        <v>2</v>
      </c>
      <c r="AN65" s="11">
        <f t="shared" ref="AN65:AN92" si="19">AN66+AM65</f>
        <v>1297</v>
      </c>
      <c r="AO65" s="3">
        <f t="shared" si="18"/>
        <v>1290515000</v>
      </c>
      <c r="AP65" s="20"/>
    </row>
    <row r="66" spans="1:42">
      <c r="D66" t="s">
        <v>305</v>
      </c>
      <c r="E66" t="s">
        <v>4059</v>
      </c>
      <c r="H66" s="159" t="s">
        <v>6769</v>
      </c>
      <c r="I66" s="152"/>
      <c r="J66" s="160">
        <v>0</v>
      </c>
      <c r="K66" s="160">
        <f>N46+N45+N44+N39+N34+N33</f>
        <v>7898045126</v>
      </c>
      <c r="L66" s="140">
        <f>J66-K66</f>
        <v>-7898045126</v>
      </c>
      <c r="N66" s="2" t="s">
        <v>7052</v>
      </c>
      <c r="O66" s="350">
        <v>380489</v>
      </c>
      <c r="P66" s="350">
        <v>33139342</v>
      </c>
      <c r="Q66" s="350">
        <v>8329618</v>
      </c>
      <c r="R66" s="350">
        <v>28696078</v>
      </c>
      <c r="S66" s="155"/>
      <c r="T66" s="2" t="s">
        <v>6996</v>
      </c>
      <c r="U66" s="150">
        <f>U110-1521</f>
        <v>-21</v>
      </c>
      <c r="V66" s="2" t="s">
        <v>6997</v>
      </c>
      <c r="W66" s="2">
        <v>1591</v>
      </c>
      <c r="X66" s="2">
        <f t="shared" si="15"/>
        <v>1589.5528438356166</v>
      </c>
      <c r="Y66" s="28">
        <f t="shared" si="16"/>
        <v>1621.3439007123291</v>
      </c>
      <c r="Z66" s="28">
        <f t="shared" si="17"/>
        <v>1653.1349575890413</v>
      </c>
      <c r="AA66">
        <v>36934</v>
      </c>
      <c r="AJ66" s="20">
        <v>46</v>
      </c>
      <c r="AK66" s="37" t="s">
        <v>4073</v>
      </c>
      <c r="AL66" s="37">
        <v>13000000</v>
      </c>
      <c r="AM66" s="20">
        <v>2</v>
      </c>
      <c r="AN66" s="11">
        <f t="shared" si="19"/>
        <v>1295</v>
      </c>
      <c r="AO66" s="3">
        <f t="shared" si="18"/>
        <v>16835000000</v>
      </c>
      <c r="AP66" s="20"/>
    </row>
    <row r="67" spans="1:42">
      <c r="A67" t="s">
        <v>25</v>
      </c>
      <c r="D67" t="s">
        <v>4060</v>
      </c>
      <c r="E67" t="s">
        <v>4063</v>
      </c>
      <c r="H67" s="207" t="s">
        <v>5244</v>
      </c>
      <c r="I67" s="145">
        <v>0</v>
      </c>
      <c r="J67" s="208">
        <f t="shared" ref="J67:J69" si="20">I67*$J$72</f>
        <v>0</v>
      </c>
      <c r="K67" s="208">
        <f>N30+N36+N41</f>
        <v>7140</v>
      </c>
      <c r="L67" s="144">
        <f>J67-K67</f>
        <v>-7140</v>
      </c>
      <c r="N67" s="2" t="s">
        <v>7049</v>
      </c>
      <c r="O67" s="350">
        <v>385305</v>
      </c>
      <c r="P67" s="350">
        <v>33215966</v>
      </c>
      <c r="Q67" s="350">
        <v>8274051</v>
      </c>
      <c r="R67" s="350">
        <v>29222586</v>
      </c>
      <c r="S67" s="155"/>
      <c r="T67" s="2" t="s">
        <v>6999</v>
      </c>
      <c r="U67" s="150">
        <f>U110-1526</f>
        <v>-26</v>
      </c>
      <c r="V67" s="2" t="s">
        <v>7000</v>
      </c>
      <c r="W67" s="2">
        <v>1598</v>
      </c>
      <c r="X67" s="2">
        <f t="shared" si="15"/>
        <v>1590.4171616438359</v>
      </c>
      <c r="Y67" s="28">
        <f t="shared" si="16"/>
        <v>1622.2255048767126</v>
      </c>
      <c r="Z67" s="28">
        <f t="shared" si="17"/>
        <v>1654.0338481095894</v>
      </c>
      <c r="AA67">
        <v>387</v>
      </c>
      <c r="AJ67" s="20">
        <v>47</v>
      </c>
      <c r="AK67" s="37" t="s">
        <v>4086</v>
      </c>
      <c r="AL67" s="37">
        <v>-3100000</v>
      </c>
      <c r="AM67" s="20">
        <v>3</v>
      </c>
      <c r="AN67" s="11">
        <f t="shared" si="19"/>
        <v>1293</v>
      </c>
      <c r="AO67" s="3">
        <f t="shared" si="18"/>
        <v>-4008300000</v>
      </c>
      <c r="AP67" s="20"/>
    </row>
    <row r="68" spans="1:42">
      <c r="D68" t="s">
        <v>4061</v>
      </c>
      <c r="E68" t="s">
        <v>4062</v>
      </c>
      <c r="H68" s="159"/>
      <c r="I68" s="152"/>
      <c r="J68" s="160"/>
      <c r="K68" s="160"/>
      <c r="L68" s="140"/>
      <c r="N68" s="2" t="s">
        <v>7035</v>
      </c>
      <c r="O68" s="350">
        <v>380307</v>
      </c>
      <c r="P68" s="350">
        <v>33594896.6407924</v>
      </c>
      <c r="Q68" s="350">
        <v>8162767.862573673</v>
      </c>
      <c r="R68" s="350">
        <v>29624590.674153294</v>
      </c>
      <c r="S68" s="155" t="s">
        <v>25</v>
      </c>
      <c r="T68" s="2" t="s">
        <v>7001</v>
      </c>
      <c r="U68" s="150">
        <f>U110-1530</f>
        <v>-30</v>
      </c>
      <c r="V68" s="2" t="s">
        <v>7002</v>
      </c>
      <c r="W68" s="2">
        <v>1596</v>
      </c>
      <c r="X68" s="2">
        <f t="shared" si="15"/>
        <v>1583.5293369863014</v>
      </c>
      <c r="Y68" s="28">
        <f t="shared" si="16"/>
        <v>1615.1999237260275</v>
      </c>
      <c r="Z68" s="28">
        <f t="shared" si="17"/>
        <v>1646.8705104657536</v>
      </c>
      <c r="AA68">
        <v>88996</v>
      </c>
      <c r="AJ68" s="20">
        <v>48</v>
      </c>
      <c r="AK68" s="37" t="s">
        <v>4101</v>
      </c>
      <c r="AL68" s="37">
        <v>45640000</v>
      </c>
      <c r="AM68" s="20">
        <v>1</v>
      </c>
      <c r="AN68" s="11">
        <f t="shared" si="19"/>
        <v>1290</v>
      </c>
      <c r="AO68" s="3">
        <f t="shared" si="18"/>
        <v>58875600000</v>
      </c>
      <c r="AP68" s="20"/>
    </row>
    <row r="69" spans="1:42">
      <c r="G69" s="7"/>
      <c r="H69" s="186" t="s">
        <v>6721</v>
      </c>
      <c r="I69" s="147">
        <v>-290</v>
      </c>
      <c r="J69" s="187">
        <f t="shared" si="20"/>
        <v>-5877720000</v>
      </c>
      <c r="K69" s="187">
        <v>0</v>
      </c>
      <c r="L69" s="72">
        <f>J69-K69</f>
        <v>-5877720000</v>
      </c>
      <c r="N69" s="2" t="s">
        <v>7033</v>
      </c>
      <c r="O69" s="11"/>
      <c r="P69" s="350">
        <v>33635996</v>
      </c>
      <c r="Q69" s="350">
        <v>8186907</v>
      </c>
      <c r="R69" s="350">
        <v>29604715</v>
      </c>
      <c r="S69" s="155"/>
      <c r="T69" s="2" t="s">
        <v>7028</v>
      </c>
      <c r="U69" s="150">
        <f>U110-1555</f>
        <v>-55</v>
      </c>
      <c r="V69" s="2" t="s">
        <v>7029</v>
      </c>
      <c r="W69" s="2">
        <v>530</v>
      </c>
      <c r="X69" s="2">
        <f t="shared" si="15"/>
        <v>515.69435616438363</v>
      </c>
      <c r="Y69" s="28">
        <f t="shared" si="16"/>
        <v>526.00824328767135</v>
      </c>
      <c r="Z69" s="28">
        <f t="shared" si="17"/>
        <v>536.32213041095895</v>
      </c>
      <c r="AA69" s="373"/>
      <c r="AB69" s="373"/>
      <c r="AC69" s="373">
        <v>319342</v>
      </c>
      <c r="AJ69" s="20">
        <v>49</v>
      </c>
      <c r="AK69" s="37" t="s">
        <v>4105</v>
      </c>
      <c r="AL69" s="37">
        <v>33500000</v>
      </c>
      <c r="AM69" s="20">
        <v>1</v>
      </c>
      <c r="AN69" s="11">
        <f t="shared" si="19"/>
        <v>1289</v>
      </c>
      <c r="AO69" s="3">
        <f t="shared" si="18"/>
        <v>43181500000</v>
      </c>
      <c r="AP69" s="20"/>
    </row>
    <row r="70" spans="1:42">
      <c r="H70" s="28"/>
      <c r="I70" s="2"/>
      <c r="J70" s="1"/>
      <c r="K70" s="1"/>
      <c r="L70" s="3"/>
      <c r="N70" s="378" t="s">
        <v>7028</v>
      </c>
      <c r="O70" s="378"/>
      <c r="P70" s="350">
        <v>33865204</v>
      </c>
      <c r="Q70" s="350">
        <v>8182613</v>
      </c>
      <c r="R70" s="350">
        <v>29488286</v>
      </c>
      <c r="S70" s="155"/>
      <c r="T70" s="2" t="s">
        <v>7028</v>
      </c>
      <c r="U70" s="150">
        <f>U110-1555</f>
        <v>-55</v>
      </c>
      <c r="V70" s="2" t="s">
        <v>7030</v>
      </c>
      <c r="W70" s="2">
        <v>1277</v>
      </c>
      <c r="X70" s="2">
        <f t="shared" si="15"/>
        <v>1242.5314958904112</v>
      </c>
      <c r="Y70" s="28">
        <f t="shared" si="16"/>
        <v>1267.3821258082194</v>
      </c>
      <c r="Z70" s="28">
        <f t="shared" si="17"/>
        <v>1292.2327557260276</v>
      </c>
      <c r="AA70" s="373"/>
      <c r="AB70" s="373"/>
      <c r="AC70" s="373"/>
      <c r="AJ70" s="20">
        <v>50</v>
      </c>
      <c r="AK70" s="37" t="s">
        <v>4110</v>
      </c>
      <c r="AL70" s="37">
        <v>12000000</v>
      </c>
      <c r="AM70" s="20">
        <v>1</v>
      </c>
      <c r="AN70" s="11">
        <f t="shared" si="19"/>
        <v>1288</v>
      </c>
      <c r="AO70" s="37">
        <f t="shared" si="18"/>
        <v>15456000000</v>
      </c>
      <c r="AP70" s="20"/>
    </row>
    <row r="71" spans="1:42">
      <c r="H71" s="159" t="s">
        <v>4941</v>
      </c>
      <c r="I71" s="152">
        <f>SUM(I64:I69)</f>
        <v>754</v>
      </c>
      <c r="J71" s="160"/>
      <c r="K71" s="160"/>
      <c r="L71" s="140"/>
      <c r="N71" s="2" t="s">
        <v>7026</v>
      </c>
      <c r="O71" s="2"/>
      <c r="P71" s="350">
        <v>33863109</v>
      </c>
      <c r="Q71" s="350">
        <v>8419617</v>
      </c>
      <c r="R71" s="350">
        <v>28916812</v>
      </c>
      <c r="S71" s="155"/>
      <c r="T71" s="2" t="s">
        <v>7035</v>
      </c>
      <c r="U71" s="150">
        <f>U110-1558</f>
        <v>-58</v>
      </c>
      <c r="V71" s="2" t="s">
        <v>7036</v>
      </c>
      <c r="W71" s="2">
        <v>551</v>
      </c>
      <c r="X71" s="2">
        <f t="shared" si="15"/>
        <v>534.85947397260281</v>
      </c>
      <c r="Y71" s="28">
        <f t="shared" si="16"/>
        <v>545.55666345205486</v>
      </c>
      <c r="Z71" s="28">
        <f t="shared" si="17"/>
        <v>556.25385293150691</v>
      </c>
      <c r="AA71" s="375"/>
      <c r="AB71" s="375"/>
      <c r="AC71" s="375">
        <v>697462</v>
      </c>
      <c r="AJ71" s="20">
        <v>51</v>
      </c>
      <c r="AK71" s="37" t="s">
        <v>4115</v>
      </c>
      <c r="AL71" s="37">
        <v>15500000</v>
      </c>
      <c r="AM71" s="20">
        <v>4</v>
      </c>
      <c r="AN71" s="11">
        <f t="shared" si="19"/>
        <v>1287</v>
      </c>
      <c r="AO71" s="37">
        <f t="shared" si="18"/>
        <v>19948500000</v>
      </c>
      <c r="AP71" s="20"/>
    </row>
    <row r="72" spans="1:42">
      <c r="H72" s="28"/>
      <c r="I72" s="2">
        <v>0</v>
      </c>
      <c r="J72" s="34">
        <f>10*P47</f>
        <v>20268000</v>
      </c>
      <c r="K72" s="1">
        <f>I72*J72</f>
        <v>0</v>
      </c>
      <c r="L72" s="3">
        <f>SUM(L64:L70)-K72</f>
        <v>29408943</v>
      </c>
      <c r="N72" s="2" t="s">
        <v>7022</v>
      </c>
      <c r="O72" s="2"/>
      <c r="P72" s="350">
        <v>33695882</v>
      </c>
      <c r="Q72" s="350">
        <v>8357340</v>
      </c>
      <c r="R72" s="350">
        <v>29176513</v>
      </c>
      <c r="S72" s="155"/>
      <c r="T72" s="2"/>
      <c r="U72" s="150"/>
      <c r="V72" s="2"/>
      <c r="W72" s="2"/>
      <c r="X72" s="2"/>
      <c r="Y72" s="28"/>
      <c r="Z72" s="28"/>
      <c r="AA72" s="373"/>
      <c r="AB72" s="373"/>
      <c r="AC72" s="373"/>
      <c r="AD72" t="s">
        <v>25</v>
      </c>
      <c r="AJ72" s="20">
        <v>52</v>
      </c>
      <c r="AK72" s="37" t="s">
        <v>4119</v>
      </c>
      <c r="AL72" s="37">
        <v>150000</v>
      </c>
      <c r="AM72" s="20">
        <v>1</v>
      </c>
      <c r="AN72" s="11">
        <f t="shared" si="19"/>
        <v>1283</v>
      </c>
      <c r="AO72" s="37">
        <f t="shared" si="18"/>
        <v>192450000</v>
      </c>
      <c r="AP72" s="20"/>
    </row>
    <row r="73" spans="1:42">
      <c r="E73" s="189" t="s">
        <v>4883</v>
      </c>
      <c r="H73" s="159"/>
      <c r="I73" s="176"/>
      <c r="J73" s="160" t="s">
        <v>4202</v>
      </c>
      <c r="K73" s="160" t="s">
        <v>4556</v>
      </c>
      <c r="L73" s="140" t="s">
        <v>4557</v>
      </c>
      <c r="N73" s="2" t="s">
        <v>7020</v>
      </c>
      <c r="O73" s="2"/>
      <c r="P73" s="350">
        <v>33543525</v>
      </c>
      <c r="Q73" s="350">
        <v>8338071</v>
      </c>
      <c r="R73" s="350">
        <v>29308571</v>
      </c>
      <c r="S73" s="155"/>
      <c r="T73" s="2" t="s">
        <v>25</v>
      </c>
      <c r="U73" s="2" t="s">
        <v>25</v>
      </c>
      <c r="V73" s="2" t="s">
        <v>25</v>
      </c>
      <c r="W73" s="2"/>
      <c r="X73" s="2" t="e">
        <f>W73*(1+$T$106+$R$14*U73/36500)</f>
        <v>#VALUE!</v>
      </c>
      <c r="Y73" s="28" t="e">
        <f>X73*(1+$Y$19/100)</f>
        <v>#VALUE!</v>
      </c>
      <c r="Z73" s="28" t="e">
        <f>X73*(1+$Z$19/100)</f>
        <v>#VALUE!</v>
      </c>
      <c r="AA73" t="s">
        <v>25</v>
      </c>
      <c r="AB73" t="s">
        <v>25</v>
      </c>
      <c r="AJ73" s="137">
        <v>53</v>
      </c>
      <c r="AK73" s="138" t="s">
        <v>4125</v>
      </c>
      <c r="AL73" s="138">
        <v>29000000</v>
      </c>
      <c r="AM73" s="137">
        <v>15</v>
      </c>
      <c r="AN73" s="137">
        <f t="shared" si="19"/>
        <v>1282</v>
      </c>
      <c r="AO73" s="138">
        <f t="shared" si="18"/>
        <v>37178000000</v>
      </c>
      <c r="AP73" s="137" t="s">
        <v>4135</v>
      </c>
    </row>
    <row r="74" spans="1:42">
      <c r="E74" s="189" t="s">
        <v>4884</v>
      </c>
      <c r="H74" s="28" t="s">
        <v>4563</v>
      </c>
      <c r="I74" s="28"/>
      <c r="J74" s="1"/>
      <c r="K74" s="1"/>
      <c r="L74" s="3"/>
      <c r="N74" s="2" t="s">
        <v>7018</v>
      </c>
      <c r="O74" s="2"/>
      <c r="P74" s="350">
        <v>33027671</v>
      </c>
      <c r="Q74" s="350">
        <v>8145086</v>
      </c>
      <c r="R74" s="379">
        <v>30068942</v>
      </c>
      <c r="S74" s="155">
        <f>SUM(N31:N34)-SUM(S20:S73)</f>
        <v>4861572018.6758089</v>
      </c>
      <c r="T74" s="2" t="s">
        <v>25</v>
      </c>
      <c r="U74" s="2" t="s">
        <v>25</v>
      </c>
      <c r="V74" s="2" t="s">
        <v>25</v>
      </c>
      <c r="W74" s="2"/>
      <c r="X74" s="2" t="e">
        <f>W74*(1+$T$106+$R$14*U74/36500)</f>
        <v>#VALUE!</v>
      </c>
      <c r="Y74" s="28" t="e">
        <f>X74*(1+$Y$19/100)</f>
        <v>#VALUE!</v>
      </c>
      <c r="Z74" s="28" t="e">
        <f>X74*(1+$Z$19/100)</f>
        <v>#VALUE!</v>
      </c>
      <c r="AA74" t="s">
        <v>25</v>
      </c>
      <c r="AB74" t="s">
        <v>25</v>
      </c>
      <c r="AC74" t="s">
        <v>25</v>
      </c>
      <c r="AE74" t="s">
        <v>25</v>
      </c>
      <c r="AJ74" s="20">
        <v>54</v>
      </c>
      <c r="AK74" s="37" t="s">
        <v>4159</v>
      </c>
      <c r="AL74" s="37">
        <v>-130000</v>
      </c>
      <c r="AM74" s="20">
        <v>7</v>
      </c>
      <c r="AN74" s="11">
        <f t="shared" si="19"/>
        <v>1267</v>
      </c>
      <c r="AO74" s="37">
        <f t="shared" si="18"/>
        <v>-164710000</v>
      </c>
      <c r="AP74" s="20" t="s">
        <v>4161</v>
      </c>
    </row>
    <row r="75" spans="1:42">
      <c r="N75" s="2" t="s">
        <v>7015</v>
      </c>
      <c r="O75" s="2"/>
      <c r="P75" s="350">
        <v>33329845</v>
      </c>
      <c r="Q75" s="350">
        <v>8188700</v>
      </c>
      <c r="R75" s="350">
        <v>29804772</v>
      </c>
      <c r="T75" t="s">
        <v>25</v>
      </c>
      <c r="U75" t="s">
        <v>25</v>
      </c>
      <c r="V75" t="s">
        <v>25</v>
      </c>
      <c r="W75" t="s">
        <v>25</v>
      </c>
      <c r="X75" t="s">
        <v>25</v>
      </c>
      <c r="Y75" s="35" t="s">
        <v>25</v>
      </c>
      <c r="Z75" s="35"/>
      <c r="AA75" t="s">
        <v>25</v>
      </c>
      <c r="AB75" t="s">
        <v>25</v>
      </c>
      <c r="AC75" t="s">
        <v>25</v>
      </c>
      <c r="AJ75" s="20">
        <v>55</v>
      </c>
      <c r="AK75" s="37" t="s">
        <v>4207</v>
      </c>
      <c r="AL75" s="37">
        <v>232000</v>
      </c>
      <c r="AM75" s="20">
        <v>2</v>
      </c>
      <c r="AN75" s="11">
        <f t="shared" si="19"/>
        <v>1260</v>
      </c>
      <c r="AO75" s="37">
        <f t="shared" si="18"/>
        <v>292320000</v>
      </c>
      <c r="AP75" s="20" t="s">
        <v>4209</v>
      </c>
    </row>
    <row r="76" spans="1:42">
      <c r="H76" s="135"/>
      <c r="N76" s="2" t="s">
        <v>7007</v>
      </c>
      <c r="O76" s="2"/>
      <c r="P76" s="350">
        <v>32675546</v>
      </c>
      <c r="Q76" s="350">
        <v>8310289</v>
      </c>
      <c r="R76" s="350">
        <v>29605406</v>
      </c>
      <c r="S76" t="s">
        <v>25</v>
      </c>
      <c r="T76" t="s">
        <v>25</v>
      </c>
      <c r="V76" t="s">
        <v>25</v>
      </c>
      <c r="W76" t="s">
        <v>25</v>
      </c>
      <c r="X76" t="s">
        <v>25</v>
      </c>
      <c r="Y76" s="35"/>
      <c r="Z76" s="35" t="s">
        <v>25</v>
      </c>
      <c r="AA76" t="s">
        <v>25</v>
      </c>
      <c r="AB76" t="s">
        <v>25</v>
      </c>
      <c r="AC76" t="s">
        <v>25</v>
      </c>
      <c r="AD76" t="s">
        <v>25</v>
      </c>
      <c r="AJ76" s="20">
        <v>56</v>
      </c>
      <c r="AK76" s="37" t="s">
        <v>4217</v>
      </c>
      <c r="AL76" s="37">
        <v>-170000</v>
      </c>
      <c r="AM76" s="20">
        <v>3</v>
      </c>
      <c r="AN76" s="11">
        <f t="shared" si="19"/>
        <v>1258</v>
      </c>
      <c r="AO76" s="37">
        <f t="shared" si="18"/>
        <v>-213860000</v>
      </c>
      <c r="AP76" s="20"/>
    </row>
    <row r="77" spans="1:42">
      <c r="N77" s="28" t="s">
        <v>7006</v>
      </c>
      <c r="O77" s="28"/>
      <c r="P77" s="350">
        <v>32872808</v>
      </c>
      <c r="Q77" s="350">
        <v>8179528</v>
      </c>
      <c r="R77" s="350">
        <v>30000426</v>
      </c>
      <c r="S77" s="154" t="s">
        <v>629</v>
      </c>
      <c r="T77" s="2"/>
      <c r="U77" s="2"/>
      <c r="V77" s="2"/>
      <c r="W77" s="2"/>
      <c r="X77" s="2"/>
      <c r="Y77" s="28"/>
      <c r="Z77" s="28"/>
      <c r="AB77" t="s">
        <v>25</v>
      </c>
      <c r="AC77" t="s">
        <v>25</v>
      </c>
      <c r="AJ77" s="20">
        <v>57</v>
      </c>
      <c r="AK77" s="37" t="s">
        <v>4231</v>
      </c>
      <c r="AL77" s="37">
        <v>-300000</v>
      </c>
      <c r="AM77" s="20">
        <v>3</v>
      </c>
      <c r="AN77" s="11">
        <f t="shared" si="19"/>
        <v>1255</v>
      </c>
      <c r="AO77" s="37">
        <f t="shared" si="18"/>
        <v>-376500000</v>
      </c>
      <c r="AP77" s="20"/>
    </row>
    <row r="78" spans="1:42" ht="30">
      <c r="N78" s="28" t="s">
        <v>7004</v>
      </c>
      <c r="O78" s="28"/>
      <c r="P78" s="2"/>
      <c r="Q78" s="350">
        <v>8292963</v>
      </c>
      <c r="R78" s="350">
        <v>29724216</v>
      </c>
      <c r="S78" s="154" t="s">
        <v>267</v>
      </c>
      <c r="T78" s="2" t="s">
        <v>180</v>
      </c>
      <c r="U78" s="2" t="s">
        <v>183</v>
      </c>
      <c r="V78" s="2" t="s">
        <v>8</v>
      </c>
      <c r="W78" s="2" t="s">
        <v>4304</v>
      </c>
      <c r="X78" s="60" t="s">
        <v>4306</v>
      </c>
      <c r="Y78" s="28">
        <v>2</v>
      </c>
      <c r="Z78" s="28">
        <v>4</v>
      </c>
      <c r="AC78" t="s">
        <v>25</v>
      </c>
      <c r="AD78" t="s">
        <v>25</v>
      </c>
      <c r="AE78" t="s">
        <v>25</v>
      </c>
      <c r="AJ78" s="20">
        <v>58</v>
      </c>
      <c r="AK78" s="37" t="s">
        <v>4240</v>
      </c>
      <c r="AL78" s="37">
        <v>-11400000</v>
      </c>
      <c r="AM78" s="20">
        <v>13</v>
      </c>
      <c r="AN78" s="11">
        <f t="shared" ref="AN78:AN83" si="21">AN79+AM78</f>
        <v>1252</v>
      </c>
      <c r="AO78" s="37">
        <f t="shared" si="18"/>
        <v>-14272800000</v>
      </c>
      <c r="AP78" s="20"/>
    </row>
    <row r="79" spans="1:42">
      <c r="N79" s="28" t="s">
        <v>7001</v>
      </c>
      <c r="O79" s="28"/>
      <c r="P79" s="11"/>
      <c r="Q79" s="350">
        <v>8298953</v>
      </c>
      <c r="R79" s="350">
        <v>29631163</v>
      </c>
      <c r="S79" s="154">
        <v>0</v>
      </c>
      <c r="T79" s="2" t="s">
        <v>4125</v>
      </c>
      <c r="U79" s="2">
        <f>U110</f>
        <v>1500</v>
      </c>
      <c r="V79" s="2"/>
      <c r="W79" s="2"/>
      <c r="X79" s="60"/>
      <c r="Y79" s="28"/>
      <c r="Z79" s="28"/>
      <c r="AE79" t="s">
        <v>25</v>
      </c>
      <c r="AJ79" s="20">
        <v>59</v>
      </c>
      <c r="AK79" s="37" t="s">
        <v>4288</v>
      </c>
      <c r="AL79" s="37">
        <v>-10000000</v>
      </c>
      <c r="AM79" s="20">
        <v>1</v>
      </c>
      <c r="AN79" s="11">
        <f t="shared" si="21"/>
        <v>1239</v>
      </c>
      <c r="AO79" s="37">
        <f t="shared" si="18"/>
        <v>-12390000000</v>
      </c>
      <c r="AP79" s="20"/>
    </row>
    <row r="80" spans="1:42">
      <c r="J80" s="2" t="s">
        <v>180</v>
      </c>
      <c r="K80" s="167" t="s">
        <v>5401</v>
      </c>
      <c r="N80" s="28" t="s">
        <v>6996</v>
      </c>
      <c r="O80" s="28"/>
      <c r="P80" s="11"/>
      <c r="Q80" s="350">
        <v>8235577</v>
      </c>
      <c r="R80" s="350">
        <v>29962922</v>
      </c>
      <c r="S80" s="155">
        <v>863944</v>
      </c>
      <c r="T80" s="2" t="s">
        <v>4368</v>
      </c>
      <c r="U80" s="2">
        <f>U79-62</f>
        <v>1438</v>
      </c>
      <c r="V80" s="146" t="s">
        <v>4425</v>
      </c>
      <c r="W80" s="2">
        <v>184.6</v>
      </c>
      <c r="X80" s="2">
        <f t="shared" ref="X80:X101" si="22">W80*(1+$T$106+$R$14*U80/36500)</f>
        <v>391.04247890410954</v>
      </c>
      <c r="Y80" s="28">
        <f t="shared" ref="Y80:Y99" si="23">X80*(1+$Y$19/100)</f>
        <v>398.86332848219172</v>
      </c>
      <c r="Z80" s="28">
        <f t="shared" ref="Z80:Z99" si="24">X80*(1+$Z$19/100)</f>
        <v>406.68417806027395</v>
      </c>
      <c r="AA80">
        <v>4661</v>
      </c>
      <c r="AJ80" s="20">
        <v>60</v>
      </c>
      <c r="AK80" s="37" t="s">
        <v>4289</v>
      </c>
      <c r="AL80" s="37">
        <v>-2450000</v>
      </c>
      <c r="AM80" s="20">
        <v>5</v>
      </c>
      <c r="AN80" s="11">
        <f t="shared" si="21"/>
        <v>1238</v>
      </c>
      <c r="AO80" s="37">
        <f t="shared" si="18"/>
        <v>-3033100000</v>
      </c>
      <c r="AP80" s="20"/>
    </row>
    <row r="81" spans="10:54">
      <c r="J81" s="2" t="s">
        <v>5375</v>
      </c>
      <c r="K81" s="377">
        <v>30000000</v>
      </c>
      <c r="N81" s="28" t="s">
        <v>6990</v>
      </c>
      <c r="O81" s="28"/>
      <c r="P81" s="11"/>
      <c r="Q81" s="350">
        <v>8314333</v>
      </c>
      <c r="R81" s="350">
        <v>29627913</v>
      </c>
      <c r="S81" s="155">
        <v>1692313</v>
      </c>
      <c r="T81" s="2" t="s">
        <v>4428</v>
      </c>
      <c r="U81" s="150">
        <f>U80-21</f>
        <v>1417</v>
      </c>
      <c r="V81" s="145" t="s">
        <v>4429</v>
      </c>
      <c r="W81" s="2">
        <v>168.5</v>
      </c>
      <c r="X81" s="2">
        <f t="shared" si="22"/>
        <v>354.2230082191781</v>
      </c>
      <c r="Y81" s="28">
        <f t="shared" si="23"/>
        <v>361.30746838356168</v>
      </c>
      <c r="Z81" s="28">
        <f t="shared" si="24"/>
        <v>368.39192854794521</v>
      </c>
      <c r="AA81">
        <v>10000</v>
      </c>
      <c r="AD81" t="s">
        <v>25</v>
      </c>
      <c r="AJ81" s="20">
        <v>61</v>
      </c>
      <c r="AK81" s="37" t="s">
        <v>4313</v>
      </c>
      <c r="AL81" s="37">
        <v>-456081</v>
      </c>
      <c r="AM81" s="20">
        <v>1</v>
      </c>
      <c r="AN81" s="11">
        <f t="shared" si="21"/>
        <v>1233</v>
      </c>
      <c r="AO81" s="37">
        <f t="shared" si="18"/>
        <v>-562347873</v>
      </c>
      <c r="AP81" s="20"/>
    </row>
    <row r="82" spans="10:54">
      <c r="J82" s="2" t="s">
        <v>5376</v>
      </c>
      <c r="K82" s="377">
        <v>550000</v>
      </c>
      <c r="N82" s="28" t="s">
        <v>6988</v>
      </c>
      <c r="O82" s="28"/>
      <c r="P82" s="11"/>
      <c r="Q82" s="350">
        <v>8403580</v>
      </c>
      <c r="R82" s="350">
        <v>29345833</v>
      </c>
      <c r="S82" s="155">
        <v>101153</v>
      </c>
      <c r="T82" s="2" t="s">
        <v>4431</v>
      </c>
      <c r="U82" s="150">
        <f>U81-1</f>
        <v>1416</v>
      </c>
      <c r="V82" s="145" t="s">
        <v>4433</v>
      </c>
      <c r="W82" s="2">
        <v>166.7</v>
      </c>
      <c r="X82" s="2">
        <f t="shared" si="22"/>
        <v>350.31114410958901</v>
      </c>
      <c r="Y82" s="28">
        <f t="shared" si="23"/>
        <v>357.31736699178077</v>
      </c>
      <c r="Z82" s="28">
        <f t="shared" si="24"/>
        <v>364.32358987397259</v>
      </c>
      <c r="AA82">
        <v>604</v>
      </c>
      <c r="AC82" t="s">
        <v>25</v>
      </c>
      <c r="AJ82" s="20">
        <v>62</v>
      </c>
      <c r="AK82" s="37" t="s">
        <v>4315</v>
      </c>
      <c r="AL82" s="37">
        <v>-500000</v>
      </c>
      <c r="AM82" s="20">
        <v>2</v>
      </c>
      <c r="AN82" s="11">
        <f t="shared" si="21"/>
        <v>1232</v>
      </c>
      <c r="AO82" s="37">
        <f t="shared" si="18"/>
        <v>-616000000</v>
      </c>
      <c r="AP82" s="20"/>
      <c r="AQ82" t="s">
        <v>25</v>
      </c>
      <c r="AY82" t="s">
        <v>25</v>
      </c>
    </row>
    <row r="83" spans="10:54">
      <c r="J83" s="2" t="s">
        <v>5377</v>
      </c>
      <c r="K83" s="377">
        <v>70370000</v>
      </c>
      <c r="N83" s="28" t="s">
        <v>6985</v>
      </c>
      <c r="O83" s="28"/>
      <c r="P83" s="11"/>
      <c r="Q83" s="350">
        <v>8322637</v>
      </c>
      <c r="R83" s="350">
        <v>29697683</v>
      </c>
      <c r="S83" s="155">
        <v>183105</v>
      </c>
      <c r="T83" s="2" t="s">
        <v>4180</v>
      </c>
      <c r="U83" s="150">
        <f>U82-1</f>
        <v>1415</v>
      </c>
      <c r="V83" s="145" t="s">
        <v>4437</v>
      </c>
      <c r="W83" s="2">
        <v>166.6</v>
      </c>
      <c r="X83" s="2">
        <f t="shared" si="22"/>
        <v>349.97319671232884</v>
      </c>
      <c r="Y83" s="28">
        <f t="shared" si="23"/>
        <v>356.97266064657543</v>
      </c>
      <c r="Z83" s="28">
        <f t="shared" si="24"/>
        <v>363.97212458082203</v>
      </c>
      <c r="AA83">
        <v>1094</v>
      </c>
      <c r="AC83" t="s">
        <v>25</v>
      </c>
      <c r="AE83" s="88"/>
      <c r="AJ83" s="20">
        <v>63</v>
      </c>
      <c r="AK83" s="37" t="s">
        <v>4331</v>
      </c>
      <c r="AL83" s="37">
        <v>-6234370</v>
      </c>
      <c r="AM83" s="20">
        <v>3</v>
      </c>
      <c r="AN83" s="11">
        <f t="shared" si="21"/>
        <v>1230</v>
      </c>
      <c r="AO83" s="37">
        <f t="shared" si="18"/>
        <v>-7668275100</v>
      </c>
      <c r="AP83" s="20"/>
    </row>
    <row r="84" spans="10:54">
      <c r="J84" s="2" t="s">
        <v>5378</v>
      </c>
      <c r="K84" s="377">
        <v>1215000</v>
      </c>
      <c r="N84" s="28" t="s">
        <v>6980</v>
      </c>
      <c r="O84" s="28"/>
      <c r="P84" s="11"/>
      <c r="Q84" s="350">
        <v>8421820</v>
      </c>
      <c r="R84" s="350">
        <v>29013455</v>
      </c>
      <c r="S84" s="155">
        <v>168846</v>
      </c>
      <c r="T84" s="2" t="s">
        <v>3653</v>
      </c>
      <c r="U84" s="150">
        <f>U83-30</f>
        <v>1385</v>
      </c>
      <c r="V84" s="145" t="s">
        <v>4514</v>
      </c>
      <c r="W84" s="2">
        <v>172.2</v>
      </c>
      <c r="X84" s="2">
        <f t="shared" si="22"/>
        <v>357.77404273972599</v>
      </c>
      <c r="Y84" s="28">
        <f t="shared" si="23"/>
        <v>364.9295235945205</v>
      </c>
      <c r="Z84" s="28">
        <f t="shared" si="24"/>
        <v>372.08500444931502</v>
      </c>
      <c r="AA84">
        <v>976</v>
      </c>
      <c r="AE84" s="88"/>
      <c r="AJ84" s="20">
        <v>64</v>
      </c>
      <c r="AK84" s="37" t="s">
        <v>4340</v>
      </c>
      <c r="AL84" s="37">
        <v>1950957</v>
      </c>
      <c r="AM84" s="20">
        <v>4</v>
      </c>
      <c r="AN84" s="11">
        <f t="shared" si="19"/>
        <v>1227</v>
      </c>
      <c r="AO84" s="37">
        <f t="shared" si="18"/>
        <v>2393824239</v>
      </c>
      <c r="AP84" s="20"/>
      <c r="BB84" t="s">
        <v>25</v>
      </c>
    </row>
    <row r="85" spans="10:54">
      <c r="J85" s="2" t="s">
        <v>5379</v>
      </c>
      <c r="K85" s="377">
        <v>15350000</v>
      </c>
      <c r="N85" s="28" t="s">
        <v>6979</v>
      </c>
      <c r="O85" s="28"/>
      <c r="P85" s="11"/>
      <c r="Q85" s="350">
        <v>8492243</v>
      </c>
      <c r="R85" s="350">
        <v>28413102</v>
      </c>
      <c r="S85" s="155">
        <v>19918023</v>
      </c>
      <c r="T85" s="5" t="s">
        <v>4730</v>
      </c>
      <c r="U85" s="150">
        <f>U84-75</f>
        <v>1310</v>
      </c>
      <c r="V85" s="145" t="s">
        <v>4732</v>
      </c>
      <c r="W85" s="2">
        <v>183</v>
      </c>
      <c r="X85" s="2">
        <f t="shared" si="22"/>
        <v>369.68406575342465</v>
      </c>
      <c r="Y85" s="28">
        <f t="shared" si="23"/>
        <v>377.07774706849312</v>
      </c>
      <c r="Z85" s="28">
        <f t="shared" si="24"/>
        <v>384.47142838356166</v>
      </c>
      <c r="AA85">
        <v>108344</v>
      </c>
      <c r="AE85" s="88"/>
      <c r="AJ85" s="20">
        <v>65</v>
      </c>
      <c r="AK85" s="37" t="s">
        <v>4362</v>
      </c>
      <c r="AL85" s="37">
        <v>600000</v>
      </c>
      <c r="AM85" s="20">
        <v>5</v>
      </c>
      <c r="AN85" s="11">
        <f t="shared" si="19"/>
        <v>1223</v>
      </c>
      <c r="AO85" s="37">
        <f t="shared" si="18"/>
        <v>733800000</v>
      </c>
      <c r="AP85" s="20"/>
    </row>
    <row r="86" spans="10:54">
      <c r="J86" s="2" t="s">
        <v>5380</v>
      </c>
      <c r="K86" s="377">
        <v>70000</v>
      </c>
      <c r="N86" s="28" t="s">
        <v>6965</v>
      </c>
      <c r="O86" s="28"/>
      <c r="P86" s="11"/>
      <c r="Q86" s="350">
        <v>8503989</v>
      </c>
      <c r="R86" s="350">
        <v>28837784</v>
      </c>
      <c r="S86" s="155">
        <v>1200301</v>
      </c>
      <c r="T86" s="19" t="s">
        <v>4806</v>
      </c>
      <c r="U86" s="150">
        <f>U85-34</f>
        <v>1276</v>
      </c>
      <c r="V86" s="145" t="s">
        <v>4808</v>
      </c>
      <c r="W86" s="2">
        <v>218.5</v>
      </c>
      <c r="X86" s="2">
        <f t="shared" si="22"/>
        <v>435.69977534246578</v>
      </c>
      <c r="Y86" s="28">
        <f t="shared" si="23"/>
        <v>444.41377084931509</v>
      </c>
      <c r="Z86" s="28">
        <f t="shared" si="24"/>
        <v>453.12776635616444</v>
      </c>
      <c r="AA86">
        <v>5468</v>
      </c>
      <c r="AE86" s="88"/>
      <c r="AJ86" s="20">
        <v>66</v>
      </c>
      <c r="AK86" s="37" t="s">
        <v>4370</v>
      </c>
      <c r="AL86" s="37">
        <v>7500000</v>
      </c>
      <c r="AM86" s="20">
        <v>2</v>
      </c>
      <c r="AN86" s="11">
        <f t="shared" si="19"/>
        <v>1218</v>
      </c>
      <c r="AO86" s="37">
        <f t="shared" si="18"/>
        <v>9135000000</v>
      </c>
      <c r="AP86" s="20"/>
    </row>
    <row r="87" spans="10:54">
      <c r="J87" s="2" t="s">
        <v>5384</v>
      </c>
      <c r="K87" s="377">
        <v>800000</v>
      </c>
      <c r="N87" s="28" t="s">
        <v>6963</v>
      </c>
      <c r="O87" s="28"/>
      <c r="P87" s="11"/>
      <c r="Q87" s="350">
        <v>8454346</v>
      </c>
      <c r="R87" s="350">
        <v>28322059</v>
      </c>
      <c r="S87" s="155">
        <v>5837196.2537021004</v>
      </c>
      <c r="T87" s="19" t="s">
        <v>4830</v>
      </c>
      <c r="U87" s="150">
        <f>U86-16</f>
        <v>1260</v>
      </c>
      <c r="V87" s="145" t="s">
        <v>5532</v>
      </c>
      <c r="W87" s="2">
        <v>196.2</v>
      </c>
      <c r="X87" s="2">
        <f t="shared" si="22"/>
        <v>388.82432219178077</v>
      </c>
      <c r="Y87" s="28">
        <f t="shared" si="23"/>
        <v>396.60080863561637</v>
      </c>
      <c r="Z87" s="28">
        <f t="shared" si="24"/>
        <v>404.37729507945198</v>
      </c>
      <c r="AA87">
        <v>29619</v>
      </c>
      <c r="AD87" t="s">
        <v>25</v>
      </c>
      <c r="AE87" s="88"/>
      <c r="AJ87" s="20">
        <v>67</v>
      </c>
      <c r="AK87" s="37" t="s">
        <v>4374</v>
      </c>
      <c r="AL87" s="37">
        <v>-587816</v>
      </c>
      <c r="AM87" s="20">
        <v>3</v>
      </c>
      <c r="AN87" s="11">
        <f t="shared" si="19"/>
        <v>1216</v>
      </c>
      <c r="AO87" s="37">
        <f t="shared" si="18"/>
        <v>-714784256</v>
      </c>
      <c r="AP87" s="20"/>
    </row>
    <row r="88" spans="10:54">
      <c r="J88" s="2" t="s">
        <v>5389</v>
      </c>
      <c r="K88" s="377">
        <v>1948000</v>
      </c>
      <c r="N88" s="28" t="s">
        <v>6946</v>
      </c>
      <c r="O88" s="28"/>
      <c r="P88" s="11"/>
      <c r="Q88" s="350">
        <v>8586134</v>
      </c>
      <c r="R88" s="350">
        <v>28298912</v>
      </c>
      <c r="S88" s="155">
        <v>2948152</v>
      </c>
      <c r="T88" s="19" t="s">
        <v>5562</v>
      </c>
      <c r="U88" s="150">
        <f>U87-498</f>
        <v>762</v>
      </c>
      <c r="V88" s="145" t="s">
        <v>5563</v>
      </c>
      <c r="W88" s="2">
        <v>1550</v>
      </c>
      <c r="X88" s="2">
        <f t="shared" si="22"/>
        <v>2479.6093150684933</v>
      </c>
      <c r="Y88" s="28">
        <f t="shared" si="23"/>
        <v>2529.2015013698633</v>
      </c>
      <c r="Z88" s="28">
        <f t="shared" si="24"/>
        <v>2578.7936876712333</v>
      </c>
      <c r="AA88">
        <v>1895</v>
      </c>
      <c r="AE88" s="88"/>
      <c r="AJ88" s="20">
        <v>68</v>
      </c>
      <c r="AK88" s="37" t="s">
        <v>4373</v>
      </c>
      <c r="AL88" s="37">
        <v>-907489</v>
      </c>
      <c r="AM88" s="20">
        <v>0</v>
      </c>
      <c r="AN88" s="11">
        <f>AN89+AM88</f>
        <v>1213</v>
      </c>
      <c r="AO88" s="37">
        <f t="shared" si="18"/>
        <v>-1100784157</v>
      </c>
      <c r="AP88" s="20"/>
      <c r="AR88" t="s">
        <v>25</v>
      </c>
      <c r="AX88" t="s">
        <v>25</v>
      </c>
    </row>
    <row r="89" spans="10:54">
      <c r="J89" s="2" t="s">
        <v>5412</v>
      </c>
      <c r="K89" s="377">
        <v>5745697.3157000002</v>
      </c>
      <c r="N89" s="28" t="s">
        <v>6942</v>
      </c>
      <c r="O89" s="28"/>
      <c r="P89" s="11"/>
      <c r="Q89" s="350">
        <v>8610051</v>
      </c>
      <c r="R89" s="350">
        <v>28757587</v>
      </c>
      <c r="S89" s="155"/>
      <c r="T89" s="19" t="s">
        <v>5642</v>
      </c>
      <c r="U89" s="150">
        <f>U88-83</f>
        <v>679</v>
      </c>
      <c r="V89" s="145" t="s">
        <v>5643</v>
      </c>
      <c r="W89" s="2">
        <v>1275</v>
      </c>
      <c r="X89" s="2">
        <f t="shared" si="22"/>
        <v>1958.4978082191781</v>
      </c>
      <c r="Y89" s="28">
        <f t="shared" si="23"/>
        <v>1997.6677643835617</v>
      </c>
      <c r="Z89" s="28">
        <f t="shared" si="24"/>
        <v>2036.8377205479453</v>
      </c>
      <c r="AA89">
        <v>48654</v>
      </c>
      <c r="AE89" t="s">
        <v>25</v>
      </c>
      <c r="AJ89" s="20">
        <v>69</v>
      </c>
      <c r="AK89" s="37" t="s">
        <v>4373</v>
      </c>
      <c r="AL89" s="37">
        <v>2450000</v>
      </c>
      <c r="AM89" s="20">
        <v>1</v>
      </c>
      <c r="AN89" s="11">
        <f t="shared" si="19"/>
        <v>1213</v>
      </c>
      <c r="AO89" s="37">
        <f t="shared" si="18"/>
        <v>2971850000</v>
      </c>
      <c r="AP89" s="20" t="s">
        <v>4400</v>
      </c>
      <c r="AS89" t="s">
        <v>25</v>
      </c>
      <c r="AT89" t="s">
        <v>25</v>
      </c>
    </row>
    <row r="90" spans="10:54">
      <c r="J90" s="2" t="s">
        <v>5413</v>
      </c>
      <c r="K90" s="377">
        <v>908158.17935999995</v>
      </c>
      <c r="N90" s="28" t="s">
        <v>6939</v>
      </c>
      <c r="O90" s="28"/>
      <c r="P90" s="11"/>
      <c r="Q90" s="350">
        <v>8513365</v>
      </c>
      <c r="R90" s="350">
        <v>28095606</v>
      </c>
      <c r="S90" s="3"/>
      <c r="T90" s="19" t="s">
        <v>5648</v>
      </c>
      <c r="U90" s="150">
        <f>U89-5</f>
        <v>674</v>
      </c>
      <c r="V90" s="145" t="s">
        <v>5649</v>
      </c>
      <c r="W90" s="2">
        <v>1210</v>
      </c>
      <c r="X90" s="2">
        <f t="shared" si="22"/>
        <v>1854.0117260273976</v>
      </c>
      <c r="Y90" s="28">
        <f t="shared" si="23"/>
        <v>1891.0919605479455</v>
      </c>
      <c r="Z90" s="28">
        <f t="shared" si="24"/>
        <v>1928.1721950684935</v>
      </c>
      <c r="AA90">
        <v>450</v>
      </c>
      <c r="AJ90" s="20">
        <v>70</v>
      </c>
      <c r="AK90" s="37" t="s">
        <v>4402</v>
      </c>
      <c r="AL90" s="37">
        <v>1500000</v>
      </c>
      <c r="AM90" s="20">
        <v>1</v>
      </c>
      <c r="AN90" s="11">
        <f t="shared" si="19"/>
        <v>1212</v>
      </c>
      <c r="AO90" s="37">
        <f t="shared" si="18"/>
        <v>1818000000</v>
      </c>
      <c r="AP90" s="20"/>
      <c r="AR90" t="s">
        <v>25</v>
      </c>
      <c r="AW90" t="s">
        <v>25</v>
      </c>
    </row>
    <row r="91" spans="10:54">
      <c r="J91" s="2" t="s">
        <v>5414</v>
      </c>
      <c r="K91" s="377">
        <v>12642697.648548001</v>
      </c>
      <c r="N91" s="28" t="s">
        <v>6923</v>
      </c>
      <c r="O91" s="28"/>
      <c r="P91" s="11"/>
      <c r="Q91" s="350">
        <v>8529023</v>
      </c>
      <c r="R91" s="350">
        <v>28319161</v>
      </c>
      <c r="S91" s="3"/>
      <c r="T91" s="19" t="s">
        <v>5654</v>
      </c>
      <c r="U91" s="150">
        <f>U90-4</f>
        <v>670</v>
      </c>
      <c r="V91" s="145" t="s">
        <v>5655</v>
      </c>
      <c r="W91" s="2">
        <v>1175</v>
      </c>
      <c r="X91" s="2">
        <f t="shared" si="22"/>
        <v>1796.7778082191783</v>
      </c>
      <c r="Y91" s="28">
        <f t="shared" si="23"/>
        <v>1832.7133643835618</v>
      </c>
      <c r="Z91" s="28">
        <f t="shared" si="24"/>
        <v>1868.6489205479454</v>
      </c>
      <c r="AA91">
        <v>27754</v>
      </c>
      <c r="AJ91" s="20">
        <v>71</v>
      </c>
      <c r="AK91" s="37" t="s">
        <v>4408</v>
      </c>
      <c r="AL91" s="37">
        <v>2648000</v>
      </c>
      <c r="AM91" s="20">
        <v>1</v>
      </c>
      <c r="AN91" s="11">
        <f t="shared" si="19"/>
        <v>1211</v>
      </c>
      <c r="AO91" s="37">
        <f t="shared" si="18"/>
        <v>3206728000</v>
      </c>
      <c r="AP91" s="20" t="s">
        <v>4409</v>
      </c>
      <c r="AW91" t="s">
        <v>25</v>
      </c>
    </row>
    <row r="92" spans="10:54">
      <c r="J92" s="2" t="s">
        <v>5415</v>
      </c>
      <c r="K92" s="377">
        <v>12297318</v>
      </c>
      <c r="N92" s="28" t="s">
        <v>6918</v>
      </c>
      <c r="O92" s="28"/>
      <c r="P92" s="11"/>
      <c r="Q92" s="350">
        <v>8453570</v>
      </c>
      <c r="R92" s="350">
        <v>28140133</v>
      </c>
      <c r="S92" s="3"/>
      <c r="T92" s="19" t="s">
        <v>5656</v>
      </c>
      <c r="U92" s="150">
        <f>U91-3</f>
        <v>667</v>
      </c>
      <c r="V92" s="145" t="s">
        <v>5657</v>
      </c>
      <c r="W92" s="2">
        <v>1148</v>
      </c>
      <c r="X92" s="2">
        <f t="shared" si="22"/>
        <v>1752.848175342466</v>
      </c>
      <c r="Y92" s="28">
        <f t="shared" si="23"/>
        <v>1787.9051388493153</v>
      </c>
      <c r="Z92" s="28">
        <f t="shared" si="24"/>
        <v>1822.9621023561647</v>
      </c>
      <c r="AA92">
        <v>8020</v>
      </c>
      <c r="AJ92" s="20">
        <v>72</v>
      </c>
      <c r="AK92" s="37" t="s">
        <v>4181</v>
      </c>
      <c r="AL92" s="37">
        <v>615000</v>
      </c>
      <c r="AM92" s="20">
        <v>4</v>
      </c>
      <c r="AN92" s="11">
        <f t="shared" si="19"/>
        <v>1210</v>
      </c>
      <c r="AO92" s="37">
        <f t="shared" si="18"/>
        <v>744150000</v>
      </c>
      <c r="AP92" s="20"/>
      <c r="AX92" t="s">
        <v>25</v>
      </c>
    </row>
    <row r="93" spans="10:54">
      <c r="J93" s="2" t="s">
        <v>5416</v>
      </c>
      <c r="K93" s="377">
        <v>8959644</v>
      </c>
      <c r="N93" s="28" t="s">
        <v>6889</v>
      </c>
      <c r="O93" s="28"/>
      <c r="P93" s="11"/>
      <c r="Q93" s="350">
        <v>8482269</v>
      </c>
      <c r="R93" s="350">
        <v>26967121</v>
      </c>
      <c r="S93" s="3"/>
      <c r="T93" s="19" t="s">
        <v>5660</v>
      </c>
      <c r="U93" s="150">
        <f>U92-1</f>
        <v>666</v>
      </c>
      <c r="V93" s="145" t="s">
        <v>5661</v>
      </c>
      <c r="W93" s="2">
        <v>1141</v>
      </c>
      <c r="X93" s="2">
        <f t="shared" si="22"/>
        <v>1741.2847890410958</v>
      </c>
      <c r="Y93" s="28">
        <f t="shared" si="23"/>
        <v>1776.1104848219177</v>
      </c>
      <c r="Z93" s="28">
        <f t="shared" si="24"/>
        <v>1810.9361806027398</v>
      </c>
      <c r="AA93">
        <v>3695</v>
      </c>
      <c r="AJ93" s="20">
        <v>73</v>
      </c>
      <c r="AK93" s="37" t="s">
        <v>4419</v>
      </c>
      <c r="AL93" s="37">
        <v>14000000</v>
      </c>
      <c r="AM93" s="20">
        <v>2</v>
      </c>
      <c r="AN93" s="11">
        <f>AN94+AM93</f>
        <v>1206</v>
      </c>
      <c r="AO93" s="37">
        <f t="shared" si="18"/>
        <v>16884000000</v>
      </c>
      <c r="AP93" s="20"/>
    </row>
    <row r="94" spans="10:54">
      <c r="J94" s="2" t="s">
        <v>5417</v>
      </c>
      <c r="K94" s="3">
        <v>15154095.839328</v>
      </c>
      <c r="N94" s="28" t="s">
        <v>6888</v>
      </c>
      <c r="O94" s="28"/>
      <c r="P94" s="11"/>
      <c r="Q94" s="350">
        <v>8642567</v>
      </c>
      <c r="R94" s="350">
        <v>26783008</v>
      </c>
      <c r="S94" s="3"/>
      <c r="T94" s="19" t="s">
        <v>5658</v>
      </c>
      <c r="U94" s="150">
        <f>U93-1</f>
        <v>665</v>
      </c>
      <c r="V94" s="145" t="s">
        <v>6833</v>
      </c>
      <c r="W94" s="2">
        <v>1171</v>
      </c>
      <c r="X94" s="2">
        <f t="shared" si="22"/>
        <v>1786.1696109589043</v>
      </c>
      <c r="Y94" s="28">
        <f t="shared" si="23"/>
        <v>1821.8930031780824</v>
      </c>
      <c r="Z94" s="28">
        <f t="shared" si="24"/>
        <v>1857.6163953972605</v>
      </c>
      <c r="AA94">
        <v>26580</v>
      </c>
      <c r="AJ94" s="20">
        <v>74</v>
      </c>
      <c r="AK94" s="37" t="s">
        <v>4423</v>
      </c>
      <c r="AL94" s="37">
        <v>1313000</v>
      </c>
      <c r="AM94" s="20">
        <v>0</v>
      </c>
      <c r="AN94" s="11">
        <f>AN95+AM94</f>
        <v>1204</v>
      </c>
      <c r="AO94" s="37">
        <f t="shared" si="18"/>
        <v>1580852000</v>
      </c>
      <c r="AP94" s="20"/>
      <c r="AS94" t="s">
        <v>25</v>
      </c>
    </row>
    <row r="95" spans="10:54">
      <c r="J95" s="2" t="s">
        <v>5422</v>
      </c>
      <c r="K95" s="3">
        <v>4108143</v>
      </c>
      <c r="N95" s="28" t="s">
        <v>6868</v>
      </c>
      <c r="O95" s="28"/>
      <c r="P95" s="11"/>
      <c r="Q95" s="350">
        <v>8644960</v>
      </c>
      <c r="R95" s="350">
        <v>22891512</v>
      </c>
      <c r="S95" s="3"/>
      <c r="T95" s="19" t="s">
        <v>5716</v>
      </c>
      <c r="U95" s="150">
        <f>U94-65</f>
        <v>600</v>
      </c>
      <c r="V95" s="145" t="s">
        <v>5717</v>
      </c>
      <c r="W95" s="2">
        <v>1255.0999999999999</v>
      </c>
      <c r="X95" s="2">
        <f t="shared" si="22"/>
        <v>1851.8673830136984</v>
      </c>
      <c r="Y95" s="28">
        <f t="shared" si="23"/>
        <v>1888.9047306739724</v>
      </c>
      <c r="Z95" s="28">
        <f t="shared" si="24"/>
        <v>1925.9420783342464</v>
      </c>
      <c r="AC95">
        <v>80580</v>
      </c>
      <c r="AJ95" s="11">
        <v>75</v>
      </c>
      <c r="AK95" s="3" t="s">
        <v>4423</v>
      </c>
      <c r="AL95" s="3">
        <v>2269000</v>
      </c>
      <c r="AM95" s="11">
        <v>1</v>
      </c>
      <c r="AN95" s="11">
        <f t="shared" ref="AN95:AN120" si="25">AN96+AM95</f>
        <v>1204</v>
      </c>
      <c r="AO95" s="37">
        <f t="shared" si="18"/>
        <v>2731876000</v>
      </c>
      <c r="AP95" s="11"/>
    </row>
    <row r="96" spans="10:54">
      <c r="J96" s="2" t="s">
        <v>5424</v>
      </c>
      <c r="K96" s="3">
        <v>6000000</v>
      </c>
      <c r="N96" s="28" t="s">
        <v>6865</v>
      </c>
      <c r="O96" s="28"/>
      <c r="P96" s="11"/>
      <c r="Q96" s="350">
        <v>8805601</v>
      </c>
      <c r="R96" s="350">
        <v>23027738</v>
      </c>
      <c r="S96" s="3"/>
      <c r="T96" s="19" t="s">
        <v>6711</v>
      </c>
      <c r="U96" s="150">
        <f>U110-1169</f>
        <v>331</v>
      </c>
      <c r="V96" s="145" t="s">
        <v>6714</v>
      </c>
      <c r="W96" s="2">
        <v>436.6</v>
      </c>
      <c r="X96" s="2">
        <f t="shared" si="22"/>
        <v>554.09683506849331</v>
      </c>
      <c r="Y96" s="28">
        <f t="shared" si="23"/>
        <v>565.17877176986315</v>
      </c>
      <c r="Z96" s="28">
        <f t="shared" si="24"/>
        <v>576.2607084712331</v>
      </c>
      <c r="AC96">
        <v>2217</v>
      </c>
      <c r="AJ96" s="11">
        <v>76</v>
      </c>
      <c r="AK96" s="3" t="s">
        <v>4182</v>
      </c>
      <c r="AL96" s="3">
        <v>750000</v>
      </c>
      <c r="AM96" s="11">
        <v>4</v>
      </c>
      <c r="AN96" s="11">
        <f t="shared" si="25"/>
        <v>1203</v>
      </c>
      <c r="AO96" s="37">
        <f t="shared" ref="AO96:AO120" si="26">AL96*AN96</f>
        <v>902250000</v>
      </c>
      <c r="AP96" s="11"/>
      <c r="AS96" t="s">
        <v>25</v>
      </c>
    </row>
    <row r="97" spans="10:44">
      <c r="J97" s="2" t="s">
        <v>5428</v>
      </c>
      <c r="K97" s="3">
        <v>8301786</v>
      </c>
      <c r="N97" s="28" t="s">
        <v>6842</v>
      </c>
      <c r="O97" s="28"/>
      <c r="P97" s="11"/>
      <c r="Q97" s="350">
        <v>8781893</v>
      </c>
      <c r="R97" s="350">
        <v>22935150</v>
      </c>
      <c r="S97" s="3"/>
      <c r="T97" s="19" t="s">
        <v>6944</v>
      </c>
      <c r="U97" s="150">
        <f>U110-1471</f>
        <v>29</v>
      </c>
      <c r="V97" s="145" t="s">
        <v>6945</v>
      </c>
      <c r="W97" s="2">
        <v>379.6</v>
      </c>
      <c r="X97" s="2">
        <f t="shared" si="22"/>
        <v>393.81472000000002</v>
      </c>
      <c r="Y97" s="28">
        <f t="shared" si="23"/>
        <v>401.69101440000003</v>
      </c>
      <c r="Z97" s="28">
        <f t="shared" si="24"/>
        <v>409.56730880000003</v>
      </c>
      <c r="AB97">
        <v>39404</v>
      </c>
      <c r="AJ97" s="11">
        <v>77</v>
      </c>
      <c r="AK97" s="3" t="s">
        <v>4428</v>
      </c>
      <c r="AL97" s="3">
        <v>1900000</v>
      </c>
      <c r="AM97" s="11">
        <v>3</v>
      </c>
      <c r="AN97" s="11">
        <f t="shared" si="25"/>
        <v>1199</v>
      </c>
      <c r="AO97" s="37">
        <f t="shared" si="26"/>
        <v>2278100000</v>
      </c>
      <c r="AP97" s="11"/>
    </row>
    <row r="98" spans="10:44">
      <c r="J98" s="2" t="s">
        <v>5432</v>
      </c>
      <c r="K98" s="3">
        <v>50725508.571864001</v>
      </c>
      <c r="N98" s="28" t="s">
        <v>6841</v>
      </c>
      <c r="O98" s="28"/>
      <c r="P98" s="11"/>
      <c r="Q98" s="350">
        <v>8795917</v>
      </c>
      <c r="R98" s="350">
        <v>22289254</v>
      </c>
      <c r="S98" s="3"/>
      <c r="T98" s="19" t="s">
        <v>6985</v>
      </c>
      <c r="U98" s="150">
        <f>U110-1507</f>
        <v>-7</v>
      </c>
      <c r="V98" s="145" t="s">
        <v>6986</v>
      </c>
      <c r="W98" s="2">
        <v>374</v>
      </c>
      <c r="X98" s="2">
        <f t="shared" si="22"/>
        <v>377.67647123287674</v>
      </c>
      <c r="Y98" s="28">
        <f t="shared" si="23"/>
        <v>385.23000065753428</v>
      </c>
      <c r="Z98" s="28">
        <f t="shared" si="24"/>
        <v>392.78353008219182</v>
      </c>
      <c r="AB98">
        <v>1476</v>
      </c>
      <c r="AJ98" s="11">
        <v>78</v>
      </c>
      <c r="AK98" s="3" t="s">
        <v>4441</v>
      </c>
      <c r="AL98" s="3">
        <v>6400000</v>
      </c>
      <c r="AM98" s="11">
        <v>1</v>
      </c>
      <c r="AN98" s="11">
        <f t="shared" si="25"/>
        <v>1196</v>
      </c>
      <c r="AO98" s="37">
        <f t="shared" si="26"/>
        <v>7654400000</v>
      </c>
      <c r="AP98" s="11"/>
    </row>
    <row r="99" spans="10:44">
      <c r="J99" s="2" t="s">
        <v>5433</v>
      </c>
      <c r="K99" s="3">
        <v>2281961.458596</v>
      </c>
      <c r="N99" s="28" t="s">
        <v>6835</v>
      </c>
      <c r="O99" s="28"/>
      <c r="P99" s="11"/>
      <c r="Q99" s="350">
        <v>8867443</v>
      </c>
      <c r="R99" s="350">
        <v>22669798</v>
      </c>
      <c r="S99" s="3"/>
      <c r="T99" s="19" t="s">
        <v>7045</v>
      </c>
      <c r="U99" s="150">
        <f>U110-1562</f>
        <v>-62</v>
      </c>
      <c r="V99" s="145" t="s">
        <v>7046</v>
      </c>
      <c r="W99" s="2">
        <v>1870</v>
      </c>
      <c r="X99" s="2">
        <f t="shared" si="22"/>
        <v>1809.4837260273973</v>
      </c>
      <c r="Y99" s="28">
        <f t="shared" si="23"/>
        <v>1845.6734005479452</v>
      </c>
      <c r="Z99" s="28">
        <f t="shared" si="24"/>
        <v>1881.8630750684933</v>
      </c>
      <c r="AA99">
        <v>1592</v>
      </c>
      <c r="AJ99" s="11">
        <v>79</v>
      </c>
      <c r="AK99" s="3" t="s">
        <v>4439</v>
      </c>
      <c r="AL99" s="3">
        <v>5000</v>
      </c>
      <c r="AM99" s="11">
        <v>5</v>
      </c>
      <c r="AN99" s="11">
        <f t="shared" si="25"/>
        <v>1195</v>
      </c>
      <c r="AO99" s="37">
        <f t="shared" si="26"/>
        <v>5975000</v>
      </c>
      <c r="AP99" s="11"/>
      <c r="AR99" t="s">
        <v>25</v>
      </c>
    </row>
    <row r="100" spans="10:44">
      <c r="J100" s="2" t="s">
        <v>5440</v>
      </c>
      <c r="K100" s="3">
        <v>10998285</v>
      </c>
      <c r="N100" s="28" t="s">
        <v>6824</v>
      </c>
      <c r="O100" s="28"/>
      <c r="P100" s="11"/>
      <c r="Q100" s="350">
        <v>8821867</v>
      </c>
      <c r="R100" s="350">
        <v>23080898</v>
      </c>
      <c r="S100" s="3"/>
      <c r="T100" s="19"/>
      <c r="U100" s="150"/>
      <c r="V100" s="145"/>
      <c r="W100" s="2"/>
      <c r="X100" s="2">
        <f t="shared" si="22"/>
        <v>0</v>
      </c>
      <c r="Y100" s="28">
        <f>X100*(1+$Y$19/100)</f>
        <v>0</v>
      </c>
      <c r="Z100" s="28">
        <f>X100*(1+$Z$19/100)</f>
        <v>0</v>
      </c>
      <c r="AJ100" s="11">
        <v>80</v>
      </c>
      <c r="AK100" s="3" t="s">
        <v>4464</v>
      </c>
      <c r="AL100" s="3">
        <v>-1750148</v>
      </c>
      <c r="AM100" s="11">
        <v>1</v>
      </c>
      <c r="AN100" s="11">
        <f t="shared" si="25"/>
        <v>1190</v>
      </c>
      <c r="AO100" s="37">
        <f t="shared" si="26"/>
        <v>-2082676120</v>
      </c>
      <c r="AP100" s="11"/>
    </row>
    <row r="101" spans="10:44">
      <c r="J101" s="2" t="s">
        <v>5441</v>
      </c>
      <c r="K101" s="3">
        <v>983018.96187300002</v>
      </c>
      <c r="P101" s="35"/>
      <c r="Q101" s="255"/>
      <c r="R101" s="35"/>
      <c r="S101" s="3"/>
      <c r="T101" s="2"/>
      <c r="U101" s="3"/>
      <c r="V101" s="3"/>
      <c r="W101" s="2" t="s">
        <v>25</v>
      </c>
      <c r="X101" s="2" t="e">
        <f t="shared" si="22"/>
        <v>#VALUE!</v>
      </c>
      <c r="Y101" s="28" t="e">
        <f>X101*(1+$Y$19/100)</f>
        <v>#VALUE!</v>
      </c>
      <c r="Z101" s="28" t="e">
        <f>X101*(1+$Z$19/100)</f>
        <v>#VALUE!</v>
      </c>
      <c r="AB101" t="s">
        <v>25</v>
      </c>
      <c r="AJ101" s="11">
        <v>81</v>
      </c>
      <c r="AK101" s="3" t="s">
        <v>4467</v>
      </c>
      <c r="AL101" s="3">
        <v>400000</v>
      </c>
      <c r="AM101" s="11">
        <v>0</v>
      </c>
      <c r="AN101" s="11">
        <f t="shared" si="25"/>
        <v>1189</v>
      </c>
      <c r="AO101" s="37">
        <f t="shared" si="26"/>
        <v>475600000</v>
      </c>
      <c r="AP101" s="11"/>
    </row>
    <row r="102" spans="10:44">
      <c r="J102" s="2" t="s">
        <v>5443</v>
      </c>
      <c r="K102" s="3">
        <v>17049271.032000002</v>
      </c>
      <c r="P102" s="35"/>
      <c r="Q102" s="35"/>
      <c r="R102" s="35"/>
      <c r="S102" s="3">
        <f>SUM(N38:N38)-SUM(S79:S101)</f>
        <v>11052173.7462979</v>
      </c>
      <c r="T102" s="2"/>
      <c r="U102" s="2"/>
      <c r="V102" s="2"/>
      <c r="W102" s="2"/>
      <c r="X102" s="2"/>
      <c r="Y102" s="28"/>
      <c r="Z102" s="28"/>
      <c r="AB102" t="s">
        <v>25</v>
      </c>
      <c r="AC102" t="s">
        <v>25</v>
      </c>
      <c r="AJ102" s="11">
        <v>82</v>
      </c>
      <c r="AK102" s="3" t="s">
        <v>4467</v>
      </c>
      <c r="AL102" s="3">
        <v>-2105421</v>
      </c>
      <c r="AM102" s="11">
        <v>1</v>
      </c>
      <c r="AN102" s="11">
        <f t="shared" si="25"/>
        <v>1189</v>
      </c>
      <c r="AO102" s="37">
        <f t="shared" si="26"/>
        <v>-2503345569</v>
      </c>
      <c r="AP102" s="11"/>
      <c r="AQ102" t="s">
        <v>25</v>
      </c>
    </row>
    <row r="103" spans="10:44">
      <c r="J103" s="2" t="s">
        <v>5446</v>
      </c>
      <c r="K103" s="3">
        <v>6829998</v>
      </c>
      <c r="P103" s="35"/>
      <c r="Q103" s="35"/>
      <c r="V103" t="s">
        <v>25</v>
      </c>
      <c r="W103" t="s">
        <v>25</v>
      </c>
      <c r="X103" t="s">
        <v>25</v>
      </c>
      <c r="Y103" s="35" t="s">
        <v>25</v>
      </c>
      <c r="Z103" s="35"/>
      <c r="AC103" t="s">
        <v>25</v>
      </c>
      <c r="AJ103" s="11">
        <v>83</v>
      </c>
      <c r="AK103" s="3" t="s">
        <v>4470</v>
      </c>
      <c r="AL103" s="3">
        <v>-5527618</v>
      </c>
      <c r="AM103" s="11">
        <v>0</v>
      </c>
      <c r="AN103" s="11">
        <f t="shared" si="25"/>
        <v>1188</v>
      </c>
      <c r="AO103" s="37">
        <f t="shared" si="26"/>
        <v>-6566810184</v>
      </c>
      <c r="AP103" s="11"/>
    </row>
    <row r="104" spans="10:44">
      <c r="J104" s="2" t="s">
        <v>4185</v>
      </c>
      <c r="K104" s="3">
        <v>6982608.8207999999</v>
      </c>
      <c r="P104" s="35"/>
      <c r="S104" s="11" t="s">
        <v>912</v>
      </c>
      <c r="T104" s="11">
        <v>1.03E-2</v>
      </c>
      <c r="U104" s="25" t="s">
        <v>25</v>
      </c>
      <c r="V104" t="s">
        <v>25</v>
      </c>
      <c r="W104" t="s">
        <v>25</v>
      </c>
      <c r="X104" t="s">
        <v>25</v>
      </c>
      <c r="Y104" s="35" t="s">
        <v>25</v>
      </c>
      <c r="Z104" s="35"/>
      <c r="AB104" t="s">
        <v>25</v>
      </c>
      <c r="AJ104" s="11">
        <v>84</v>
      </c>
      <c r="AK104" s="3" t="s">
        <v>4470</v>
      </c>
      <c r="AL104" s="3">
        <v>3900000</v>
      </c>
      <c r="AM104" s="11">
        <v>3</v>
      </c>
      <c r="AN104" s="11">
        <f t="shared" si="25"/>
        <v>1188</v>
      </c>
      <c r="AO104" s="37">
        <f t="shared" si="26"/>
        <v>4633200000</v>
      </c>
      <c r="AP104" s="11"/>
    </row>
    <row r="105" spans="10:44">
      <c r="J105" s="2" t="s">
        <v>5463</v>
      </c>
      <c r="K105" s="3">
        <v>7510131.0216000006</v>
      </c>
      <c r="O105"/>
      <c r="R105" s="7"/>
      <c r="S105" s="11" t="s">
        <v>61</v>
      </c>
      <c r="T105" s="11">
        <v>4.8999999999999998E-3</v>
      </c>
      <c r="V105" s="7" t="s">
        <v>25</v>
      </c>
      <c r="W105" t="s">
        <v>25</v>
      </c>
      <c r="X105" t="s">
        <v>25</v>
      </c>
      <c r="Y105" s="35" t="s">
        <v>25</v>
      </c>
      <c r="Z105" s="35" t="s">
        <v>25</v>
      </c>
      <c r="AJ105" s="11">
        <v>85</v>
      </c>
      <c r="AK105" s="3" t="s">
        <v>4471</v>
      </c>
      <c r="AL105" s="3">
        <v>-3969754</v>
      </c>
      <c r="AM105" s="11">
        <v>1</v>
      </c>
      <c r="AN105" s="11">
        <f t="shared" si="25"/>
        <v>1185</v>
      </c>
      <c r="AO105" s="37">
        <f t="shared" si="26"/>
        <v>-4704158490</v>
      </c>
      <c r="AP105" s="11"/>
    </row>
    <row r="106" spans="10:44">
      <c r="J106" s="2" t="s">
        <v>5469</v>
      </c>
      <c r="K106" s="3">
        <v>10397191</v>
      </c>
      <c r="O106"/>
      <c r="R106" s="7"/>
      <c r="S106" s="11" t="s">
        <v>6</v>
      </c>
      <c r="T106" s="11">
        <f>T104+T105</f>
        <v>1.52E-2</v>
      </c>
      <c r="V106" t="s">
        <v>25</v>
      </c>
      <c r="W106" t="s">
        <v>25</v>
      </c>
      <c r="X106" t="s">
        <v>25</v>
      </c>
      <c r="Y106" s="35"/>
      <c r="Z106" s="35"/>
      <c r="AC106" t="s">
        <v>25</v>
      </c>
      <c r="AJ106" s="11">
        <v>86</v>
      </c>
      <c r="AK106" s="3" t="s">
        <v>4480</v>
      </c>
      <c r="AL106" s="3">
        <v>-25574455</v>
      </c>
      <c r="AM106" s="11">
        <v>0</v>
      </c>
      <c r="AN106" s="11">
        <f t="shared" si="25"/>
        <v>1184</v>
      </c>
      <c r="AO106" s="37">
        <f t="shared" si="26"/>
        <v>-30280154720</v>
      </c>
      <c r="AP106" s="11"/>
      <c r="AR106" t="s">
        <v>25</v>
      </c>
    </row>
    <row r="107" spans="10:44">
      <c r="J107" s="2" t="s">
        <v>5477</v>
      </c>
      <c r="K107" s="3">
        <v>195059.35799999998</v>
      </c>
      <c r="O107"/>
      <c r="R107" s="7"/>
      <c r="Y107" s="35"/>
      <c r="Z107" s="35"/>
      <c r="AC107" t="s">
        <v>25</v>
      </c>
      <c r="AJ107" s="11">
        <v>87</v>
      </c>
      <c r="AK107" s="3" t="s">
        <v>4480</v>
      </c>
      <c r="AL107" s="3">
        <v>4000000</v>
      </c>
      <c r="AM107" s="11">
        <v>1</v>
      </c>
      <c r="AN107" s="11">
        <f t="shared" si="25"/>
        <v>1184</v>
      </c>
      <c r="AO107" s="37">
        <f t="shared" si="26"/>
        <v>4736000000</v>
      </c>
      <c r="AP107" s="11"/>
    </row>
    <row r="108" spans="10:44" ht="30">
      <c r="J108" s="2" t="s">
        <v>5481</v>
      </c>
      <c r="K108" s="3">
        <v>744082</v>
      </c>
      <c r="O108"/>
      <c r="R108" s="7"/>
      <c r="S108" s="60" t="s">
        <v>4243</v>
      </c>
      <c r="T108" s="2"/>
      <c r="U108" s="2"/>
      <c r="V108" s="2"/>
      <c r="W108" s="2" t="s">
        <v>4304</v>
      </c>
      <c r="X108" s="32" t="s">
        <v>4306</v>
      </c>
      <c r="Y108" s="28"/>
      <c r="Z108" s="28"/>
      <c r="AJ108" s="11">
        <v>88</v>
      </c>
      <c r="AK108" s="3" t="s">
        <v>957</v>
      </c>
      <c r="AL108" s="3">
        <v>-5000000</v>
      </c>
      <c r="AM108" s="11">
        <v>2</v>
      </c>
      <c r="AN108" s="11">
        <f t="shared" si="25"/>
        <v>1183</v>
      </c>
      <c r="AO108" s="37">
        <f t="shared" si="26"/>
        <v>-5915000000</v>
      </c>
      <c r="AP108" s="11"/>
    </row>
    <row r="109" spans="10:44">
      <c r="J109" s="2" t="s">
        <v>5483</v>
      </c>
      <c r="K109" s="3">
        <v>920308.446</v>
      </c>
      <c r="O109"/>
      <c r="R109" s="7"/>
      <c r="S109" s="2" t="s">
        <v>267</v>
      </c>
      <c r="T109" s="2" t="s">
        <v>180</v>
      </c>
      <c r="U109" s="2" t="s">
        <v>183</v>
      </c>
      <c r="V109" s="2" t="s">
        <v>8</v>
      </c>
      <c r="W109" s="2"/>
      <c r="X109" s="11"/>
      <c r="Y109" s="28">
        <v>2</v>
      </c>
      <c r="Z109" s="28">
        <v>4</v>
      </c>
      <c r="AJ109" s="11">
        <v>89</v>
      </c>
      <c r="AK109" s="3" t="s">
        <v>4483</v>
      </c>
      <c r="AL109" s="3">
        <v>10000000</v>
      </c>
      <c r="AM109" s="11">
        <v>4</v>
      </c>
      <c r="AN109" s="11">
        <f t="shared" si="25"/>
        <v>1181</v>
      </c>
      <c r="AO109" s="37">
        <f t="shared" si="26"/>
        <v>11810000000</v>
      </c>
      <c r="AP109" s="11"/>
    </row>
    <row r="110" spans="10:44">
      <c r="J110" s="2" t="s">
        <v>5484</v>
      </c>
      <c r="K110" s="3">
        <v>4635809.8416840006</v>
      </c>
      <c r="O110"/>
      <c r="S110" s="31">
        <v>38474780.062005915</v>
      </c>
      <c r="T110" s="5" t="s">
        <v>4125</v>
      </c>
      <c r="U110" s="5">
        <v>1500</v>
      </c>
      <c r="V110" s="5" t="s">
        <v>5501</v>
      </c>
      <c r="W110" s="2">
        <v>192</v>
      </c>
      <c r="X110" s="11">
        <f t="shared" ref="X110:X140" si="27">W110*(1+$T$106+$R$14*U110/36500)</f>
        <v>415.84990684931512</v>
      </c>
      <c r="Y110" s="28">
        <f t="shared" ref="Y110:Y140" si="28">X110*(1+$Y$19/100)</f>
        <v>424.1669049863014</v>
      </c>
      <c r="Z110" s="28">
        <f t="shared" ref="Z110:Z140" si="29">X110*(1+$Z$19/100)</f>
        <v>432.48390312328775</v>
      </c>
      <c r="AA110">
        <v>165762</v>
      </c>
      <c r="AE110" t="s">
        <v>25</v>
      </c>
      <c r="AJ110" s="11">
        <v>90</v>
      </c>
      <c r="AK110" s="3" t="s">
        <v>4485</v>
      </c>
      <c r="AL110" s="3">
        <v>-5241937</v>
      </c>
      <c r="AM110" s="11">
        <v>0</v>
      </c>
      <c r="AN110" s="11">
        <f t="shared" si="25"/>
        <v>1177</v>
      </c>
      <c r="AO110" s="37">
        <f t="shared" si="26"/>
        <v>-6169759849</v>
      </c>
      <c r="AP110" s="11"/>
    </row>
    <row r="111" spans="10:44">
      <c r="J111" s="2" t="s">
        <v>5512</v>
      </c>
      <c r="K111" s="3">
        <v>58508002.009000003</v>
      </c>
      <c r="O111"/>
      <c r="S111" s="3"/>
      <c r="T111" s="2" t="s">
        <v>5674</v>
      </c>
      <c r="U111" s="2">
        <f>-124</f>
        <v>-124</v>
      </c>
      <c r="V111" s="2" t="s">
        <v>5677</v>
      </c>
      <c r="W111" s="2">
        <v>1354.1</v>
      </c>
      <c r="X111" s="11">
        <f t="shared" si="27"/>
        <v>1245.8758761643835</v>
      </c>
      <c r="Y111" s="28">
        <f t="shared" si="28"/>
        <v>1270.7933936876711</v>
      </c>
      <c r="Z111" s="28">
        <f t="shared" si="29"/>
        <v>1295.7109112109588</v>
      </c>
      <c r="AB111">
        <v>22000</v>
      </c>
      <c r="AC111">
        <f t="shared" ref="AC111:AC116" si="30">AB111*3</f>
        <v>66000</v>
      </c>
      <c r="AJ111" s="11">
        <v>91</v>
      </c>
      <c r="AK111" s="3" t="s">
        <v>4485</v>
      </c>
      <c r="AL111" s="3">
        <v>21900000</v>
      </c>
      <c r="AM111" s="11">
        <v>2</v>
      </c>
      <c r="AN111" s="11">
        <f t="shared" si="25"/>
        <v>1177</v>
      </c>
      <c r="AO111" s="37">
        <f t="shared" si="26"/>
        <v>25776300000</v>
      </c>
      <c r="AP111" s="11"/>
      <c r="AR111" t="s">
        <v>25</v>
      </c>
    </row>
    <row r="112" spans="10:44">
      <c r="J112" s="2" t="s">
        <v>5514</v>
      </c>
      <c r="K112" s="3">
        <v>2245515.5410799999</v>
      </c>
      <c r="S112" s="3"/>
      <c r="T112" s="2" t="s">
        <v>5678</v>
      </c>
      <c r="U112" s="2">
        <f>U111-8</f>
        <v>-132</v>
      </c>
      <c r="V112" s="2" t="s">
        <v>5693</v>
      </c>
      <c r="W112" s="2">
        <v>1266</v>
      </c>
      <c r="X112" s="11">
        <f t="shared" si="27"/>
        <v>1157.0476931506851</v>
      </c>
      <c r="Y112" s="28">
        <f t="shared" si="28"/>
        <v>1180.1886470136988</v>
      </c>
      <c r="Z112" s="28">
        <f t="shared" si="29"/>
        <v>1203.3296008767124</v>
      </c>
      <c r="AB112">
        <v>62174</v>
      </c>
      <c r="AC112">
        <f t="shared" si="30"/>
        <v>186522</v>
      </c>
      <c r="AJ112" s="11">
        <v>92</v>
      </c>
      <c r="AK112" s="3" t="s">
        <v>4492</v>
      </c>
      <c r="AL112" s="3">
        <v>-15000000</v>
      </c>
      <c r="AM112" s="11">
        <v>0</v>
      </c>
      <c r="AN112" s="11">
        <f t="shared" si="25"/>
        <v>1175</v>
      </c>
      <c r="AO112" s="37">
        <f t="shared" si="26"/>
        <v>-17625000000</v>
      </c>
      <c r="AP112" s="11"/>
      <c r="AQ112" t="s">
        <v>25</v>
      </c>
    </row>
    <row r="113" spans="9:45">
      <c r="J113" s="2" t="s">
        <v>5516</v>
      </c>
      <c r="K113" s="3">
        <v>18404699.3442</v>
      </c>
      <c r="Q113" s="7"/>
      <c r="S113" s="3"/>
      <c r="T113" s="2" t="s">
        <v>5694</v>
      </c>
      <c r="U113" s="2">
        <f>U112-13</f>
        <v>-145</v>
      </c>
      <c r="V113" s="2" t="s">
        <v>6162</v>
      </c>
      <c r="W113" s="2">
        <v>1275</v>
      </c>
      <c r="X113" s="11">
        <f t="shared" si="27"/>
        <v>1152.5580821917811</v>
      </c>
      <c r="Y113" s="28">
        <f t="shared" si="28"/>
        <v>1175.6092438356168</v>
      </c>
      <c r="Z113" s="28">
        <f t="shared" si="29"/>
        <v>1198.6604054794523</v>
      </c>
      <c r="AB113">
        <v>6826</v>
      </c>
      <c r="AC113">
        <f t="shared" si="30"/>
        <v>20478</v>
      </c>
      <c r="AJ113" s="11">
        <v>93</v>
      </c>
      <c r="AK113" s="3" t="s">
        <v>4492</v>
      </c>
      <c r="AL113" s="3">
        <v>3000000</v>
      </c>
      <c r="AM113" s="11">
        <v>1</v>
      </c>
      <c r="AN113" s="11">
        <f t="shared" si="25"/>
        <v>1175</v>
      </c>
      <c r="AO113" s="37">
        <f t="shared" si="26"/>
        <v>3525000000</v>
      </c>
      <c r="AP113" s="11"/>
    </row>
    <row r="114" spans="9:45">
      <c r="I114" t="s">
        <v>5394</v>
      </c>
      <c r="J114" s="2" t="s">
        <v>5519</v>
      </c>
      <c r="K114" s="3">
        <v>2264658.5922190002</v>
      </c>
      <c r="S114" s="3"/>
      <c r="T114" s="2" t="s">
        <v>6163</v>
      </c>
      <c r="U114" s="2">
        <f>U113-117</f>
        <v>-262</v>
      </c>
      <c r="V114" s="2" t="s">
        <v>6164</v>
      </c>
      <c r="W114" s="2">
        <v>1310</v>
      </c>
      <c r="X114" s="11">
        <f t="shared" si="27"/>
        <v>1066.6199452054798</v>
      </c>
      <c r="Y114" s="28">
        <f t="shared" si="28"/>
        <v>1087.9523441095894</v>
      </c>
      <c r="Z114" s="28">
        <f t="shared" si="29"/>
        <v>1109.284743013699</v>
      </c>
      <c r="AB114">
        <v>22240</v>
      </c>
      <c r="AC114">
        <f t="shared" si="30"/>
        <v>66720</v>
      </c>
      <c r="AJ114" s="11">
        <v>94</v>
      </c>
      <c r="AK114" s="3" t="s">
        <v>4495</v>
      </c>
      <c r="AL114" s="3">
        <v>-2103736</v>
      </c>
      <c r="AM114" s="11">
        <v>0</v>
      </c>
      <c r="AN114" s="11">
        <f t="shared" si="25"/>
        <v>1174</v>
      </c>
      <c r="AO114" s="37">
        <f t="shared" si="26"/>
        <v>-2469786064</v>
      </c>
      <c r="AP114" s="11"/>
    </row>
    <row r="115" spans="9:45">
      <c r="I115" s="225" t="s">
        <v>5395</v>
      </c>
      <c r="J115" s="2" t="s">
        <v>5521</v>
      </c>
      <c r="K115" s="3">
        <v>22877413.789960001</v>
      </c>
      <c r="S115" s="3"/>
      <c r="T115" s="2" t="s">
        <v>6169</v>
      </c>
      <c r="U115" s="2">
        <f>U114-4</f>
        <v>-266</v>
      </c>
      <c r="V115" s="2" t="s">
        <v>6286</v>
      </c>
      <c r="W115" s="2">
        <v>1388</v>
      </c>
      <c r="X115" s="11">
        <f t="shared" si="27"/>
        <v>1125.8695452054797</v>
      </c>
      <c r="Y115" s="28">
        <f t="shared" si="28"/>
        <v>1148.3869361095892</v>
      </c>
      <c r="Z115" s="28">
        <f t="shared" si="29"/>
        <v>1170.9043270136988</v>
      </c>
      <c r="AB115">
        <v>356260</v>
      </c>
      <c r="AC115">
        <f t="shared" si="30"/>
        <v>1068780</v>
      </c>
      <c r="AJ115" s="11">
        <v>95</v>
      </c>
      <c r="AK115" s="3" t="s">
        <v>4495</v>
      </c>
      <c r="AL115" s="3">
        <v>220000</v>
      </c>
      <c r="AM115" s="11">
        <v>3</v>
      </c>
      <c r="AN115" s="11">
        <f t="shared" si="25"/>
        <v>1174</v>
      </c>
      <c r="AO115" s="37">
        <f t="shared" si="26"/>
        <v>258280000</v>
      </c>
      <c r="AP115" s="11"/>
    </row>
    <row r="116" spans="9:45">
      <c r="I116" t="s">
        <v>5396</v>
      </c>
      <c r="J116" s="2" t="s">
        <v>5524</v>
      </c>
      <c r="K116" s="3">
        <v>2362539.4373280001</v>
      </c>
      <c r="S116" s="3"/>
      <c r="T116" s="2" t="s">
        <v>6291</v>
      </c>
      <c r="U116" s="2">
        <f>U115-39</f>
        <v>-305</v>
      </c>
      <c r="V116" s="2" t="s">
        <v>6586</v>
      </c>
      <c r="W116" s="2">
        <v>1702</v>
      </c>
      <c r="X116" s="11">
        <f t="shared" si="27"/>
        <v>1329.6490301369865</v>
      </c>
      <c r="Y116" s="28">
        <f t="shared" si="28"/>
        <v>1356.2420107397263</v>
      </c>
      <c r="Z116" s="28">
        <f t="shared" si="29"/>
        <v>1382.8349913424661</v>
      </c>
      <c r="AB116">
        <v>1001</v>
      </c>
      <c r="AC116">
        <f t="shared" si="30"/>
        <v>3003</v>
      </c>
      <c r="AJ116" s="11">
        <v>96</v>
      </c>
      <c r="AK116" s="3" t="s">
        <v>4504</v>
      </c>
      <c r="AL116" s="3">
        <v>4000000</v>
      </c>
      <c r="AM116" s="11">
        <v>1</v>
      </c>
      <c r="AN116" s="11">
        <f t="shared" si="25"/>
        <v>1171</v>
      </c>
      <c r="AO116" s="37">
        <f t="shared" si="26"/>
        <v>4684000000</v>
      </c>
      <c r="AP116" s="11"/>
    </row>
    <row r="117" spans="9:45">
      <c r="I117" t="s">
        <v>4059</v>
      </c>
      <c r="J117" s="2" t="s">
        <v>5525</v>
      </c>
      <c r="K117" s="3">
        <v>16042676.656608</v>
      </c>
      <c r="S117" s="3"/>
      <c r="T117" s="2" t="s">
        <v>6589</v>
      </c>
      <c r="U117" s="2">
        <f>U110-1086</f>
        <v>414</v>
      </c>
      <c r="V117" s="2" t="s">
        <v>6772</v>
      </c>
      <c r="W117" s="2">
        <v>518</v>
      </c>
      <c r="X117" s="11">
        <f t="shared" si="27"/>
        <v>690.38472328767125</v>
      </c>
      <c r="Y117" s="28">
        <f t="shared" si="28"/>
        <v>704.19241775342471</v>
      </c>
      <c r="Z117" s="28">
        <f t="shared" si="29"/>
        <v>718.00011221917816</v>
      </c>
      <c r="AC117">
        <v>229715</v>
      </c>
      <c r="AJ117" s="11">
        <v>97</v>
      </c>
      <c r="AK117" s="3" t="s">
        <v>4508</v>
      </c>
      <c r="AL117" s="3">
        <v>-9000000</v>
      </c>
      <c r="AM117" s="11">
        <v>0</v>
      </c>
      <c r="AN117" s="11">
        <f t="shared" si="25"/>
        <v>1170</v>
      </c>
      <c r="AO117" s="37">
        <f t="shared" si="26"/>
        <v>-10530000000</v>
      </c>
      <c r="AP117" s="11"/>
      <c r="AR117" t="s">
        <v>25</v>
      </c>
    </row>
    <row r="118" spans="9:45">
      <c r="I118" t="s">
        <v>5397</v>
      </c>
      <c r="J118" s="2" t="s">
        <v>5526</v>
      </c>
      <c r="K118" s="3">
        <v>18403291.448284</v>
      </c>
      <c r="S118" s="3"/>
      <c r="T118" s="2" t="s">
        <v>6780</v>
      </c>
      <c r="U118" s="2">
        <f>U110-1296</f>
        <v>204</v>
      </c>
      <c r="V118" s="2" t="s">
        <v>6781</v>
      </c>
      <c r="W118" s="2">
        <v>531</v>
      </c>
      <c r="X118" s="11">
        <f t="shared" si="27"/>
        <v>622.16906301369863</v>
      </c>
      <c r="Y118" s="28">
        <f t="shared" si="28"/>
        <v>634.61244427397264</v>
      </c>
      <c r="Z118" s="28">
        <f t="shared" si="29"/>
        <v>647.05582553424665</v>
      </c>
      <c r="AC118">
        <v>152444</v>
      </c>
      <c r="AJ118" s="11">
        <v>98</v>
      </c>
      <c r="AK118" s="3" t="s">
        <v>4508</v>
      </c>
      <c r="AL118" s="3">
        <v>13900000</v>
      </c>
      <c r="AM118" s="11">
        <v>2</v>
      </c>
      <c r="AN118" s="11">
        <f t="shared" si="25"/>
        <v>1170</v>
      </c>
      <c r="AO118" s="37">
        <f t="shared" si="26"/>
        <v>16263000000</v>
      </c>
      <c r="AP118" s="11"/>
    </row>
    <row r="119" spans="9:45">
      <c r="I119" s="225" t="s">
        <v>5398</v>
      </c>
      <c r="J119" s="2" t="s">
        <v>5529</v>
      </c>
      <c r="K119" s="3">
        <v>10561447.246918</v>
      </c>
      <c r="S119" s="3"/>
      <c r="T119" s="2" t="s">
        <v>6782</v>
      </c>
      <c r="U119" s="2">
        <f>U110-1297</f>
        <v>203</v>
      </c>
      <c r="V119" s="2" t="s">
        <v>6783</v>
      </c>
      <c r="W119" s="2">
        <v>508</v>
      </c>
      <c r="X119" s="11">
        <f t="shared" si="27"/>
        <v>594.83042191780828</v>
      </c>
      <c r="Y119" s="28">
        <f t="shared" si="28"/>
        <v>606.72703035616451</v>
      </c>
      <c r="Z119" s="28">
        <f t="shared" si="29"/>
        <v>618.62363879452062</v>
      </c>
      <c r="AC119">
        <v>2680323</v>
      </c>
      <c r="AJ119" s="11">
        <v>99</v>
      </c>
      <c r="AK119" s="3" t="s">
        <v>4512</v>
      </c>
      <c r="AL119" s="3">
        <v>-8127577</v>
      </c>
      <c r="AM119" s="11">
        <v>1</v>
      </c>
      <c r="AN119" s="11">
        <f t="shared" si="25"/>
        <v>1168</v>
      </c>
      <c r="AO119" s="37">
        <f t="shared" si="26"/>
        <v>-9493009936</v>
      </c>
      <c r="AP119" s="11"/>
      <c r="AQ119" t="s">
        <v>25</v>
      </c>
      <c r="AS119" t="s">
        <v>25</v>
      </c>
    </row>
    <row r="120" spans="9:45">
      <c r="I120" t="s">
        <v>5399</v>
      </c>
      <c r="J120" s="2" t="s">
        <v>5530</v>
      </c>
      <c r="K120" s="3">
        <v>1226811.9176660001</v>
      </c>
      <c r="S120" s="3"/>
      <c r="T120" s="2" t="s">
        <v>6803</v>
      </c>
      <c r="U120" s="2">
        <f>U110-1310</f>
        <v>190</v>
      </c>
      <c r="V120" s="2" t="s">
        <v>6812</v>
      </c>
      <c r="W120" s="2">
        <v>523</v>
      </c>
      <c r="X120" s="11">
        <f t="shared" si="27"/>
        <v>607.1786410958905</v>
      </c>
      <c r="Y120" s="28">
        <f t="shared" si="28"/>
        <v>619.32221391780831</v>
      </c>
      <c r="Z120" s="28">
        <f t="shared" si="29"/>
        <v>631.46578673972613</v>
      </c>
      <c r="AC120">
        <v>85807</v>
      </c>
      <c r="AJ120" s="11">
        <v>100</v>
      </c>
      <c r="AK120" s="3" t="s">
        <v>3653</v>
      </c>
      <c r="AL120" s="3">
        <v>15792549</v>
      </c>
      <c r="AM120" s="11">
        <v>3</v>
      </c>
      <c r="AN120" s="11">
        <f t="shared" si="25"/>
        <v>1167</v>
      </c>
      <c r="AO120" s="37">
        <f t="shared" si="26"/>
        <v>18429904683</v>
      </c>
      <c r="AP120" s="11"/>
      <c r="AQ120" t="s">
        <v>25</v>
      </c>
      <c r="AR120" t="s">
        <v>25</v>
      </c>
    </row>
    <row r="121" spans="9:45">
      <c r="I121" t="s">
        <v>5400</v>
      </c>
      <c r="J121" s="2" t="s">
        <v>5531</v>
      </c>
      <c r="K121" s="3">
        <v>39373959.190266006</v>
      </c>
      <c r="S121" s="3"/>
      <c r="T121" s="2" t="s">
        <v>6815</v>
      </c>
      <c r="U121" s="2">
        <f>U110-1327</f>
        <v>173</v>
      </c>
      <c r="V121" s="2" t="s">
        <v>6816</v>
      </c>
      <c r="W121" s="2">
        <v>543</v>
      </c>
      <c r="X121" s="11">
        <f t="shared" si="27"/>
        <v>623.31639452054799</v>
      </c>
      <c r="Y121" s="28">
        <f t="shared" si="28"/>
        <v>635.78272241095897</v>
      </c>
      <c r="Z121" s="28">
        <f t="shared" si="29"/>
        <v>648.24905030136995</v>
      </c>
      <c r="AC121">
        <v>286772</v>
      </c>
      <c r="AJ121" s="11">
        <v>101</v>
      </c>
      <c r="AK121" s="3" t="s">
        <v>4516</v>
      </c>
      <c r="AL121" s="3">
        <v>8800000</v>
      </c>
      <c r="AM121" s="11">
        <v>0</v>
      </c>
      <c r="AN121" s="11">
        <f t="shared" ref="AN121:AN126" si="31">AN122+AM121</f>
        <v>1164</v>
      </c>
      <c r="AO121" s="37">
        <f t="shared" ref="AO121:AO144" si="32">AL121*AN121</f>
        <v>10243200000</v>
      </c>
      <c r="AP121" s="11"/>
      <c r="AR121" t="s">
        <v>25</v>
      </c>
    </row>
    <row r="122" spans="9:45" ht="17.25" customHeight="1">
      <c r="J122" s="2" t="s">
        <v>5536</v>
      </c>
      <c r="K122" s="3">
        <v>27703487.063980002</v>
      </c>
      <c r="S122" s="3"/>
      <c r="T122" s="2" t="s">
        <v>6840</v>
      </c>
      <c r="U122" s="2">
        <f>U110-1359</f>
        <v>141</v>
      </c>
      <c r="V122" s="2" t="s">
        <v>6849</v>
      </c>
      <c r="W122" s="2">
        <v>553</v>
      </c>
      <c r="X122" s="11">
        <f t="shared" si="27"/>
        <v>621.22050410958911</v>
      </c>
      <c r="Y122" s="28">
        <f t="shared" si="28"/>
        <v>633.64491419178091</v>
      </c>
      <c r="Z122" s="28">
        <f t="shared" si="29"/>
        <v>646.06932427397271</v>
      </c>
      <c r="AC122">
        <v>390942</v>
      </c>
      <c r="AJ122" s="65">
        <v>102</v>
      </c>
      <c r="AK122" s="66" t="s">
        <v>4516</v>
      </c>
      <c r="AL122" s="66">
        <v>13071612</v>
      </c>
      <c r="AM122" s="65">
        <v>1</v>
      </c>
      <c r="AN122" s="65">
        <f t="shared" si="31"/>
        <v>1164</v>
      </c>
      <c r="AO122" s="66">
        <f t="shared" si="32"/>
        <v>15215356368</v>
      </c>
      <c r="AP122" s="157" t="s">
        <v>4517</v>
      </c>
    </row>
    <row r="123" spans="9:45">
      <c r="J123" s="2" t="s">
        <v>5537</v>
      </c>
      <c r="K123" s="3">
        <v>8738896.6890719999</v>
      </c>
      <c r="S123" s="3"/>
      <c r="T123" s="2" t="s">
        <v>6861</v>
      </c>
      <c r="U123" s="2">
        <f>U110-1373</f>
        <v>127</v>
      </c>
      <c r="V123" s="2" t="s">
        <v>6862</v>
      </c>
      <c r="W123" s="2">
        <v>460</v>
      </c>
      <c r="X123" s="11">
        <f t="shared" si="27"/>
        <v>511.80734246575349</v>
      </c>
      <c r="Y123" s="28">
        <f t="shared" si="28"/>
        <v>522.04348931506854</v>
      </c>
      <c r="Z123" s="28">
        <f t="shared" si="29"/>
        <v>532.27963616438365</v>
      </c>
      <c r="AC123">
        <v>221465</v>
      </c>
      <c r="AJ123" s="75">
        <v>103</v>
      </c>
      <c r="AK123" s="76" t="s">
        <v>4520</v>
      </c>
      <c r="AL123" s="76">
        <v>16727037</v>
      </c>
      <c r="AM123" s="75">
        <v>0</v>
      </c>
      <c r="AN123" s="75">
        <f t="shared" si="31"/>
        <v>1163</v>
      </c>
      <c r="AO123" s="76">
        <f t="shared" si="32"/>
        <v>19453544031</v>
      </c>
      <c r="AP123" s="75" t="s">
        <v>4527</v>
      </c>
    </row>
    <row r="124" spans="9:45">
      <c r="J124" s="2" t="s">
        <v>4158</v>
      </c>
      <c r="K124" s="3">
        <v>348201.66738</v>
      </c>
      <c r="S124" s="3"/>
      <c r="T124" s="2" t="s">
        <v>6863</v>
      </c>
      <c r="U124" s="2">
        <f>U110-1376</f>
        <v>124</v>
      </c>
      <c r="V124" s="2" t="s">
        <v>6864</v>
      </c>
      <c r="W124" s="2">
        <v>462</v>
      </c>
      <c r="X124" s="11">
        <f t="shared" si="27"/>
        <v>512.96935890410964</v>
      </c>
      <c r="Y124" s="28">
        <f t="shared" si="28"/>
        <v>523.22874608219183</v>
      </c>
      <c r="Z124" s="28">
        <f t="shared" si="29"/>
        <v>533.48813326027403</v>
      </c>
      <c r="AC124">
        <v>233212</v>
      </c>
      <c r="AJ124" s="11">
        <v>104</v>
      </c>
      <c r="AK124" s="3" t="s">
        <v>4520</v>
      </c>
      <c r="AL124" s="3">
        <v>12000000</v>
      </c>
      <c r="AM124" s="11">
        <v>1</v>
      </c>
      <c r="AN124" s="11">
        <f t="shared" si="31"/>
        <v>1163</v>
      </c>
      <c r="AO124" s="37">
        <f t="shared" si="32"/>
        <v>13956000000</v>
      </c>
      <c r="AP124" s="11" t="s">
        <v>4528</v>
      </c>
    </row>
    <row r="125" spans="9:45">
      <c r="J125" s="2" t="s">
        <v>5539</v>
      </c>
      <c r="K125" s="3">
        <v>4158090.8935679998</v>
      </c>
      <c r="S125" s="3"/>
      <c r="T125" s="2" t="s">
        <v>6865</v>
      </c>
      <c r="U125" s="2">
        <f>U110-1377</f>
        <v>123</v>
      </c>
      <c r="V125" s="2" t="s">
        <v>6866</v>
      </c>
      <c r="W125" s="2">
        <v>461</v>
      </c>
      <c r="X125" s="11">
        <f t="shared" si="27"/>
        <v>511.50539178082204</v>
      </c>
      <c r="Y125" s="28">
        <f t="shared" si="28"/>
        <v>521.73549961643846</v>
      </c>
      <c r="Z125" s="28">
        <f t="shared" si="29"/>
        <v>531.96560745205488</v>
      </c>
      <c r="AC125">
        <v>271768</v>
      </c>
      <c r="AJ125" s="75">
        <v>105</v>
      </c>
      <c r="AK125" s="76" t="s">
        <v>4460</v>
      </c>
      <c r="AL125" s="76">
        <v>88697667</v>
      </c>
      <c r="AM125" s="75">
        <v>1</v>
      </c>
      <c r="AN125" s="75">
        <f t="shared" si="31"/>
        <v>1162</v>
      </c>
      <c r="AO125" s="76">
        <f t="shared" si="32"/>
        <v>103066689054</v>
      </c>
      <c r="AP125" s="75" t="s">
        <v>4529</v>
      </c>
      <c r="AR125" t="s">
        <v>25</v>
      </c>
    </row>
    <row r="126" spans="9:45">
      <c r="J126" s="2" t="s">
        <v>5543</v>
      </c>
      <c r="K126" s="3">
        <v>110770524.97879399</v>
      </c>
      <c r="S126" s="3"/>
      <c r="T126" s="2" t="s">
        <v>6868</v>
      </c>
      <c r="U126" s="2">
        <f>U110-1387</f>
        <v>113</v>
      </c>
      <c r="V126" s="2" t="s">
        <v>6869</v>
      </c>
      <c r="W126" s="2">
        <v>443</v>
      </c>
      <c r="X126" s="11">
        <f t="shared" si="27"/>
        <v>488.13502465753436</v>
      </c>
      <c r="Y126" s="28">
        <f t="shared" si="28"/>
        <v>497.89772515068506</v>
      </c>
      <c r="Z126" s="28">
        <f t="shared" si="29"/>
        <v>507.66042564383577</v>
      </c>
      <c r="AC126">
        <v>78749</v>
      </c>
      <c r="AD126" t="s">
        <v>25</v>
      </c>
      <c r="AJ126" s="11">
        <v>106</v>
      </c>
      <c r="AK126" s="3" t="s">
        <v>4463</v>
      </c>
      <c r="AL126" s="3">
        <v>101000</v>
      </c>
      <c r="AM126" s="11">
        <v>0</v>
      </c>
      <c r="AN126" s="11">
        <f t="shared" si="31"/>
        <v>1161</v>
      </c>
      <c r="AO126" s="37">
        <f t="shared" si="32"/>
        <v>117261000</v>
      </c>
      <c r="AP126" s="11"/>
      <c r="AS126" t="s">
        <v>25</v>
      </c>
    </row>
    <row r="127" spans="9:45">
      <c r="J127" s="2" t="s">
        <v>5554</v>
      </c>
      <c r="K127" s="3">
        <v>6684147.0064600008</v>
      </c>
      <c r="S127" s="3"/>
      <c r="T127" s="2" t="s">
        <v>6870</v>
      </c>
      <c r="U127" s="2">
        <f>U110-1389</f>
        <v>111</v>
      </c>
      <c r="V127" s="2" t="s">
        <v>6871</v>
      </c>
      <c r="W127" s="2">
        <v>440</v>
      </c>
      <c r="X127" s="11">
        <f t="shared" si="27"/>
        <v>484.15430136986311</v>
      </c>
      <c r="Y127" s="28">
        <f t="shared" si="28"/>
        <v>493.83738739726039</v>
      </c>
      <c r="Z127" s="28">
        <f t="shared" si="29"/>
        <v>503.52047342465767</v>
      </c>
      <c r="AC127">
        <v>37743</v>
      </c>
      <c r="AE127" t="s">
        <v>25</v>
      </c>
      <c r="AJ127" s="109">
        <v>107</v>
      </c>
      <c r="AK127" s="144" t="s">
        <v>4526</v>
      </c>
      <c r="AL127" s="144">
        <v>-48200</v>
      </c>
      <c r="AM127" s="109">
        <v>0</v>
      </c>
      <c r="AN127" s="109">
        <f t="shared" ref="AN127:AN177" si="33">AN128+AM127</f>
        <v>1161</v>
      </c>
      <c r="AO127" s="144">
        <f t="shared" si="32"/>
        <v>-55960200</v>
      </c>
      <c r="AP127" s="109" t="s">
        <v>4532</v>
      </c>
    </row>
    <row r="128" spans="9:45">
      <c r="J128" s="2" t="s">
        <v>5557</v>
      </c>
      <c r="K128" s="3">
        <v>1826535.2307560001</v>
      </c>
      <c r="S128" s="3"/>
      <c r="T128" s="2" t="s">
        <v>6873</v>
      </c>
      <c r="U128" s="2">
        <f>U110-1391</f>
        <v>109</v>
      </c>
      <c r="V128" s="2" t="s">
        <v>6874</v>
      </c>
      <c r="W128" s="2">
        <v>441</v>
      </c>
      <c r="X128" s="11">
        <f t="shared" si="27"/>
        <v>484.57804931506854</v>
      </c>
      <c r="Y128" s="28">
        <f t="shared" si="28"/>
        <v>494.26961030136994</v>
      </c>
      <c r="Z128" s="28">
        <f t="shared" si="29"/>
        <v>503.96117128767128</v>
      </c>
      <c r="AC128">
        <v>26762</v>
      </c>
      <c r="AD128" t="s">
        <v>25</v>
      </c>
      <c r="AJ128" s="75">
        <v>108</v>
      </c>
      <c r="AK128" s="76" t="s">
        <v>4526</v>
      </c>
      <c r="AL128" s="76">
        <v>39327293</v>
      </c>
      <c r="AM128" s="75">
        <v>4</v>
      </c>
      <c r="AN128" s="109">
        <f t="shared" si="33"/>
        <v>1161</v>
      </c>
      <c r="AO128" s="144">
        <f t="shared" si="32"/>
        <v>45658987173</v>
      </c>
      <c r="AP128" s="75" t="s">
        <v>4533</v>
      </c>
    </row>
    <row r="129" spans="10:45">
      <c r="J129" s="2" t="s">
        <v>5559</v>
      </c>
      <c r="K129" s="3">
        <v>3577366.94</v>
      </c>
      <c r="S129" s="3"/>
      <c r="T129" s="2" t="s">
        <v>6850</v>
      </c>
      <c r="U129" s="2">
        <f>U110-1451</f>
        <v>49</v>
      </c>
      <c r="V129" s="2" t="s">
        <v>6938</v>
      </c>
      <c r="W129" s="2">
        <v>221.1</v>
      </c>
      <c r="X129" s="11">
        <f t="shared" si="27"/>
        <v>232.77165698630137</v>
      </c>
      <c r="Y129" s="28">
        <f t="shared" si="28"/>
        <v>237.42709012602739</v>
      </c>
      <c r="Z129" s="28">
        <f t="shared" si="29"/>
        <v>242.08252326575342</v>
      </c>
      <c r="AJ129" s="75">
        <v>109</v>
      </c>
      <c r="AK129" s="76" t="s">
        <v>4547</v>
      </c>
      <c r="AL129" s="76">
        <v>8749050</v>
      </c>
      <c r="AM129" s="75">
        <v>1</v>
      </c>
      <c r="AN129" s="75">
        <f t="shared" si="33"/>
        <v>1157</v>
      </c>
      <c r="AO129" s="76">
        <f t="shared" si="32"/>
        <v>10122650850</v>
      </c>
      <c r="AP129" s="75" t="s">
        <v>4548</v>
      </c>
    </row>
    <row r="130" spans="10:45">
      <c r="J130" s="2" t="s">
        <v>5560</v>
      </c>
      <c r="K130" s="3">
        <v>21239029.173567999</v>
      </c>
      <c r="S130" s="3"/>
      <c r="T130" s="2" t="s">
        <v>6980</v>
      </c>
      <c r="U130" s="2">
        <f>U110-1505</f>
        <v>-5</v>
      </c>
      <c r="V130" s="2" t="s">
        <v>6981</v>
      </c>
      <c r="W130" s="2">
        <v>414.8</v>
      </c>
      <c r="X130" s="11">
        <f t="shared" si="27"/>
        <v>419.51394630136991</v>
      </c>
      <c r="Y130" s="28">
        <f t="shared" si="28"/>
        <v>427.90422522739732</v>
      </c>
      <c r="Z130" s="28">
        <f t="shared" si="29"/>
        <v>436.29450415342473</v>
      </c>
      <c r="AC130">
        <v>1007763</v>
      </c>
      <c r="AJ130" s="11">
        <v>110</v>
      </c>
      <c r="AK130" s="3" t="s">
        <v>4549</v>
      </c>
      <c r="AL130" s="3">
        <v>60000</v>
      </c>
      <c r="AM130" s="11">
        <v>1</v>
      </c>
      <c r="AN130" s="11">
        <f t="shared" si="33"/>
        <v>1156</v>
      </c>
      <c r="AO130" s="37">
        <f t="shared" si="32"/>
        <v>69360000</v>
      </c>
      <c r="AP130" s="11" t="s">
        <v>4550</v>
      </c>
    </row>
    <row r="131" spans="10:45">
      <c r="J131" s="2" t="s">
        <v>5562</v>
      </c>
      <c r="K131" s="3">
        <v>242957252.40163299</v>
      </c>
      <c r="S131" s="3"/>
      <c r="T131" s="2" t="s">
        <v>6982</v>
      </c>
      <c r="U131" s="2">
        <f>U110-1506</f>
        <v>-6</v>
      </c>
      <c r="V131" s="2" t="s">
        <v>6983</v>
      </c>
      <c r="W131" s="2">
        <v>374</v>
      </c>
      <c r="X131" s="11">
        <f t="shared" si="27"/>
        <v>377.96337534246584</v>
      </c>
      <c r="Y131" s="28">
        <f t="shared" si="28"/>
        <v>385.52264284931516</v>
      </c>
      <c r="Z131" s="28">
        <f t="shared" si="29"/>
        <v>393.08191035616449</v>
      </c>
      <c r="AB131">
        <v>57717</v>
      </c>
      <c r="AJ131" s="20">
        <v>111</v>
      </c>
      <c r="AK131" s="37" t="s">
        <v>4558</v>
      </c>
      <c r="AL131" s="37">
        <v>4750000</v>
      </c>
      <c r="AM131" s="20">
        <v>0</v>
      </c>
      <c r="AN131" s="11">
        <f t="shared" si="33"/>
        <v>1155</v>
      </c>
      <c r="AO131" s="37">
        <f t="shared" si="32"/>
        <v>5486250000</v>
      </c>
      <c r="AP131" s="20"/>
      <c r="AS131" t="s">
        <v>25</v>
      </c>
    </row>
    <row r="132" spans="10:45">
      <c r="J132" s="2" t="s">
        <v>5566</v>
      </c>
      <c r="K132" s="3">
        <v>7357181.2750800001</v>
      </c>
      <c r="S132" s="3"/>
      <c r="T132" s="2" t="s">
        <v>6982</v>
      </c>
      <c r="U132" s="2">
        <f>U110-1506</f>
        <v>-6</v>
      </c>
      <c r="V132" s="2" t="s">
        <v>6984</v>
      </c>
      <c r="W132" s="2">
        <v>417</v>
      </c>
      <c r="X132" s="11">
        <f t="shared" si="27"/>
        <v>421.41905753424663</v>
      </c>
      <c r="Y132" s="28">
        <f t="shared" si="28"/>
        <v>429.84743868493155</v>
      </c>
      <c r="Z132" s="28">
        <f t="shared" si="29"/>
        <v>438.27581983561652</v>
      </c>
      <c r="AC132">
        <v>41453</v>
      </c>
      <c r="AE132" t="s">
        <v>25</v>
      </c>
      <c r="AJ132" s="75">
        <v>112</v>
      </c>
      <c r="AK132" s="76" t="s">
        <v>4558</v>
      </c>
      <c r="AL132" s="76">
        <v>13101160</v>
      </c>
      <c r="AM132" s="75">
        <v>1</v>
      </c>
      <c r="AN132" s="75">
        <f t="shared" si="33"/>
        <v>1155</v>
      </c>
      <c r="AO132" s="76">
        <f t="shared" si="32"/>
        <v>15131839800</v>
      </c>
      <c r="AP132" s="75" t="s">
        <v>4561</v>
      </c>
    </row>
    <row r="133" spans="10:45">
      <c r="J133" s="2" t="s">
        <v>5568</v>
      </c>
      <c r="K133" s="3">
        <v>14951411.942400001</v>
      </c>
      <c r="S133" s="3"/>
      <c r="T133" s="2" t="s">
        <v>6985</v>
      </c>
      <c r="U133" s="2">
        <f>U110-1507</f>
        <v>-7</v>
      </c>
      <c r="V133" s="2" t="s">
        <v>6987</v>
      </c>
      <c r="W133" s="2">
        <v>376</v>
      </c>
      <c r="X133" s="11">
        <f t="shared" si="27"/>
        <v>379.69613150684933</v>
      </c>
      <c r="Y133" s="28">
        <f t="shared" si="28"/>
        <v>387.29005413698633</v>
      </c>
      <c r="Z133" s="28">
        <f t="shared" si="29"/>
        <v>394.88397676712333</v>
      </c>
      <c r="AB133">
        <v>2554747</v>
      </c>
      <c r="AJ133" s="20">
        <v>113</v>
      </c>
      <c r="AK133" s="37" t="s">
        <v>4560</v>
      </c>
      <c r="AL133" s="37">
        <v>-980000</v>
      </c>
      <c r="AM133" s="20">
        <v>0</v>
      </c>
      <c r="AN133" s="11">
        <f t="shared" si="33"/>
        <v>1154</v>
      </c>
      <c r="AO133" s="37">
        <f t="shared" si="32"/>
        <v>-1130920000</v>
      </c>
      <c r="AP133" s="20"/>
    </row>
    <row r="134" spans="10:45">
      <c r="J134" s="2" t="s">
        <v>5570</v>
      </c>
      <c r="K134" s="3">
        <v>47928209.377011999</v>
      </c>
      <c r="S134" s="3"/>
      <c r="T134" s="2" t="s">
        <v>7015</v>
      </c>
      <c r="U134" s="2">
        <f>U110-1548</f>
        <v>-48</v>
      </c>
      <c r="V134" s="2" t="s">
        <v>7017</v>
      </c>
      <c r="W134" s="2">
        <v>437</v>
      </c>
      <c r="X134" s="11">
        <f t="shared" si="27"/>
        <v>427.55122191780828</v>
      </c>
      <c r="Y134" s="28">
        <f t="shared" si="28"/>
        <v>436.10224635616447</v>
      </c>
      <c r="Z134" s="28">
        <f t="shared" si="29"/>
        <v>444.65327079452061</v>
      </c>
      <c r="AA134" s="368"/>
      <c r="AB134" s="368">
        <v>788153</v>
      </c>
      <c r="AC134" s="368"/>
      <c r="AD134" t="s">
        <v>25</v>
      </c>
      <c r="AJ134" s="75">
        <v>114</v>
      </c>
      <c r="AK134" s="76" t="s">
        <v>4560</v>
      </c>
      <c r="AL134" s="76">
        <v>13301790</v>
      </c>
      <c r="AM134" s="75">
        <v>0</v>
      </c>
      <c r="AN134" s="75">
        <f t="shared" si="33"/>
        <v>1154</v>
      </c>
      <c r="AO134" s="76">
        <f t="shared" si="32"/>
        <v>15350265660</v>
      </c>
      <c r="AP134" s="75" t="s">
        <v>4561</v>
      </c>
      <c r="AS134" t="s">
        <v>25</v>
      </c>
    </row>
    <row r="135" spans="10:45">
      <c r="J135" s="2" t="s">
        <v>5571</v>
      </c>
      <c r="K135" s="3">
        <v>2281595.69937</v>
      </c>
      <c r="S135" s="3"/>
      <c r="T135" s="2" t="s">
        <v>7018</v>
      </c>
      <c r="U135" s="2">
        <f>U110-1549</f>
        <v>-49</v>
      </c>
      <c r="V135" s="2" t="s">
        <v>7019</v>
      </c>
      <c r="W135" s="2">
        <v>221</v>
      </c>
      <c r="X135" s="11">
        <f t="shared" si="27"/>
        <v>216.05202191780822</v>
      </c>
      <c r="Y135" s="28">
        <f t="shared" si="28"/>
        <v>220.37306235616438</v>
      </c>
      <c r="Z135" s="28">
        <f t="shared" si="29"/>
        <v>224.69410279452055</v>
      </c>
      <c r="AA135" s="367"/>
      <c r="AB135" s="367"/>
      <c r="AC135" s="367"/>
      <c r="AD135" t="s">
        <v>25</v>
      </c>
      <c r="AE135" t="s">
        <v>25</v>
      </c>
      <c r="AJ135" s="20">
        <v>115</v>
      </c>
      <c r="AK135" s="37" t="s">
        <v>4560</v>
      </c>
      <c r="AL135" s="37">
        <v>404000</v>
      </c>
      <c r="AM135" s="20">
        <v>5</v>
      </c>
      <c r="AN135" s="11">
        <f t="shared" si="33"/>
        <v>1154</v>
      </c>
      <c r="AO135" s="37">
        <f t="shared" si="32"/>
        <v>466216000</v>
      </c>
      <c r="AP135" s="20" t="s">
        <v>4567</v>
      </c>
    </row>
    <row r="136" spans="10:45">
      <c r="J136" s="2" t="s">
        <v>5572</v>
      </c>
      <c r="K136" s="3">
        <v>2964916.035069</v>
      </c>
      <c r="S136" s="3"/>
      <c r="T136" s="2" t="s">
        <v>7022</v>
      </c>
      <c r="U136" s="2">
        <f>U110-1551</f>
        <v>-51</v>
      </c>
      <c r="V136" s="2" t="s">
        <v>7023</v>
      </c>
      <c r="W136" s="2">
        <v>436</v>
      </c>
      <c r="X136" s="11">
        <f t="shared" si="27"/>
        <v>425.56944657534251</v>
      </c>
      <c r="Y136" s="28">
        <f t="shared" si="28"/>
        <v>434.08083550684938</v>
      </c>
      <c r="Z136" s="28">
        <f t="shared" si="29"/>
        <v>442.59222443835625</v>
      </c>
      <c r="AA136" s="370"/>
      <c r="AB136" s="370">
        <v>229295</v>
      </c>
      <c r="AC136" s="370"/>
      <c r="AJ136" s="75">
        <v>116</v>
      </c>
      <c r="AK136" s="76" t="s">
        <v>4573</v>
      </c>
      <c r="AL136" s="76">
        <v>4291628</v>
      </c>
      <c r="AM136" s="75">
        <v>2</v>
      </c>
      <c r="AN136" s="75">
        <f t="shared" si="33"/>
        <v>1149</v>
      </c>
      <c r="AO136" s="76">
        <f t="shared" si="32"/>
        <v>4931080572</v>
      </c>
      <c r="AP136" s="75" t="s">
        <v>4574</v>
      </c>
    </row>
    <row r="137" spans="10:45">
      <c r="J137" s="2" t="s">
        <v>5573</v>
      </c>
      <c r="K137" s="3">
        <v>6460549.4269619994</v>
      </c>
      <c r="S137" s="3"/>
      <c r="T137" s="2" t="s">
        <v>7026</v>
      </c>
      <c r="U137" s="2">
        <f>U110-1554</f>
        <v>-54</v>
      </c>
      <c r="V137" s="2" t="s">
        <v>7027</v>
      </c>
      <c r="W137" s="2">
        <v>456.7</v>
      </c>
      <c r="X137" s="11">
        <f t="shared" si="27"/>
        <v>444.72319890410961</v>
      </c>
      <c r="Y137" s="28">
        <f t="shared" si="28"/>
        <v>453.61766288219178</v>
      </c>
      <c r="Z137" s="28">
        <f t="shared" si="29"/>
        <v>462.51212686027401</v>
      </c>
      <c r="AA137" s="372"/>
      <c r="AB137" s="372">
        <v>67851</v>
      </c>
      <c r="AC137" s="372"/>
      <c r="AD137" t="s">
        <v>25</v>
      </c>
      <c r="AE137" t="s">
        <v>25</v>
      </c>
      <c r="AJ137" s="20">
        <v>117</v>
      </c>
      <c r="AK137" s="37" t="s">
        <v>4576</v>
      </c>
      <c r="AL137" s="37">
        <v>1000</v>
      </c>
      <c r="AM137" s="20">
        <v>5</v>
      </c>
      <c r="AN137" s="20">
        <f t="shared" si="33"/>
        <v>1147</v>
      </c>
      <c r="AO137" s="37">
        <f t="shared" si="32"/>
        <v>1147000</v>
      </c>
      <c r="AP137" s="20"/>
    </row>
    <row r="138" spans="10:45">
      <c r="J138" s="2" t="s">
        <v>5574</v>
      </c>
      <c r="K138" s="3">
        <v>5212319.8968359996</v>
      </c>
      <c r="S138" s="3"/>
      <c r="T138" s="2" t="s">
        <v>7028</v>
      </c>
      <c r="U138" s="2">
        <f>U110-1555</f>
        <v>-55</v>
      </c>
      <c r="V138" s="2" t="s">
        <v>7031</v>
      </c>
      <c r="W138" s="2">
        <v>456</v>
      </c>
      <c r="X138" s="11">
        <f t="shared" si="27"/>
        <v>443.69174794520552</v>
      </c>
      <c r="Y138" s="28">
        <f t="shared" si="28"/>
        <v>452.56558290410965</v>
      </c>
      <c r="Z138" s="28">
        <f t="shared" si="29"/>
        <v>461.43941786301377</v>
      </c>
      <c r="AA138" s="373"/>
      <c r="AB138" s="373">
        <v>725356</v>
      </c>
      <c r="AC138" s="373"/>
      <c r="AJ138" s="65">
        <v>118</v>
      </c>
      <c r="AK138" s="66" t="s">
        <v>4583</v>
      </c>
      <c r="AL138" s="66">
        <v>8739459</v>
      </c>
      <c r="AM138" s="65">
        <v>2</v>
      </c>
      <c r="AN138" s="65">
        <f t="shared" si="33"/>
        <v>1142</v>
      </c>
      <c r="AO138" s="66">
        <f t="shared" si="32"/>
        <v>9980462178</v>
      </c>
      <c r="AP138" s="65" t="s">
        <v>4548</v>
      </c>
    </row>
    <row r="139" spans="10:45">
      <c r="J139" s="2" t="s">
        <v>5576</v>
      </c>
      <c r="K139" s="3">
        <v>4524496.4792809999</v>
      </c>
      <c r="S139" s="3"/>
      <c r="T139" s="2" t="s">
        <v>7028</v>
      </c>
      <c r="U139" s="2">
        <f>U110-1555</f>
        <v>-55</v>
      </c>
      <c r="V139" s="2" t="s">
        <v>7032</v>
      </c>
      <c r="W139" s="2">
        <v>528</v>
      </c>
      <c r="X139" s="11">
        <f t="shared" si="27"/>
        <v>513.74833972602744</v>
      </c>
      <c r="Y139" s="28">
        <f t="shared" si="28"/>
        <v>524.02330652054798</v>
      </c>
      <c r="Z139" s="28">
        <f t="shared" si="29"/>
        <v>534.29827331506851</v>
      </c>
      <c r="AA139" s="373"/>
      <c r="AB139" s="373"/>
      <c r="AC139" s="373">
        <v>3335987</v>
      </c>
      <c r="AD139" t="s">
        <v>25</v>
      </c>
      <c r="AE139" t="s">
        <v>25</v>
      </c>
      <c r="AJ139" s="65">
        <v>119</v>
      </c>
      <c r="AK139" s="66" t="s">
        <v>4584</v>
      </c>
      <c r="AL139" s="66">
        <v>17595278</v>
      </c>
      <c r="AM139" s="65">
        <v>1</v>
      </c>
      <c r="AN139" s="65">
        <f t="shared" si="33"/>
        <v>1140</v>
      </c>
      <c r="AO139" s="66">
        <f t="shared" si="32"/>
        <v>20058616920</v>
      </c>
      <c r="AP139" s="65" t="s">
        <v>4586</v>
      </c>
      <c r="AS139" t="s">
        <v>25</v>
      </c>
    </row>
    <row r="140" spans="10:45">
      <c r="J140" s="2" t="s">
        <v>5577</v>
      </c>
      <c r="K140" s="3">
        <v>22866040.240959998</v>
      </c>
      <c r="R140" s="7"/>
      <c r="S140" s="3"/>
      <c r="T140" s="2" t="s">
        <v>7033</v>
      </c>
      <c r="U140" s="2">
        <f>U110-1556</f>
        <v>-56</v>
      </c>
      <c r="V140" s="2" t="s">
        <v>7034</v>
      </c>
      <c r="W140" s="2">
        <v>1902</v>
      </c>
      <c r="X140" s="11">
        <f t="shared" si="27"/>
        <v>1849.2025643835618</v>
      </c>
      <c r="Y140" s="28">
        <f t="shared" si="28"/>
        <v>1886.1866156712331</v>
      </c>
      <c r="Z140" s="28">
        <f t="shared" si="29"/>
        <v>1923.1706669589043</v>
      </c>
      <c r="AA140" s="373">
        <v>69673</v>
      </c>
      <c r="AB140" s="373"/>
      <c r="AC140" s="373"/>
      <c r="AJ140" s="65">
        <v>120</v>
      </c>
      <c r="AK140" s="66" t="s">
        <v>4585</v>
      </c>
      <c r="AL140" s="66">
        <v>13335309</v>
      </c>
      <c r="AM140" s="65">
        <v>13</v>
      </c>
      <c r="AN140" s="65">
        <f t="shared" si="33"/>
        <v>1139</v>
      </c>
      <c r="AO140" s="66">
        <f t="shared" si="32"/>
        <v>15188916951</v>
      </c>
      <c r="AP140" s="65" t="s">
        <v>4561</v>
      </c>
    </row>
    <row r="141" spans="10:45">
      <c r="J141" s="2" t="s">
        <v>5578</v>
      </c>
      <c r="K141" s="3">
        <v>15359304.269892</v>
      </c>
      <c r="S141" s="3"/>
      <c r="T141" s="2"/>
      <c r="U141" s="2"/>
      <c r="V141" s="2"/>
      <c r="W141" s="2"/>
      <c r="X141" s="11"/>
      <c r="Y141" s="28"/>
      <c r="Z141" s="28"/>
      <c r="AA141" s="370"/>
      <c r="AB141" s="370"/>
      <c r="AC141" s="370"/>
      <c r="AD141" t="s">
        <v>25</v>
      </c>
      <c r="AJ141" s="121">
        <v>121</v>
      </c>
      <c r="AK141" s="168" t="s">
        <v>4633</v>
      </c>
      <c r="AL141" s="168">
        <v>50000000</v>
      </c>
      <c r="AM141" s="121">
        <v>11</v>
      </c>
      <c r="AN141" s="121">
        <f t="shared" si="33"/>
        <v>1126</v>
      </c>
      <c r="AO141" s="168">
        <f t="shared" si="32"/>
        <v>56300000000</v>
      </c>
      <c r="AP141" s="121" t="s">
        <v>4634</v>
      </c>
      <c r="AR141" t="s">
        <v>25</v>
      </c>
    </row>
    <row r="142" spans="10:45">
      <c r="J142" s="2" t="s">
        <v>5580</v>
      </c>
      <c r="K142" s="3">
        <v>2868508.1846330003</v>
      </c>
      <c r="S142" s="3"/>
      <c r="T142" s="2"/>
      <c r="U142" s="2"/>
      <c r="V142" s="2" t="s">
        <v>25</v>
      </c>
      <c r="W142" s="2"/>
      <c r="X142" s="11">
        <f>W142*(1+$T$106+$R$14*U142/36500)</f>
        <v>0</v>
      </c>
      <c r="Y142" s="28">
        <f>X142*(1+$Y$19/100)</f>
        <v>0</v>
      </c>
      <c r="Z142" s="28">
        <f>X142*(1+$Z$19/100)</f>
        <v>0</v>
      </c>
      <c r="AA142" t="s">
        <v>25</v>
      </c>
      <c r="AB142" t="s">
        <v>25</v>
      </c>
      <c r="AC142" t="s">
        <v>6992</v>
      </c>
      <c r="AE142" t="s">
        <v>25</v>
      </c>
      <c r="AJ142" s="20">
        <v>122</v>
      </c>
      <c r="AK142" s="37" t="s">
        <v>937</v>
      </c>
      <c r="AL142" s="37">
        <v>30000</v>
      </c>
      <c r="AM142" s="20">
        <v>3</v>
      </c>
      <c r="AN142" s="20">
        <f t="shared" si="33"/>
        <v>1115</v>
      </c>
      <c r="AO142" s="37">
        <f t="shared" si="32"/>
        <v>33450000</v>
      </c>
      <c r="AP142" s="20"/>
    </row>
    <row r="143" spans="10:45">
      <c r="J143" s="2" t="s">
        <v>5581</v>
      </c>
      <c r="K143" s="3">
        <v>17450393.011856001</v>
      </c>
      <c r="Q143" t="s">
        <v>25</v>
      </c>
      <c r="S143" s="3">
        <f>SUM(N45:N47)-SUM(S110:S142)</f>
        <v>3720087719.937994</v>
      </c>
      <c r="T143" s="2"/>
      <c r="U143" s="2"/>
      <c r="V143" s="2"/>
      <c r="W143" s="2"/>
      <c r="X143" s="11" t="s">
        <v>25</v>
      </c>
      <c r="Y143" s="28"/>
      <c r="Z143" s="28"/>
      <c r="AA143" t="s">
        <v>25</v>
      </c>
      <c r="AB143" t="s">
        <v>25</v>
      </c>
      <c r="AC143" t="s">
        <v>25</v>
      </c>
      <c r="AJ143" s="20">
        <v>123</v>
      </c>
      <c r="AK143" s="37" t="s">
        <v>4688</v>
      </c>
      <c r="AL143" s="37">
        <v>600000</v>
      </c>
      <c r="AM143" s="20">
        <v>1</v>
      </c>
      <c r="AN143" s="20">
        <f t="shared" si="33"/>
        <v>1112</v>
      </c>
      <c r="AO143" s="37">
        <f t="shared" si="32"/>
        <v>667200000</v>
      </c>
      <c r="AP143" s="20"/>
    </row>
    <row r="144" spans="10:45">
      <c r="J144" s="2" t="s">
        <v>5582</v>
      </c>
      <c r="K144" s="3">
        <v>31388943.254850004</v>
      </c>
      <c r="Q144" t="s">
        <v>25</v>
      </c>
      <c r="R144" s="7"/>
      <c r="S144" s="25"/>
      <c r="T144" s="36"/>
      <c r="U144" s="36"/>
      <c r="V144" t="s">
        <v>25</v>
      </c>
      <c r="W144" t="s">
        <v>25</v>
      </c>
      <c r="X144" t="s">
        <v>25</v>
      </c>
      <c r="Y144" t="s">
        <v>25</v>
      </c>
      <c r="AA144" t="s">
        <v>25</v>
      </c>
      <c r="AB144" t="s">
        <v>25</v>
      </c>
      <c r="AE144" t="s">
        <v>25</v>
      </c>
      <c r="AJ144" s="20">
        <v>124</v>
      </c>
      <c r="AK144" s="37" t="s">
        <v>4691</v>
      </c>
      <c r="AL144" s="37">
        <v>30000</v>
      </c>
      <c r="AM144" s="20">
        <v>3</v>
      </c>
      <c r="AN144" s="20">
        <f t="shared" si="33"/>
        <v>1111</v>
      </c>
      <c r="AO144" s="37">
        <f t="shared" si="32"/>
        <v>33330000</v>
      </c>
      <c r="AP144" s="20"/>
    </row>
    <row r="145" spans="5:46">
      <c r="J145" s="2" t="s">
        <v>5583</v>
      </c>
      <c r="K145" s="3">
        <v>30912095.373174001</v>
      </c>
      <c r="Q145" t="s">
        <v>25</v>
      </c>
      <c r="T145" s="28" t="s">
        <v>4479</v>
      </c>
      <c r="U145" s="28" t="s">
        <v>913</v>
      </c>
      <c r="V145" t="s">
        <v>25</v>
      </c>
      <c r="W145" t="s">
        <v>25</v>
      </c>
      <c r="X145" t="s">
        <v>25</v>
      </c>
      <c r="Y145" t="s">
        <v>25</v>
      </c>
      <c r="Z145" t="s">
        <v>25</v>
      </c>
      <c r="AA145" t="s">
        <v>25</v>
      </c>
      <c r="AB145" t="s">
        <v>25</v>
      </c>
      <c r="AC145" t="s">
        <v>25</v>
      </c>
      <c r="AD145" t="s">
        <v>25</v>
      </c>
      <c r="AE145" t="s">
        <v>25</v>
      </c>
      <c r="AJ145" s="20">
        <v>125</v>
      </c>
      <c r="AK145" s="37" t="s">
        <v>4697</v>
      </c>
      <c r="AL145" s="37">
        <v>2250000</v>
      </c>
      <c r="AM145" s="20">
        <v>1</v>
      </c>
      <c r="AN145" s="20">
        <f t="shared" si="33"/>
        <v>1108</v>
      </c>
      <c r="AO145" s="37">
        <f>AL145*AN145</f>
        <v>2493000000</v>
      </c>
      <c r="AP145" s="20"/>
      <c r="AT145" t="s">
        <v>25</v>
      </c>
    </row>
    <row r="146" spans="5:46">
      <c r="J146" s="2" t="s">
        <v>5585</v>
      </c>
      <c r="K146" s="3">
        <v>19602926.115093999</v>
      </c>
      <c r="P146" t="s">
        <v>25</v>
      </c>
      <c r="T146" s="28">
        <v>33288</v>
      </c>
      <c r="U146" s="3">
        <v>152128600.70081395</v>
      </c>
      <c r="V146" t="s">
        <v>25</v>
      </c>
      <c r="W146" t="s">
        <v>25</v>
      </c>
      <c r="X146" t="s">
        <v>25</v>
      </c>
      <c r="Y146" t="s">
        <v>25</v>
      </c>
      <c r="Z146" t="s">
        <v>25</v>
      </c>
      <c r="AA146" t="s">
        <v>25</v>
      </c>
      <c r="AB146" t="s">
        <v>25</v>
      </c>
      <c r="AC146" t="s">
        <v>25</v>
      </c>
      <c r="AJ146" s="23">
        <v>126</v>
      </c>
      <c r="AK146" s="31" t="s">
        <v>4702</v>
      </c>
      <c r="AL146" s="31">
        <v>-31412200</v>
      </c>
      <c r="AM146" s="23">
        <v>1</v>
      </c>
      <c r="AN146" s="20">
        <f t="shared" si="33"/>
        <v>1107</v>
      </c>
      <c r="AO146" s="31">
        <f>AL146*AN146</f>
        <v>-34773305400</v>
      </c>
      <c r="AP146" s="23" t="s">
        <v>4690</v>
      </c>
    </row>
    <row r="147" spans="5:46">
      <c r="J147" s="2" t="s">
        <v>5586</v>
      </c>
      <c r="K147" s="3">
        <v>34458590.308710001</v>
      </c>
      <c r="Q147" s="7"/>
      <c r="S147" t="s">
        <v>25</v>
      </c>
      <c r="T147" s="28">
        <v>9243</v>
      </c>
      <c r="U147" s="1">
        <f>U146*T147/T146</f>
        <v>42241187.7036056</v>
      </c>
      <c r="V147" s="7" t="s">
        <v>25</v>
      </c>
      <c r="W147" t="s">
        <v>25</v>
      </c>
      <c r="X147" t="s">
        <v>25</v>
      </c>
      <c r="Y147" t="s">
        <v>25</v>
      </c>
      <c r="Z147" t="s">
        <v>25</v>
      </c>
      <c r="AA147" t="s">
        <v>25</v>
      </c>
      <c r="AB147" t="s">
        <v>25</v>
      </c>
      <c r="AC147" t="s">
        <v>25</v>
      </c>
      <c r="AE147" t="s">
        <v>25</v>
      </c>
      <c r="AJ147" s="20">
        <v>127</v>
      </c>
      <c r="AK147" s="37" t="s">
        <v>4711</v>
      </c>
      <c r="AL147" s="37">
        <v>70000</v>
      </c>
      <c r="AM147" s="20">
        <v>9</v>
      </c>
      <c r="AN147" s="20">
        <f t="shared" si="33"/>
        <v>1106</v>
      </c>
      <c r="AO147" s="37">
        <f>AL147*AN147</f>
        <v>77420000</v>
      </c>
      <c r="AP147" s="20"/>
    </row>
    <row r="148" spans="5:46">
      <c r="J148" s="2" t="s">
        <v>5587</v>
      </c>
      <c r="K148" s="3">
        <v>21697868.203256</v>
      </c>
      <c r="Q148" t="s">
        <v>25</v>
      </c>
      <c r="T148" s="28">
        <f>T146-T147</f>
        <v>24045</v>
      </c>
      <c r="U148" s="1">
        <f>T148*U146/T146</f>
        <v>109887412.99720834</v>
      </c>
      <c r="V148" t="s">
        <v>25</v>
      </c>
      <c r="W148" t="s">
        <v>25</v>
      </c>
      <c r="Y148" t="s">
        <v>25</v>
      </c>
      <c r="Z148" t="s">
        <v>25</v>
      </c>
      <c r="AA148">
        <v>1072496175</v>
      </c>
      <c r="AB148">
        <v>365000000</v>
      </c>
      <c r="AC148" t="s">
        <v>25</v>
      </c>
      <c r="AD148" t="s">
        <v>25</v>
      </c>
      <c r="AJ148" s="11">
        <v>128</v>
      </c>
      <c r="AK148" s="3" t="s">
        <v>4717</v>
      </c>
      <c r="AL148" s="3">
        <v>20000</v>
      </c>
      <c r="AM148" s="11">
        <v>10</v>
      </c>
      <c r="AN148" s="20">
        <f t="shared" si="33"/>
        <v>1097</v>
      </c>
      <c r="AO148" s="37">
        <f>AL148*AN148</f>
        <v>21940000</v>
      </c>
      <c r="AP148" s="20"/>
      <c r="AR148" t="s">
        <v>25</v>
      </c>
    </row>
    <row r="149" spans="5:46">
      <c r="J149" s="2" t="s">
        <v>5588</v>
      </c>
      <c r="K149" s="3">
        <v>25340079.252110001</v>
      </c>
      <c r="V149" t="s">
        <v>25</v>
      </c>
      <c r="Z149" t="s">
        <v>25</v>
      </c>
      <c r="AA149" t="s">
        <v>25</v>
      </c>
      <c r="AB149" t="s">
        <v>25</v>
      </c>
      <c r="AC149" t="s">
        <v>25</v>
      </c>
      <c r="AJ149" s="11">
        <v>129</v>
      </c>
      <c r="AK149" s="3" t="s">
        <v>4737</v>
      </c>
      <c r="AL149" s="3">
        <v>1000000</v>
      </c>
      <c r="AM149" s="11">
        <v>1</v>
      </c>
      <c r="AN149" s="20">
        <f t="shared" si="33"/>
        <v>1087</v>
      </c>
      <c r="AO149" s="37">
        <f>AL149*AN149</f>
        <v>1087000000</v>
      </c>
      <c r="AP149" s="20"/>
    </row>
    <row r="150" spans="5:46">
      <c r="E150" s="83"/>
      <c r="J150" s="2" t="s">
        <v>5589</v>
      </c>
      <c r="K150" s="3">
        <v>14780983.183526</v>
      </c>
      <c r="N150" s="7"/>
      <c r="O150" s="7"/>
      <c r="S150" t="s">
        <v>25</v>
      </c>
      <c r="W150" s="228" t="s">
        <v>4379</v>
      </c>
      <c r="X150" s="228" t="s">
        <v>4390</v>
      </c>
      <c r="Y150" s="228" t="s">
        <v>4391</v>
      </c>
      <c r="Z150" t="s">
        <v>25</v>
      </c>
      <c r="AA150" t="s">
        <v>25</v>
      </c>
      <c r="AC150" t="s">
        <v>25</v>
      </c>
      <c r="AE150" s="7" t="s">
        <v>25</v>
      </c>
      <c r="AF150" s="7"/>
      <c r="AJ150" s="11">
        <v>130</v>
      </c>
      <c r="AK150" s="3" t="s">
        <v>4738</v>
      </c>
      <c r="AL150" s="3">
        <v>65630227</v>
      </c>
      <c r="AM150" s="11">
        <v>0</v>
      </c>
      <c r="AN150" s="20">
        <f t="shared" si="33"/>
        <v>1086</v>
      </c>
      <c r="AO150" s="37">
        <f t="shared" ref="AO150:AO177" si="34">AL150*AN150</f>
        <v>71274426522</v>
      </c>
      <c r="AP150" s="20" t="s">
        <v>4741</v>
      </c>
      <c r="AR150" t="s">
        <v>25</v>
      </c>
      <c r="AT150" t="s">
        <v>25</v>
      </c>
    </row>
    <row r="151" spans="5:46">
      <c r="J151" s="2" t="s">
        <v>5591</v>
      </c>
      <c r="K151" s="3">
        <v>17804396.448481999</v>
      </c>
      <c r="Q151" s="7"/>
      <c r="S151" t="s">
        <v>25</v>
      </c>
      <c r="V151">
        <f>X151-$X$157</f>
        <v>1481848</v>
      </c>
      <c r="W151" s="228" t="s">
        <v>723</v>
      </c>
      <c r="X151" s="228">
        <v>1481848</v>
      </c>
      <c r="Y151" s="300">
        <f>X151*$V$614</f>
        <v>5416020610.5285082</v>
      </c>
      <c r="Z151">
        <f>Y151*100/$Y$157</f>
        <v>35.65885652792457</v>
      </c>
      <c r="AA151" s="3">
        <f>Z151*0.01*$AA$148</f>
        <v>382439872.31072885</v>
      </c>
      <c r="AB151" s="3">
        <f>Z151*0.01*$AB$148</f>
        <v>130154826.32692468</v>
      </c>
      <c r="AC151" t="s">
        <v>25</v>
      </c>
      <c r="AD151" t="s">
        <v>25</v>
      </c>
      <c r="AE151" s="7"/>
      <c r="AJ151" s="11">
        <v>131</v>
      </c>
      <c r="AK151" s="3" t="s">
        <v>4738</v>
      </c>
      <c r="AL151" s="3">
        <v>-3500000</v>
      </c>
      <c r="AM151" s="11">
        <v>6</v>
      </c>
      <c r="AN151" s="20">
        <f t="shared" si="33"/>
        <v>1086</v>
      </c>
      <c r="AO151" s="37">
        <f t="shared" si="34"/>
        <v>-3801000000</v>
      </c>
      <c r="AP151" s="20" t="s">
        <v>4740</v>
      </c>
    </row>
    <row r="152" spans="5:46">
      <c r="J152" s="2" t="s">
        <v>5594</v>
      </c>
      <c r="K152" s="3">
        <v>11538335.631417999</v>
      </c>
      <c r="N152" s="7"/>
      <c r="O152" s="7"/>
      <c r="S152" t="s">
        <v>25</v>
      </c>
      <c r="V152">
        <f>X152-$X$157</f>
        <v>2508675</v>
      </c>
      <c r="W152" s="228" t="s">
        <v>4381</v>
      </c>
      <c r="X152" s="228">
        <v>2508675</v>
      </c>
      <c r="Y152" s="300">
        <f>X152*$V$614</f>
        <v>9168980560.1637993</v>
      </c>
      <c r="Z152">
        <f>Y152*100/$Y$157</f>
        <v>60.368190192375444</v>
      </c>
      <c r="AA152" s="3">
        <f>Z152*0.01*$AA$148</f>
        <v>647446530.72995186</v>
      </c>
      <c r="AB152" s="3">
        <f>Z152*0.01*$AB$148</f>
        <v>220343894.20217037</v>
      </c>
      <c r="AC152" t="s">
        <v>25</v>
      </c>
      <c r="AD152" t="s">
        <v>25</v>
      </c>
      <c r="AE152" s="7" t="s">
        <v>25</v>
      </c>
      <c r="AF152" s="7"/>
      <c r="AJ152" s="11">
        <v>132</v>
      </c>
      <c r="AK152" s="3" t="s">
        <v>4750</v>
      </c>
      <c r="AL152" s="3">
        <v>2520000</v>
      </c>
      <c r="AM152" s="11">
        <v>12</v>
      </c>
      <c r="AN152" s="20">
        <f t="shared" si="33"/>
        <v>1080</v>
      </c>
      <c r="AO152" s="37">
        <f t="shared" si="34"/>
        <v>2721600000</v>
      </c>
      <c r="AP152" s="20"/>
    </row>
    <row r="153" spans="5:46">
      <c r="J153" s="2" t="s">
        <v>5595</v>
      </c>
      <c r="K153" s="3">
        <v>12429517.767776001</v>
      </c>
      <c r="S153" t="s">
        <v>25</v>
      </c>
      <c r="T153" t="s">
        <v>25</v>
      </c>
      <c r="U153" t="s">
        <v>25</v>
      </c>
      <c r="V153">
        <f>X153-$X$157</f>
        <v>42250</v>
      </c>
      <c r="W153" s="228" t="s">
        <v>4380</v>
      </c>
      <c r="X153" s="228">
        <v>42250</v>
      </c>
      <c r="Y153" s="300">
        <f>X153*$V$614</f>
        <v>154419934.29476535</v>
      </c>
      <c r="Z153">
        <f>Y153*100/$Y$157</f>
        <v>1.0166944843903105</v>
      </c>
      <c r="AA153" s="3">
        <f>Z153*0.01*$AA$148</f>
        <v>10904009.456522053</v>
      </c>
      <c r="AB153" s="3">
        <f>Z153*0.01*$AB$148</f>
        <v>3710934.8680246337</v>
      </c>
      <c r="AC153" t="s">
        <v>25</v>
      </c>
      <c r="AD153" t="s">
        <v>25</v>
      </c>
      <c r="AE153" t="s">
        <v>25</v>
      </c>
      <c r="AJ153" s="11">
        <v>133</v>
      </c>
      <c r="AK153" s="3" t="s">
        <v>4785</v>
      </c>
      <c r="AL153" s="3">
        <v>1400000</v>
      </c>
      <c r="AM153" s="11">
        <v>4</v>
      </c>
      <c r="AN153" s="20">
        <f t="shared" si="33"/>
        <v>1068</v>
      </c>
      <c r="AO153" s="37">
        <f t="shared" si="34"/>
        <v>1495200000</v>
      </c>
      <c r="AP153" s="20"/>
    </row>
    <row r="154" spans="5:46">
      <c r="J154" s="2" t="s">
        <v>5603</v>
      </c>
      <c r="K154" s="3">
        <v>5031176.5087869996</v>
      </c>
      <c r="Q154" t="s">
        <v>25</v>
      </c>
      <c r="S154" t="s">
        <v>25</v>
      </c>
      <c r="V154">
        <f>X154-$X$157</f>
        <v>122851</v>
      </c>
      <c r="W154" s="228" t="s">
        <v>1049</v>
      </c>
      <c r="X154" s="228">
        <v>122851</v>
      </c>
      <c r="Y154" s="300">
        <f>X154*$V$614</f>
        <v>449009310.01292831</v>
      </c>
      <c r="Z154">
        <f>Y154*100/$Y$157</f>
        <v>2.9562587953096817</v>
      </c>
      <c r="AA154" s="3">
        <f>Z154*0.01*$AA$148</f>
        <v>31705762.502797417</v>
      </c>
      <c r="AB154" s="3">
        <f>Z154*0.01*$AB$148</f>
        <v>10790344.602880338</v>
      </c>
      <c r="AD154" t="s">
        <v>25</v>
      </c>
      <c r="AJ154" s="11">
        <v>134</v>
      </c>
      <c r="AK154" s="3" t="s">
        <v>4800</v>
      </c>
      <c r="AL154" s="3">
        <v>1550000</v>
      </c>
      <c r="AM154" s="11">
        <v>2</v>
      </c>
      <c r="AN154" s="20">
        <f t="shared" si="33"/>
        <v>1064</v>
      </c>
      <c r="AO154" s="37">
        <f t="shared" si="34"/>
        <v>1649200000</v>
      </c>
      <c r="AP154" s="20"/>
    </row>
    <row r="155" spans="5:46">
      <c r="J155" s="2" t="s">
        <v>5605</v>
      </c>
      <c r="K155" s="3">
        <v>6822803.9080700008</v>
      </c>
      <c r="T155" t="s">
        <v>25</v>
      </c>
      <c r="V155" t="s">
        <v>25</v>
      </c>
      <c r="W155" s="228"/>
      <c r="X155" s="228"/>
      <c r="Y155" s="228"/>
      <c r="AA155" t="s">
        <v>25</v>
      </c>
      <c r="AC155" t="s">
        <v>25</v>
      </c>
      <c r="AD155" t="s">
        <v>25</v>
      </c>
      <c r="AJ155" s="11">
        <v>135</v>
      </c>
      <c r="AK155" s="3" t="s">
        <v>4757</v>
      </c>
      <c r="AL155" s="3">
        <v>250000</v>
      </c>
      <c r="AM155" s="11">
        <v>6</v>
      </c>
      <c r="AN155" s="20">
        <f t="shared" si="33"/>
        <v>1062</v>
      </c>
      <c r="AO155" s="37">
        <f t="shared" si="34"/>
        <v>265500000</v>
      </c>
      <c r="AP155" s="20"/>
    </row>
    <row r="156" spans="5:46">
      <c r="J156" s="2" t="s">
        <v>5609</v>
      </c>
      <c r="K156" s="3">
        <v>330889.73324399994</v>
      </c>
      <c r="Q156" t="s">
        <v>25</v>
      </c>
      <c r="S156" t="s">
        <v>25</v>
      </c>
      <c r="U156" t="s">
        <v>25</v>
      </c>
      <c r="W156" s="228"/>
      <c r="X156" s="228">
        <f>SUM(X151:X154)</f>
        <v>4155624</v>
      </c>
      <c r="Y156" s="228"/>
      <c r="Z156" s="7" t="s">
        <v>25</v>
      </c>
      <c r="AA156" t="s">
        <v>25</v>
      </c>
      <c r="AB156" t="s">
        <v>25</v>
      </c>
      <c r="AJ156" s="11">
        <v>136</v>
      </c>
      <c r="AK156" s="3" t="s">
        <v>4809</v>
      </c>
      <c r="AL156" s="3">
        <v>-48527480</v>
      </c>
      <c r="AM156" s="11">
        <v>14</v>
      </c>
      <c r="AN156" s="20">
        <f t="shared" si="33"/>
        <v>1056</v>
      </c>
      <c r="AO156" s="37">
        <f t="shared" si="34"/>
        <v>-51245018880</v>
      </c>
      <c r="AP156" s="20" t="s">
        <v>4811</v>
      </c>
    </row>
    <row r="157" spans="5:46">
      <c r="J157" s="2" t="s">
        <v>5617</v>
      </c>
      <c r="K157" s="3">
        <v>6610318.1610199995</v>
      </c>
      <c r="Q157" t="s">
        <v>25</v>
      </c>
      <c r="S157" t="s">
        <v>25</v>
      </c>
      <c r="U157" t="s">
        <v>25</v>
      </c>
      <c r="V157" t="s">
        <v>25</v>
      </c>
      <c r="W157" s="228"/>
      <c r="X157" s="228">
        <f>X156-W611</f>
        <v>0</v>
      </c>
      <c r="Y157" s="300">
        <f>SUM(Y151:Y154)</f>
        <v>15188430415</v>
      </c>
      <c r="AA157" t="s">
        <v>25</v>
      </c>
      <c r="AB157" t="s">
        <v>25</v>
      </c>
      <c r="AJ157" s="11">
        <v>137</v>
      </c>
      <c r="AK157" s="3" t="s">
        <v>4831</v>
      </c>
      <c r="AL157" s="3">
        <v>2100000</v>
      </c>
      <c r="AM157" s="11">
        <v>1</v>
      </c>
      <c r="AN157" s="20">
        <f t="shared" si="33"/>
        <v>1042</v>
      </c>
      <c r="AO157" s="37">
        <f t="shared" si="34"/>
        <v>2188200000</v>
      </c>
      <c r="AP157" s="20"/>
    </row>
    <row r="158" spans="5:46">
      <c r="J158" s="2" t="s">
        <v>5618</v>
      </c>
      <c r="K158" s="3">
        <v>710713.17725199996</v>
      </c>
      <c r="V158" t="s">
        <v>25</v>
      </c>
      <c r="W158" s="228"/>
      <c r="X158" s="228" t="s">
        <v>5724</v>
      </c>
      <c r="Y158" s="300">
        <f>T169-Y154</f>
        <v>124150860.98707169</v>
      </c>
      <c r="AA158" t="s">
        <v>25</v>
      </c>
      <c r="AB158" t="s">
        <v>25</v>
      </c>
      <c r="AE158" t="s">
        <v>25</v>
      </c>
      <c r="AJ158" s="11">
        <v>138</v>
      </c>
      <c r="AK158" s="3" t="s">
        <v>4834</v>
      </c>
      <c r="AL158" s="3">
        <v>100000</v>
      </c>
      <c r="AM158" s="11">
        <v>4</v>
      </c>
      <c r="AN158" s="20">
        <f>AN159+AM158</f>
        <v>1041</v>
      </c>
      <c r="AO158" s="37">
        <f t="shared" si="34"/>
        <v>104100000</v>
      </c>
      <c r="AP158" s="20"/>
    </row>
    <row r="159" spans="5:46">
      <c r="J159" s="2" t="s">
        <v>5619</v>
      </c>
      <c r="K159" s="3">
        <v>81025</v>
      </c>
      <c r="Q159" t="s">
        <v>25</v>
      </c>
      <c r="S159" t="s">
        <v>25</v>
      </c>
      <c r="V159" t="s">
        <v>25</v>
      </c>
      <c r="W159" s="228"/>
      <c r="X159" s="228" t="s">
        <v>5723</v>
      </c>
      <c r="Y159" s="300">
        <f>Y153-Y158</f>
        <v>30269073.30769366</v>
      </c>
      <c r="AB159" t="s">
        <v>25</v>
      </c>
      <c r="AC159" t="s">
        <v>25</v>
      </c>
      <c r="AJ159" s="11">
        <v>139</v>
      </c>
      <c r="AK159" s="3" t="s">
        <v>4839</v>
      </c>
      <c r="AL159" s="3">
        <v>900000</v>
      </c>
      <c r="AM159" s="11">
        <v>0</v>
      </c>
      <c r="AN159" s="20">
        <f t="shared" ref="AN159:AN168" si="35">AN160+AM159</f>
        <v>1037</v>
      </c>
      <c r="AO159" s="37">
        <f t="shared" ref="AO159:AO168" si="36">AL159*AN159</f>
        <v>933300000</v>
      </c>
      <c r="AP159" s="20"/>
      <c r="AR159" t="s">
        <v>25</v>
      </c>
    </row>
    <row r="160" spans="5:46">
      <c r="J160" s="2" t="s">
        <v>5622</v>
      </c>
      <c r="K160" s="3">
        <v>219696.613128</v>
      </c>
      <c r="R160" t="s">
        <v>25</v>
      </c>
      <c r="S160" t="s">
        <v>25</v>
      </c>
      <c r="U160" t="s">
        <v>25</v>
      </c>
      <c r="W160" s="228"/>
      <c r="X160" s="228" t="s">
        <v>4875</v>
      </c>
      <c r="Y160" s="300">
        <f>Y151+Y159-T168</f>
        <v>-309535560.16379833</v>
      </c>
      <c r="AA160" t="s">
        <v>25</v>
      </c>
      <c r="AE160" t="s">
        <v>25</v>
      </c>
      <c r="AJ160" s="11">
        <v>140</v>
      </c>
      <c r="AK160" s="3" t="s">
        <v>4839</v>
      </c>
      <c r="AL160" s="3">
        <v>1100000</v>
      </c>
      <c r="AM160" s="11">
        <v>0</v>
      </c>
      <c r="AN160" s="20">
        <f t="shared" si="35"/>
        <v>1037</v>
      </c>
      <c r="AO160" s="37">
        <f t="shared" si="36"/>
        <v>1140700000</v>
      </c>
      <c r="AP160" s="20" t="s">
        <v>4853</v>
      </c>
      <c r="AS160" t="s">
        <v>25</v>
      </c>
    </row>
    <row r="161" spans="10:45">
      <c r="J161" s="2" t="s">
        <v>5623</v>
      </c>
      <c r="K161" s="3">
        <v>6035472.4070199998</v>
      </c>
      <c r="W161" s="228"/>
      <c r="X161" s="228"/>
      <c r="Y161" s="300"/>
      <c r="AA161" t="s">
        <v>25</v>
      </c>
      <c r="AJ161" s="11">
        <v>141</v>
      </c>
      <c r="AK161" s="3" t="s">
        <v>4839</v>
      </c>
      <c r="AL161" s="3">
        <v>115000</v>
      </c>
      <c r="AM161" s="11"/>
      <c r="AN161" s="20">
        <f t="shared" si="35"/>
        <v>1037</v>
      </c>
      <c r="AO161" s="37">
        <f t="shared" si="36"/>
        <v>119255000</v>
      </c>
      <c r="AP161" s="20"/>
      <c r="AS161" t="s">
        <v>25</v>
      </c>
    </row>
    <row r="162" spans="10:45">
      <c r="J162" s="2" t="s">
        <v>5624</v>
      </c>
      <c r="K162" s="3">
        <v>984486.34963200008</v>
      </c>
      <c r="AA162" t="s">
        <v>25</v>
      </c>
      <c r="AJ162" s="11">
        <v>142</v>
      </c>
      <c r="AK162" s="3" t="s">
        <v>4847</v>
      </c>
      <c r="AL162" s="3">
        <v>-1100000</v>
      </c>
      <c r="AM162" s="11"/>
      <c r="AN162" s="20">
        <f t="shared" si="35"/>
        <v>1037</v>
      </c>
      <c r="AO162" s="37">
        <f t="shared" si="36"/>
        <v>-1140700000</v>
      </c>
      <c r="AP162" s="20" t="s">
        <v>4854</v>
      </c>
      <c r="AS162" t="s">
        <v>25</v>
      </c>
    </row>
    <row r="163" spans="10:45">
      <c r="J163" s="2" t="s">
        <v>5625</v>
      </c>
      <c r="K163" s="3">
        <v>2143469.938015</v>
      </c>
      <c r="Q163" t="s">
        <v>25</v>
      </c>
      <c r="V163" t="s">
        <v>25</v>
      </c>
      <c r="AJ163" s="11">
        <v>143</v>
      </c>
      <c r="AK163" s="3" t="s">
        <v>4847</v>
      </c>
      <c r="AL163" s="3">
        <v>900000</v>
      </c>
      <c r="AM163" s="11">
        <v>1</v>
      </c>
      <c r="AN163" s="20">
        <f t="shared" si="35"/>
        <v>1037</v>
      </c>
      <c r="AO163" s="37">
        <f t="shared" si="36"/>
        <v>933300000</v>
      </c>
      <c r="AP163" s="20" t="s">
        <v>4853</v>
      </c>
    </row>
    <row r="164" spans="10:45">
      <c r="J164" s="2" t="s">
        <v>5635</v>
      </c>
      <c r="K164" s="3">
        <v>3085460.5177150001</v>
      </c>
      <c r="Q164" t="s">
        <v>25</v>
      </c>
      <c r="U164" t="s">
        <v>25</v>
      </c>
      <c r="AJ164" s="11">
        <v>144</v>
      </c>
      <c r="AK164" s="3" t="s">
        <v>4851</v>
      </c>
      <c r="AL164" s="3">
        <v>2000000</v>
      </c>
      <c r="AM164" s="11">
        <v>0</v>
      </c>
      <c r="AN164" s="20">
        <f t="shared" si="35"/>
        <v>1036</v>
      </c>
      <c r="AO164" s="37">
        <f t="shared" si="36"/>
        <v>2072000000</v>
      </c>
      <c r="AP164" s="20"/>
    </row>
    <row r="165" spans="10:45">
      <c r="J165" s="2" t="s">
        <v>5636</v>
      </c>
      <c r="K165" s="3">
        <v>8261456.790906</v>
      </c>
      <c r="V165" s="11" t="s">
        <v>180</v>
      </c>
      <c r="W165" s="11" t="s">
        <v>4403</v>
      </c>
      <c r="X165" s="11" t="s">
        <v>4404</v>
      </c>
      <c r="Y165" s="11" t="s">
        <v>4414</v>
      </c>
      <c r="Z165" s="11" t="s">
        <v>8</v>
      </c>
      <c r="AA165" t="s">
        <v>25</v>
      </c>
      <c r="AD165" t="s">
        <v>25</v>
      </c>
      <c r="AJ165" s="11">
        <v>145</v>
      </c>
      <c r="AK165" s="3" t="s">
        <v>4851</v>
      </c>
      <c r="AL165" s="3">
        <v>360000</v>
      </c>
      <c r="AM165" s="11">
        <v>1</v>
      </c>
      <c r="AN165" s="20">
        <f t="shared" si="35"/>
        <v>1036</v>
      </c>
      <c r="AO165" s="37">
        <f t="shared" si="36"/>
        <v>372960000</v>
      </c>
      <c r="AP165" s="20"/>
    </row>
    <row r="166" spans="10:45">
      <c r="J166" s="2" t="s">
        <v>5637</v>
      </c>
      <c r="K166" s="3">
        <v>6572373.7593120001</v>
      </c>
      <c r="V166" s="3" t="s">
        <v>4389</v>
      </c>
      <c r="W166" s="2">
        <v>1000000</v>
      </c>
      <c r="X166" s="3">
        <v>239.024</v>
      </c>
      <c r="Y166" s="3">
        <f t="shared" ref="Y166:Y267" si="37">W166*X166</f>
        <v>239024000</v>
      </c>
      <c r="Z166" s="11"/>
      <c r="AB166" t="s">
        <v>25</v>
      </c>
      <c r="AJ166" s="11">
        <v>146</v>
      </c>
      <c r="AK166" s="3" t="s">
        <v>4852</v>
      </c>
      <c r="AL166" s="3">
        <v>3000000</v>
      </c>
      <c r="AM166" s="11">
        <v>1</v>
      </c>
      <c r="AN166" s="20">
        <f t="shared" si="35"/>
        <v>1035</v>
      </c>
      <c r="AO166" s="37">
        <f t="shared" si="36"/>
        <v>3105000000</v>
      </c>
      <c r="AP166" s="20"/>
    </row>
    <row r="167" spans="10:45">
      <c r="J167" s="2" t="s">
        <v>5641</v>
      </c>
      <c r="K167" s="3">
        <v>2893243.5730909999</v>
      </c>
      <c r="S167" s="303" t="s">
        <v>4478</v>
      </c>
      <c r="T167" s="1">
        <f>SUM(N42:N48)</f>
        <v>8903475782</v>
      </c>
      <c r="V167" s="2" t="s">
        <v>4373</v>
      </c>
      <c r="W167" s="2">
        <v>5904</v>
      </c>
      <c r="X167" s="3">
        <v>237.148</v>
      </c>
      <c r="Y167" s="3">
        <f t="shared" si="37"/>
        <v>1400121.7919999999</v>
      </c>
      <c r="Z167" s="11" t="s">
        <v>723</v>
      </c>
      <c r="AB167" t="s">
        <v>25</v>
      </c>
      <c r="AJ167" s="11">
        <v>147</v>
      </c>
      <c r="AK167" s="3" t="s">
        <v>4850</v>
      </c>
      <c r="AL167" s="3">
        <v>-658226</v>
      </c>
      <c r="AM167" s="11">
        <v>1</v>
      </c>
      <c r="AN167" s="20">
        <f t="shared" si="35"/>
        <v>1034</v>
      </c>
      <c r="AO167" s="37">
        <f t="shared" si="36"/>
        <v>-680605684</v>
      </c>
      <c r="AP167" s="20"/>
    </row>
    <row r="168" spans="10:45">
      <c r="J168" s="2" t="s">
        <v>5642</v>
      </c>
      <c r="K168" s="3">
        <v>94992058.939007998</v>
      </c>
      <c r="P168" t="s">
        <v>25</v>
      </c>
      <c r="S168" s="28" t="s">
        <v>4382</v>
      </c>
      <c r="T168" s="1">
        <f>SUM(N31:N35)</f>
        <v>5755825244</v>
      </c>
      <c r="V168" s="2" t="s">
        <v>4181</v>
      </c>
      <c r="W168" s="2">
        <v>1000</v>
      </c>
      <c r="X168" s="3">
        <v>247.393</v>
      </c>
      <c r="Y168" s="3">
        <f t="shared" si="37"/>
        <v>247393</v>
      </c>
      <c r="Z168" s="11" t="s">
        <v>723</v>
      </c>
      <c r="AA168" t="s">
        <v>25</v>
      </c>
      <c r="AJ168" s="11">
        <v>148</v>
      </c>
      <c r="AK168" s="3" t="s">
        <v>4855</v>
      </c>
      <c r="AL168" s="3">
        <v>1000000</v>
      </c>
      <c r="AM168" s="11">
        <v>15</v>
      </c>
      <c r="AN168" s="20">
        <f t="shared" si="35"/>
        <v>1033</v>
      </c>
      <c r="AO168" s="37">
        <f t="shared" si="36"/>
        <v>1033000000</v>
      </c>
      <c r="AP168" s="20"/>
      <c r="AR168" t="s">
        <v>25</v>
      </c>
    </row>
    <row r="169" spans="10:45">
      <c r="J169" s="2" t="s">
        <v>5645</v>
      </c>
      <c r="K169" s="3">
        <v>275021.925965</v>
      </c>
      <c r="Q169" s="7"/>
      <c r="S169" s="28" t="s">
        <v>4383</v>
      </c>
      <c r="T169" s="1">
        <f>SUM(N37:N38)</f>
        <v>573160171</v>
      </c>
      <c r="V169" s="245" t="s">
        <v>4415</v>
      </c>
      <c r="W169" s="245">
        <v>8071</v>
      </c>
      <c r="X169" s="78">
        <v>247.797</v>
      </c>
      <c r="Y169" s="78">
        <f t="shared" si="37"/>
        <v>1999969.5870000001</v>
      </c>
      <c r="Z169" s="77" t="s">
        <v>4380</v>
      </c>
      <c r="AA169" t="s">
        <v>25</v>
      </c>
      <c r="AJ169" s="11">
        <v>149</v>
      </c>
      <c r="AK169" s="3" t="s">
        <v>4879</v>
      </c>
      <c r="AL169" s="3">
        <v>1130250</v>
      </c>
      <c r="AM169" s="11">
        <v>5</v>
      </c>
      <c r="AN169" s="20">
        <f t="shared" si="33"/>
        <v>1018</v>
      </c>
      <c r="AO169" s="37">
        <f t="shared" si="34"/>
        <v>1150594500</v>
      </c>
      <c r="AP169" s="20"/>
    </row>
    <row r="170" spans="10:45">
      <c r="J170" s="2" t="s">
        <v>5650</v>
      </c>
      <c r="K170" s="3">
        <v>327451.9203</v>
      </c>
      <c r="S170" s="28" t="s">
        <v>4384</v>
      </c>
      <c r="T170" s="1">
        <f>N41</f>
        <v>760</v>
      </c>
      <c r="V170" s="2" t="s">
        <v>4415</v>
      </c>
      <c r="W170" s="2">
        <v>53672</v>
      </c>
      <c r="X170" s="3">
        <v>247.797</v>
      </c>
      <c r="Y170" s="3">
        <f t="shared" si="37"/>
        <v>13299760.584000001</v>
      </c>
      <c r="Z170" s="11" t="s">
        <v>433</v>
      </c>
      <c r="AA170" t="s">
        <v>25</v>
      </c>
      <c r="AG170" t="s">
        <v>25</v>
      </c>
      <c r="AJ170" s="11">
        <v>150</v>
      </c>
      <c r="AK170" s="3" t="s">
        <v>4887</v>
      </c>
      <c r="AL170" s="3">
        <v>206000</v>
      </c>
      <c r="AM170" s="11">
        <v>2</v>
      </c>
      <c r="AN170" s="20">
        <f t="shared" si="33"/>
        <v>1013</v>
      </c>
      <c r="AO170" s="37">
        <f t="shared" si="34"/>
        <v>208678000</v>
      </c>
      <c r="AP170" s="20"/>
    </row>
    <row r="171" spans="10:45">
      <c r="J171" s="2" t="s">
        <v>5660</v>
      </c>
      <c r="K171" s="3">
        <v>260081.94096800001</v>
      </c>
      <c r="S171" s="28" t="s">
        <v>4385</v>
      </c>
      <c r="T171" s="1">
        <f>N30</f>
        <v>4940</v>
      </c>
      <c r="V171" s="245" t="s">
        <v>4423</v>
      </c>
      <c r="W171" s="245">
        <v>4099</v>
      </c>
      <c r="X171" s="78">
        <v>243.93</v>
      </c>
      <c r="Y171" s="78">
        <f t="shared" si="37"/>
        <v>999869.07000000007</v>
      </c>
      <c r="Z171" s="77" t="s">
        <v>4380</v>
      </c>
      <c r="AC171" t="s">
        <v>25</v>
      </c>
      <c r="AJ171" s="11">
        <v>151</v>
      </c>
      <c r="AK171" s="3" t="s">
        <v>4894</v>
      </c>
      <c r="AL171" s="3">
        <v>50000</v>
      </c>
      <c r="AM171" s="11">
        <v>2</v>
      </c>
      <c r="AN171" s="20">
        <f t="shared" si="33"/>
        <v>1011</v>
      </c>
      <c r="AO171" s="37">
        <f t="shared" si="34"/>
        <v>50550000</v>
      </c>
      <c r="AP171" s="20"/>
    </row>
    <row r="172" spans="10:45">
      <c r="J172" s="2" t="s">
        <v>5668</v>
      </c>
      <c r="K172" s="3">
        <v>2909284.5308940001</v>
      </c>
      <c r="Q172" s="7"/>
      <c r="R172" s="7"/>
      <c r="S172" s="28" t="s">
        <v>4386</v>
      </c>
      <c r="T172" s="1">
        <f>N36</f>
        <v>1440</v>
      </c>
      <c r="V172" s="2" t="s">
        <v>4423</v>
      </c>
      <c r="W172" s="2">
        <v>9301</v>
      </c>
      <c r="X172" s="3">
        <v>243.93</v>
      </c>
      <c r="Y172" s="3">
        <f t="shared" si="37"/>
        <v>2268792.9300000002</v>
      </c>
      <c r="Z172" s="11" t="s">
        <v>433</v>
      </c>
      <c r="AB172" t="s">
        <v>25</v>
      </c>
      <c r="AJ172" s="11">
        <v>152</v>
      </c>
      <c r="AK172" s="3" t="s">
        <v>4898</v>
      </c>
      <c r="AL172" s="3">
        <v>105000</v>
      </c>
      <c r="AM172" s="11">
        <v>4</v>
      </c>
      <c r="AN172" s="20">
        <f t="shared" si="33"/>
        <v>1009</v>
      </c>
      <c r="AO172" s="37">
        <f t="shared" si="34"/>
        <v>105945000</v>
      </c>
      <c r="AP172" s="20"/>
    </row>
    <row r="173" spans="10:45">
      <c r="J173" s="2" t="s">
        <v>5669</v>
      </c>
      <c r="K173" s="3">
        <v>37723205.094084002</v>
      </c>
      <c r="S173" s="28" t="s">
        <v>5005</v>
      </c>
      <c r="T173" s="1">
        <v>0</v>
      </c>
      <c r="U173" t="s">
        <v>25</v>
      </c>
      <c r="V173" s="245" t="s">
        <v>4427</v>
      </c>
      <c r="W173" s="245">
        <v>8334</v>
      </c>
      <c r="X173" s="78">
        <v>239.97</v>
      </c>
      <c r="Y173" s="78">
        <f t="shared" si="37"/>
        <v>1999909.98</v>
      </c>
      <c r="Z173" s="77" t="s">
        <v>4380</v>
      </c>
      <c r="AJ173" s="11">
        <v>153</v>
      </c>
      <c r="AK173" s="3" t="s">
        <v>4902</v>
      </c>
      <c r="AL173" s="3">
        <v>5000000</v>
      </c>
      <c r="AM173" s="11">
        <v>1</v>
      </c>
      <c r="AN173" s="20">
        <f t="shared" si="33"/>
        <v>1005</v>
      </c>
      <c r="AO173" s="37">
        <f t="shared" si="34"/>
        <v>5025000000</v>
      </c>
      <c r="AP173" s="20"/>
    </row>
    <row r="174" spans="10:45">
      <c r="J174" s="2" t="s">
        <v>5670</v>
      </c>
      <c r="K174" s="3">
        <v>1500094.75168</v>
      </c>
      <c r="Q174" s="7"/>
      <c r="S174" s="28" t="s">
        <v>6976</v>
      </c>
      <c r="T174" s="1">
        <v>-786</v>
      </c>
      <c r="V174" s="2" t="s">
        <v>4180</v>
      </c>
      <c r="W174" s="2">
        <v>29041</v>
      </c>
      <c r="X174" s="3">
        <v>233.45</v>
      </c>
      <c r="Y174" s="3">
        <f t="shared" si="37"/>
        <v>6779621.4499999993</v>
      </c>
      <c r="Z174" s="11" t="s">
        <v>723</v>
      </c>
      <c r="AA174" t="s">
        <v>25</v>
      </c>
      <c r="AJ174" s="11">
        <v>154</v>
      </c>
      <c r="AK174" s="3" t="s">
        <v>4903</v>
      </c>
      <c r="AL174" s="3">
        <v>2500000</v>
      </c>
      <c r="AM174" s="11">
        <v>2</v>
      </c>
      <c r="AN174" s="20">
        <f t="shared" si="33"/>
        <v>1004</v>
      </c>
      <c r="AO174" s="37">
        <f t="shared" si="34"/>
        <v>2510000000</v>
      </c>
      <c r="AP174" s="20"/>
    </row>
    <row r="175" spans="10:45">
      <c r="J175" s="2" t="s">
        <v>5671</v>
      </c>
      <c r="K175" s="3">
        <v>7230628.4378079996</v>
      </c>
      <c r="Q175" s="7"/>
      <c r="S175" s="28" t="s">
        <v>6991</v>
      </c>
      <c r="T175" s="1">
        <f>-89144*P44</f>
        <v>-44037136</v>
      </c>
      <c r="V175" s="245" t="s">
        <v>957</v>
      </c>
      <c r="W175" s="245">
        <v>12337</v>
      </c>
      <c r="X175" s="78">
        <v>243.16300000000001</v>
      </c>
      <c r="Y175" s="78">
        <f t="shared" si="37"/>
        <v>2999901.9310000003</v>
      </c>
      <c r="Z175" s="77" t="s">
        <v>4380</v>
      </c>
      <c r="AJ175" s="195">
        <v>155</v>
      </c>
      <c r="AK175" s="191" t="s">
        <v>4909</v>
      </c>
      <c r="AL175" s="191">
        <v>-50000000</v>
      </c>
      <c r="AM175" s="195">
        <v>7</v>
      </c>
      <c r="AN175" s="195">
        <f t="shared" si="33"/>
        <v>1002</v>
      </c>
      <c r="AO175" s="191">
        <f t="shared" si="34"/>
        <v>-50100000000</v>
      </c>
      <c r="AP175" s="195" t="s">
        <v>4917</v>
      </c>
    </row>
    <row r="176" spans="10:45">
      <c r="J176" s="2" t="s">
        <v>5673</v>
      </c>
      <c r="K176" s="3">
        <v>29767389.390390001</v>
      </c>
      <c r="S176" s="28"/>
      <c r="T176" s="1"/>
      <c r="V176" s="2" t="s">
        <v>4495</v>
      </c>
      <c r="W176" s="2">
        <v>-16118</v>
      </c>
      <c r="X176" s="3">
        <v>248.17</v>
      </c>
      <c r="Y176" s="3">
        <f t="shared" si="37"/>
        <v>-4000004.0599999996</v>
      </c>
      <c r="Z176" s="11" t="s">
        <v>723</v>
      </c>
      <c r="AA176" t="s">
        <v>25</v>
      </c>
      <c r="AJ176" s="11">
        <v>156</v>
      </c>
      <c r="AK176" s="3" t="s">
        <v>4915</v>
      </c>
      <c r="AL176" s="3">
        <v>10000000</v>
      </c>
      <c r="AM176" s="11">
        <v>12</v>
      </c>
      <c r="AN176" s="20">
        <f t="shared" si="33"/>
        <v>995</v>
      </c>
      <c r="AO176" s="37">
        <f t="shared" si="34"/>
        <v>9950000000</v>
      </c>
      <c r="AP176" s="20" t="s">
        <v>4634</v>
      </c>
    </row>
    <row r="177" spans="5:45">
      <c r="J177" s="2" t="s">
        <v>5675</v>
      </c>
      <c r="K177" s="3">
        <v>151560.25597</v>
      </c>
      <c r="P177" t="s">
        <v>25</v>
      </c>
      <c r="Q177" s="7"/>
      <c r="S177" s="28" t="s">
        <v>5006</v>
      </c>
      <c r="T177" s="1">
        <v>0</v>
      </c>
      <c r="V177" s="2" t="s">
        <v>4516</v>
      </c>
      <c r="W177" s="2">
        <v>101681</v>
      </c>
      <c r="X177" s="3">
        <v>246.5711</v>
      </c>
      <c r="Y177" s="3">
        <f t="shared" si="37"/>
        <v>25071596.019099999</v>
      </c>
      <c r="Z177" s="11" t="s">
        <v>433</v>
      </c>
      <c r="AJ177" s="11">
        <v>157</v>
      </c>
      <c r="AK177" s="3" t="s">
        <v>4922</v>
      </c>
      <c r="AL177" s="3">
        <v>-16266000</v>
      </c>
      <c r="AM177" s="11">
        <v>1</v>
      </c>
      <c r="AN177" s="20">
        <f t="shared" si="33"/>
        <v>983</v>
      </c>
      <c r="AO177" s="37">
        <f t="shared" si="34"/>
        <v>-15989478000</v>
      </c>
      <c r="AP177" s="20" t="s">
        <v>4930</v>
      </c>
      <c r="AS177" t="s">
        <v>25</v>
      </c>
    </row>
    <row r="178" spans="5:45">
      <c r="J178" s="2" t="s">
        <v>5676</v>
      </c>
      <c r="K178" s="3">
        <v>481318.88078800001</v>
      </c>
      <c r="Q178" s="7"/>
      <c r="R178" s="7"/>
      <c r="S178" s="28" t="s">
        <v>4388</v>
      </c>
      <c r="T178" s="1">
        <f>SUM(T167:T177)</f>
        <v>15188430415</v>
      </c>
      <c r="V178" s="2" t="s">
        <v>4520</v>
      </c>
      <c r="W178" s="2">
        <v>66606</v>
      </c>
      <c r="X178" s="3">
        <v>251.131</v>
      </c>
      <c r="Y178" s="3">
        <f t="shared" si="37"/>
        <v>16726831.386</v>
      </c>
      <c r="Z178" s="11" t="s">
        <v>723</v>
      </c>
      <c r="AJ178" s="11">
        <v>158</v>
      </c>
      <c r="AK178" s="3" t="s">
        <v>4931</v>
      </c>
      <c r="AL178" s="3">
        <v>1000000</v>
      </c>
      <c r="AM178" s="11">
        <v>6</v>
      </c>
      <c r="AN178" s="20">
        <f>AN179+AM178</f>
        <v>982</v>
      </c>
      <c r="AO178" s="37">
        <f>AL178*AN178</f>
        <v>982000000</v>
      </c>
      <c r="AP178" s="20"/>
    </row>
    <row r="179" spans="5:45">
      <c r="J179" s="2" t="s">
        <v>5678</v>
      </c>
      <c r="K179" s="3">
        <v>146277.56820000001</v>
      </c>
      <c r="Q179" s="7"/>
      <c r="V179" s="2" t="s">
        <v>4525</v>
      </c>
      <c r="W179" s="2">
        <v>172025</v>
      </c>
      <c r="X179" s="3">
        <v>245.52809999999999</v>
      </c>
      <c r="Y179" s="3">
        <f t="shared" si="37"/>
        <v>42236971.402499996</v>
      </c>
      <c r="Z179" s="11" t="s">
        <v>433</v>
      </c>
      <c r="AJ179" s="11">
        <v>159</v>
      </c>
      <c r="AK179" s="3" t="s">
        <v>4939</v>
      </c>
      <c r="AL179" s="3">
        <v>40000</v>
      </c>
      <c r="AM179" s="11">
        <v>5</v>
      </c>
      <c r="AN179" s="20">
        <f>AN180+AM179</f>
        <v>976</v>
      </c>
      <c r="AO179" s="37">
        <f>AL179*AN179</f>
        <v>39040000</v>
      </c>
      <c r="AP179" s="20"/>
    </row>
    <row r="180" spans="5:45">
      <c r="J180" s="2" t="s">
        <v>5689</v>
      </c>
      <c r="K180" s="3">
        <v>424693.40162399999</v>
      </c>
      <c r="R180" s="7"/>
      <c r="V180" s="2" t="s">
        <v>4525</v>
      </c>
      <c r="W180" s="2">
        <v>189227</v>
      </c>
      <c r="X180" s="3">
        <v>245.52809999999999</v>
      </c>
      <c r="Y180" s="3">
        <f t="shared" si="37"/>
        <v>46460545.778700002</v>
      </c>
      <c r="Z180" s="11" t="s">
        <v>723</v>
      </c>
      <c r="AJ180" s="11">
        <v>160</v>
      </c>
      <c r="AK180" s="3" t="s">
        <v>4947</v>
      </c>
      <c r="AL180" s="3">
        <v>120000</v>
      </c>
      <c r="AM180" s="11">
        <v>6</v>
      </c>
      <c r="AN180" s="20">
        <f>AN181+AM180</f>
        <v>971</v>
      </c>
      <c r="AO180" s="37">
        <f>AL180*AN180</f>
        <v>116520000</v>
      </c>
      <c r="AP180" s="20"/>
    </row>
    <row r="181" spans="5:45">
      <c r="J181" s="2" t="s">
        <v>5692</v>
      </c>
      <c r="K181" s="3">
        <v>558320.40202399995</v>
      </c>
      <c r="S181" s="2" t="s">
        <v>8</v>
      </c>
      <c r="T181" s="2" t="s">
        <v>4380</v>
      </c>
      <c r="U181" s="2"/>
      <c r="V181" s="2" t="s">
        <v>4526</v>
      </c>
      <c r="W181" s="2">
        <v>79720</v>
      </c>
      <c r="X181" s="3">
        <v>246.6568</v>
      </c>
      <c r="Y181" s="3">
        <f t="shared" si="37"/>
        <v>19663480.096000001</v>
      </c>
      <c r="Z181" s="11" t="s">
        <v>433</v>
      </c>
      <c r="AA181" s="8" t="s">
        <v>25</v>
      </c>
      <c r="AB181" t="s">
        <v>25</v>
      </c>
      <c r="AJ181" s="11">
        <v>161</v>
      </c>
      <c r="AK181" s="3" t="s">
        <v>4944</v>
      </c>
      <c r="AL181" s="3">
        <v>249000</v>
      </c>
      <c r="AM181" s="11">
        <v>9</v>
      </c>
      <c r="AN181" s="20">
        <f>AN182+AM181</f>
        <v>965</v>
      </c>
      <c r="AO181" s="37">
        <f>AL181*AN181</f>
        <v>240285000</v>
      </c>
      <c r="AP181" s="20"/>
    </row>
    <row r="182" spans="5:45">
      <c r="E182" t="s">
        <v>25</v>
      </c>
      <c r="J182" s="2" t="s">
        <v>5694</v>
      </c>
      <c r="K182" s="3">
        <v>207642.22201140001</v>
      </c>
      <c r="S182" s="2"/>
      <c r="T182" s="60" t="s">
        <v>180</v>
      </c>
      <c r="U182" s="2" t="s">
        <v>267</v>
      </c>
      <c r="V182" s="2" t="s">
        <v>4526</v>
      </c>
      <c r="W182" s="2">
        <v>79720</v>
      </c>
      <c r="X182" s="3">
        <v>246.6568</v>
      </c>
      <c r="Y182" s="3">
        <f t="shared" si="37"/>
        <v>19663480.096000001</v>
      </c>
      <c r="Z182" s="11" t="s">
        <v>723</v>
      </c>
      <c r="AJ182" s="11">
        <v>162</v>
      </c>
      <c r="AK182" s="3" t="s">
        <v>4969</v>
      </c>
      <c r="AL182" s="3">
        <v>65000</v>
      </c>
      <c r="AM182" s="11">
        <v>7</v>
      </c>
      <c r="AN182" s="20">
        <f>AN183+AM182</f>
        <v>956</v>
      </c>
      <c r="AO182" s="37">
        <f>AL182*AN182</f>
        <v>62140000</v>
      </c>
      <c r="AP182" s="20"/>
    </row>
    <row r="183" spans="5:45">
      <c r="J183" s="219" t="s">
        <v>5725</v>
      </c>
      <c r="K183" s="76">
        <v>637977.33504399995</v>
      </c>
      <c r="S183" s="2"/>
      <c r="T183" s="2" t="s">
        <v>4373</v>
      </c>
      <c r="U183" s="3">
        <v>3000000</v>
      </c>
      <c r="V183" s="2" t="s">
        <v>4547</v>
      </c>
      <c r="W183" s="2">
        <v>17769</v>
      </c>
      <c r="X183" s="3">
        <v>246.17877999999999</v>
      </c>
      <c r="Y183" s="3">
        <f t="shared" si="37"/>
        <v>4374350.7418200001</v>
      </c>
      <c r="Z183" s="11" t="s">
        <v>723</v>
      </c>
      <c r="AJ183" s="11">
        <v>163</v>
      </c>
      <c r="AK183" s="3" t="s">
        <v>4978</v>
      </c>
      <c r="AL183" s="3">
        <v>-312598</v>
      </c>
      <c r="AM183" s="11">
        <v>0</v>
      </c>
      <c r="AN183" s="20">
        <f t="shared" ref="AN183:AN190" si="38">AN184+AM183</f>
        <v>949</v>
      </c>
      <c r="AO183" s="37">
        <f t="shared" ref="AO183:AO190" si="39">AL183*AN183</f>
        <v>-296655502</v>
      </c>
      <c r="AP183" s="20"/>
      <c r="AQ183" t="s">
        <v>25</v>
      </c>
      <c r="AS183" t="s">
        <v>25</v>
      </c>
    </row>
    <row r="184" spans="5:45">
      <c r="J184" s="2" t="s">
        <v>5726</v>
      </c>
      <c r="K184" s="3">
        <v>466552.25632400002</v>
      </c>
      <c r="Q184" s="7"/>
      <c r="S184" s="2"/>
      <c r="T184" s="2" t="s">
        <v>4415</v>
      </c>
      <c r="U184" s="3">
        <v>2000000</v>
      </c>
      <c r="V184" s="2" t="s">
        <v>4547</v>
      </c>
      <c r="W184" s="2">
        <v>17769</v>
      </c>
      <c r="X184" s="3">
        <v>246.17877999999999</v>
      </c>
      <c r="Y184" s="3">
        <f t="shared" si="37"/>
        <v>4374350.7418200001</v>
      </c>
      <c r="Z184" s="11" t="s">
        <v>433</v>
      </c>
      <c r="AD184" t="s">
        <v>25</v>
      </c>
      <c r="AJ184" s="11">
        <v>164</v>
      </c>
      <c r="AK184" s="3" t="s">
        <v>4978</v>
      </c>
      <c r="AL184" s="3">
        <v>50000</v>
      </c>
      <c r="AM184" s="11">
        <v>6</v>
      </c>
      <c r="AN184" s="20">
        <f t="shared" si="38"/>
        <v>949</v>
      </c>
      <c r="AO184" s="37">
        <f t="shared" si="39"/>
        <v>47450000</v>
      </c>
      <c r="AP184" s="20"/>
    </row>
    <row r="185" spans="5:45">
      <c r="J185" s="2" t="s">
        <v>5727</v>
      </c>
      <c r="K185" s="3">
        <v>189134.85153000001</v>
      </c>
      <c r="Q185" s="7"/>
      <c r="R185" s="7"/>
      <c r="S185" s="2"/>
      <c r="T185" s="2" t="s">
        <v>4423</v>
      </c>
      <c r="U185" s="3">
        <v>1000000</v>
      </c>
      <c r="V185" s="245" t="s">
        <v>4549</v>
      </c>
      <c r="W185" s="245">
        <v>12438</v>
      </c>
      <c r="X185" s="78">
        <v>241.20465999999999</v>
      </c>
      <c r="Y185" s="78">
        <f t="shared" si="37"/>
        <v>3000103.5610799999</v>
      </c>
      <c r="Z185" s="77" t="s">
        <v>4380</v>
      </c>
      <c r="AJ185" s="11">
        <v>165</v>
      </c>
      <c r="AK185" s="3" t="s">
        <v>4988</v>
      </c>
      <c r="AL185" s="3">
        <v>-200000</v>
      </c>
      <c r="AM185" s="11">
        <v>0</v>
      </c>
      <c r="AN185" s="20">
        <f t="shared" si="38"/>
        <v>943</v>
      </c>
      <c r="AO185" s="37">
        <f t="shared" si="39"/>
        <v>-188600000</v>
      </c>
      <c r="AP185" s="20" t="s">
        <v>4989</v>
      </c>
    </row>
    <row r="186" spans="5:45">
      <c r="J186" s="2" t="s">
        <v>5729</v>
      </c>
      <c r="K186" s="3">
        <v>564888.82799599995</v>
      </c>
      <c r="Q186" s="7"/>
      <c r="R186" s="7"/>
      <c r="S186" s="2"/>
      <c r="T186" s="2" t="s">
        <v>4427</v>
      </c>
      <c r="U186" s="3">
        <v>2000000</v>
      </c>
      <c r="V186" s="2" t="s">
        <v>4558</v>
      </c>
      <c r="W186" s="2">
        <v>27363</v>
      </c>
      <c r="X186" s="3">
        <v>239.3886</v>
      </c>
      <c r="Y186" s="3">
        <f t="shared" si="37"/>
        <v>6550390.2617999995</v>
      </c>
      <c r="Z186" s="11" t="s">
        <v>723</v>
      </c>
      <c r="AJ186" s="11">
        <v>166</v>
      </c>
      <c r="AK186" s="3" t="s">
        <v>4988</v>
      </c>
      <c r="AL186" s="3">
        <v>200000</v>
      </c>
      <c r="AM186" s="11">
        <v>3</v>
      </c>
      <c r="AN186" s="20">
        <f t="shared" si="38"/>
        <v>943</v>
      </c>
      <c r="AO186" s="37">
        <f t="shared" si="39"/>
        <v>188600000</v>
      </c>
      <c r="AP186" s="20"/>
      <c r="AS186" t="s">
        <v>25</v>
      </c>
    </row>
    <row r="187" spans="5:45">
      <c r="J187" s="2" t="s">
        <v>5754</v>
      </c>
      <c r="K187" s="3">
        <v>259993.58394100002</v>
      </c>
      <c r="P187" s="7"/>
      <c r="Q187" s="7"/>
      <c r="R187" s="7"/>
      <c r="S187" s="2"/>
      <c r="T187" s="2" t="s">
        <v>957</v>
      </c>
      <c r="U187" s="3">
        <v>3000000</v>
      </c>
      <c r="V187" s="2" t="s">
        <v>4558</v>
      </c>
      <c r="W187" s="2">
        <v>27363</v>
      </c>
      <c r="X187" s="3">
        <v>239.3886</v>
      </c>
      <c r="Y187" s="3">
        <f t="shared" si="37"/>
        <v>6550390.2617999995</v>
      </c>
      <c r="Z187" s="11" t="s">
        <v>433</v>
      </c>
      <c r="AJ187" s="11">
        <v>167</v>
      </c>
      <c r="AK187" s="3" t="s">
        <v>4995</v>
      </c>
      <c r="AL187" s="3">
        <v>200000</v>
      </c>
      <c r="AM187" s="11">
        <v>3</v>
      </c>
      <c r="AN187" s="20">
        <f t="shared" si="38"/>
        <v>940</v>
      </c>
      <c r="AO187" s="37">
        <f t="shared" si="39"/>
        <v>188000000</v>
      </c>
      <c r="AP187" s="20"/>
    </row>
    <row r="188" spans="5:45">
      <c r="J188" s="2" t="s">
        <v>5755</v>
      </c>
      <c r="K188" s="3">
        <v>269955.31205999997</v>
      </c>
      <c r="Q188" s="7"/>
      <c r="R188" s="7"/>
      <c r="S188" s="2"/>
      <c r="T188" s="2" t="s">
        <v>4549</v>
      </c>
      <c r="U188" s="3">
        <v>3000000</v>
      </c>
      <c r="V188" s="2" t="s">
        <v>4560</v>
      </c>
      <c r="W188" s="2">
        <v>27437</v>
      </c>
      <c r="X188" s="3">
        <v>242.4015</v>
      </c>
      <c r="Y188" s="3">
        <f t="shared" si="37"/>
        <v>6650769.9555000002</v>
      </c>
      <c r="Z188" s="11" t="s">
        <v>723</v>
      </c>
      <c r="AJ188" s="11">
        <v>168</v>
      </c>
      <c r="AK188" s="3" t="s">
        <v>4998</v>
      </c>
      <c r="AL188" s="3">
        <v>30000</v>
      </c>
      <c r="AM188" s="11">
        <v>7</v>
      </c>
      <c r="AN188" s="20">
        <f t="shared" si="38"/>
        <v>937</v>
      </c>
      <c r="AO188" s="37">
        <f t="shared" si="39"/>
        <v>28110000</v>
      </c>
      <c r="AP188" s="20"/>
    </row>
    <row r="189" spans="5:45">
      <c r="J189" s="2" t="s">
        <v>6107</v>
      </c>
      <c r="K189" s="3">
        <v>560534.38387200003</v>
      </c>
      <c r="Q189" s="7"/>
      <c r="R189" s="7"/>
      <c r="S189" s="2" t="s">
        <v>4707</v>
      </c>
      <c r="T189" s="2" t="s">
        <v>4702</v>
      </c>
      <c r="U189" s="3">
        <v>-800000</v>
      </c>
      <c r="V189" s="2" t="s">
        <v>4560</v>
      </c>
      <c r="W189" s="2">
        <v>29104</v>
      </c>
      <c r="X189" s="3">
        <v>242.4015</v>
      </c>
      <c r="Y189" s="3">
        <f t="shared" si="37"/>
        <v>7054853.2560000001</v>
      </c>
      <c r="Z189" s="11" t="s">
        <v>433</v>
      </c>
      <c r="AJ189" s="11">
        <v>169</v>
      </c>
      <c r="AK189" s="3" t="s">
        <v>4957</v>
      </c>
      <c r="AL189" s="3">
        <v>-10000000</v>
      </c>
      <c r="AM189" s="11">
        <v>0</v>
      </c>
      <c r="AN189" s="20">
        <f t="shared" si="38"/>
        <v>930</v>
      </c>
      <c r="AO189" s="37">
        <f t="shared" si="39"/>
        <v>-9300000000</v>
      </c>
      <c r="AP189" s="20" t="s">
        <v>4917</v>
      </c>
    </row>
    <row r="190" spans="5:45">
      <c r="J190" s="2" t="s">
        <v>6109</v>
      </c>
      <c r="K190" s="3">
        <v>581484.96802499995</v>
      </c>
      <c r="Q190" s="7"/>
      <c r="R190" s="7"/>
      <c r="S190" s="2" t="s">
        <v>4708</v>
      </c>
      <c r="T190" s="2" t="s">
        <v>4702</v>
      </c>
      <c r="U190" s="3">
        <v>-900000</v>
      </c>
      <c r="V190" s="2" t="s">
        <v>4573</v>
      </c>
      <c r="W190" s="2">
        <v>8991</v>
      </c>
      <c r="X190" s="3">
        <v>238.64867000000001</v>
      </c>
      <c r="Y190" s="3">
        <f t="shared" si="37"/>
        <v>2145690.19197</v>
      </c>
      <c r="Z190" s="11" t="s">
        <v>723</v>
      </c>
      <c r="AJ190" s="11">
        <v>170</v>
      </c>
      <c r="AK190" s="3" t="s">
        <v>4957</v>
      </c>
      <c r="AL190" s="3">
        <v>6000000</v>
      </c>
      <c r="AM190" s="11">
        <v>8</v>
      </c>
      <c r="AN190" s="20">
        <f t="shared" si="38"/>
        <v>930</v>
      </c>
      <c r="AO190" s="37">
        <f t="shared" si="39"/>
        <v>5580000000</v>
      </c>
      <c r="AP190" s="20"/>
      <c r="AR190" t="s">
        <v>25</v>
      </c>
    </row>
    <row r="191" spans="5:45">
      <c r="J191" s="2" t="s">
        <v>6111</v>
      </c>
      <c r="K191" s="3">
        <v>2136964.3409779998</v>
      </c>
      <c r="Q191" s="7"/>
      <c r="R191" s="7"/>
      <c r="S191" s="2" t="s">
        <v>4708</v>
      </c>
      <c r="T191" s="2" t="s">
        <v>944</v>
      </c>
      <c r="U191" s="3">
        <v>-1100000</v>
      </c>
      <c r="V191" s="2" t="s">
        <v>4573</v>
      </c>
      <c r="W191" s="2">
        <v>8991</v>
      </c>
      <c r="X191" s="3">
        <v>238.64867000000001</v>
      </c>
      <c r="Y191" s="3">
        <f t="shared" si="37"/>
        <v>2145690.19197</v>
      </c>
      <c r="Z191" s="11" t="s">
        <v>433</v>
      </c>
      <c r="AJ191" s="11">
        <v>171</v>
      </c>
      <c r="AK191" s="3" t="s">
        <v>5022</v>
      </c>
      <c r="AL191" s="3">
        <v>150000</v>
      </c>
      <c r="AM191" s="11">
        <v>7</v>
      </c>
      <c r="AN191" s="20">
        <f>AN192+AM191</f>
        <v>922</v>
      </c>
      <c r="AO191" s="37">
        <f>AL191*AN191</f>
        <v>138300000</v>
      </c>
      <c r="AP191" s="20"/>
    </row>
    <row r="192" spans="5:45">
      <c r="J192" s="2" t="s">
        <v>6114</v>
      </c>
      <c r="K192" s="3">
        <v>593783.22629999998</v>
      </c>
      <c r="Q192" s="7"/>
      <c r="R192" s="7"/>
      <c r="S192" s="146" t="s">
        <v>1049</v>
      </c>
      <c r="T192" s="146" t="s">
        <v>4730</v>
      </c>
      <c r="U192" s="149">
        <v>30000000</v>
      </c>
      <c r="V192" s="2" t="s">
        <v>4583</v>
      </c>
      <c r="W192" s="2">
        <v>18170</v>
      </c>
      <c r="X192" s="3">
        <v>240.48475999999999</v>
      </c>
      <c r="Y192" s="3">
        <f t="shared" si="37"/>
        <v>4369608.0892000003</v>
      </c>
      <c r="Z192" s="11" t="s">
        <v>723</v>
      </c>
      <c r="AJ192" s="11">
        <v>172</v>
      </c>
      <c r="AK192" s="3" t="s">
        <v>5055</v>
      </c>
      <c r="AL192" s="3">
        <v>400000</v>
      </c>
      <c r="AM192" s="11">
        <v>1</v>
      </c>
      <c r="AN192" s="20">
        <f>AN193+AM192</f>
        <v>915</v>
      </c>
      <c r="AO192" s="37">
        <f>AL192*AN192</f>
        <v>366000000</v>
      </c>
      <c r="AP192" s="20"/>
    </row>
    <row r="193" spans="10:47">
      <c r="J193" s="2" t="s">
        <v>6118</v>
      </c>
      <c r="K193" s="3">
        <v>469469.96222000004</v>
      </c>
      <c r="Q193" s="7"/>
      <c r="R193" s="7"/>
      <c r="S193" s="19" t="s">
        <v>4804</v>
      </c>
      <c r="T193" s="19" t="s">
        <v>4802</v>
      </c>
      <c r="U193" s="37">
        <v>2000000</v>
      </c>
      <c r="V193" s="2" t="s">
        <v>4583</v>
      </c>
      <c r="W193" s="2">
        <v>18170</v>
      </c>
      <c r="X193" s="3">
        <v>240.48475999999999</v>
      </c>
      <c r="Y193" s="3">
        <f t="shared" si="37"/>
        <v>4369608.0892000003</v>
      </c>
      <c r="Z193" s="11" t="s">
        <v>433</v>
      </c>
      <c r="AJ193" s="11">
        <v>173</v>
      </c>
      <c r="AK193" s="3" t="s">
        <v>5058</v>
      </c>
      <c r="AL193" s="3">
        <v>-100000</v>
      </c>
      <c r="AM193" s="11">
        <v>1</v>
      </c>
      <c r="AN193" s="20">
        <f>AN194+AM193</f>
        <v>914</v>
      </c>
      <c r="AO193" s="37">
        <f>AL193*AN193</f>
        <v>-91400000</v>
      </c>
      <c r="AP193" s="20"/>
    </row>
    <row r="194" spans="10:47">
      <c r="J194" s="2" t="s">
        <v>6148</v>
      </c>
      <c r="K194" s="3">
        <v>15777944</v>
      </c>
      <c r="Q194" s="7"/>
      <c r="R194" s="7"/>
      <c r="S194" s="145" t="s">
        <v>4825</v>
      </c>
      <c r="T194" s="145" t="s">
        <v>4824</v>
      </c>
      <c r="U194" s="144">
        <v>480105</v>
      </c>
      <c r="V194" s="2" t="s">
        <v>4585</v>
      </c>
      <c r="W194" s="2">
        <v>36797</v>
      </c>
      <c r="X194" s="3">
        <v>239.0822</v>
      </c>
      <c r="Y194" s="3">
        <f t="shared" si="37"/>
        <v>8797507.7134000007</v>
      </c>
      <c r="Z194" s="11" t="s">
        <v>723</v>
      </c>
      <c r="AJ194" s="11">
        <v>174</v>
      </c>
      <c r="AK194" s="3" t="s">
        <v>5062</v>
      </c>
      <c r="AL194" s="3">
        <v>10000000</v>
      </c>
      <c r="AM194" s="11">
        <v>1</v>
      </c>
      <c r="AN194" s="20">
        <f>AN195+AM194</f>
        <v>913</v>
      </c>
      <c r="AO194" s="37">
        <f>AL194*AN194</f>
        <v>9130000000</v>
      </c>
      <c r="AP194" s="20" t="s">
        <v>4634</v>
      </c>
      <c r="AU194" t="s">
        <v>25</v>
      </c>
    </row>
    <row r="195" spans="10:47">
      <c r="J195" s="2" t="s">
        <v>6155</v>
      </c>
      <c r="K195" s="3">
        <v>3585319.2317280001</v>
      </c>
      <c r="Q195" s="7"/>
      <c r="R195" s="7"/>
      <c r="S195" s="145"/>
      <c r="T195" s="145" t="s">
        <v>4865</v>
      </c>
      <c r="U195" s="144">
        <v>30500000</v>
      </c>
      <c r="V195" s="2" t="s">
        <v>4585</v>
      </c>
      <c r="W195" s="2">
        <v>36797</v>
      </c>
      <c r="X195" s="3">
        <v>239.0822</v>
      </c>
      <c r="Y195" s="3">
        <f t="shared" si="37"/>
        <v>8797507.7134000007</v>
      </c>
      <c r="Z195" s="11" t="s">
        <v>433</v>
      </c>
      <c r="AB195" t="s">
        <v>25</v>
      </c>
      <c r="AJ195" s="11">
        <v>175</v>
      </c>
      <c r="AK195" s="3" t="s">
        <v>5067</v>
      </c>
      <c r="AL195" s="3">
        <v>-400000</v>
      </c>
      <c r="AM195" s="11">
        <v>6</v>
      </c>
      <c r="AN195" s="20">
        <f t="shared" ref="AN195:AN203" si="40">AN196+AM195</f>
        <v>912</v>
      </c>
      <c r="AO195" s="37">
        <f t="shared" ref="AO195:AO203" si="41">AL195*AN195</f>
        <v>-364800000</v>
      </c>
      <c r="AP195" s="20"/>
    </row>
    <row r="196" spans="10:47">
      <c r="J196" s="2" t="s">
        <v>6158</v>
      </c>
      <c r="K196" s="3">
        <v>676700.69889600005</v>
      </c>
      <c r="Q196" s="7"/>
      <c r="R196" s="7"/>
      <c r="S196" s="19" t="s">
        <v>4892</v>
      </c>
      <c r="T196" s="19" t="s">
        <v>4887</v>
      </c>
      <c r="U196" s="37">
        <v>-400000</v>
      </c>
      <c r="V196" s="2" t="s">
        <v>4594</v>
      </c>
      <c r="W196" s="2">
        <v>28066</v>
      </c>
      <c r="X196" s="3">
        <v>237.56970000000001</v>
      </c>
      <c r="Y196" s="3">
        <f t="shared" si="37"/>
        <v>6667631.2002000008</v>
      </c>
      <c r="Z196" s="11" t="s">
        <v>723</v>
      </c>
      <c r="AJ196" s="11">
        <v>176</v>
      </c>
      <c r="AK196" s="3" t="s">
        <v>5074</v>
      </c>
      <c r="AL196" s="3">
        <v>1300000</v>
      </c>
      <c r="AM196" s="11">
        <v>0</v>
      </c>
      <c r="AN196" s="20">
        <f t="shared" si="40"/>
        <v>906</v>
      </c>
      <c r="AO196" s="37">
        <f t="shared" si="41"/>
        <v>1177800000</v>
      </c>
      <c r="AP196" s="20"/>
      <c r="AT196" t="s">
        <v>25</v>
      </c>
    </row>
    <row r="197" spans="10:47">
      <c r="J197" s="2" t="s">
        <v>6166</v>
      </c>
      <c r="K197" s="3">
        <v>1105777.5430340001</v>
      </c>
      <c r="Q197" s="7"/>
      <c r="R197" s="7"/>
      <c r="S197" s="145" t="s">
        <v>5001</v>
      </c>
      <c r="T197" s="145" t="s">
        <v>4922</v>
      </c>
      <c r="U197" s="144">
        <v>-349550</v>
      </c>
      <c r="V197" s="2" t="s">
        <v>4594</v>
      </c>
      <c r="W197" s="2">
        <v>28066</v>
      </c>
      <c r="X197" s="3">
        <v>237.56970000000001</v>
      </c>
      <c r="Y197" s="3">
        <f t="shared" si="37"/>
        <v>6667631.2002000008</v>
      </c>
      <c r="Z197" s="11" t="s">
        <v>433</v>
      </c>
      <c r="AA197" t="s">
        <v>25</v>
      </c>
      <c r="AJ197" s="11">
        <v>177</v>
      </c>
      <c r="AK197" s="3" t="s">
        <v>5074</v>
      </c>
      <c r="AL197" s="3">
        <v>230000</v>
      </c>
      <c r="AM197" s="11">
        <v>1</v>
      </c>
      <c r="AN197" s="20">
        <f t="shared" si="40"/>
        <v>906</v>
      </c>
      <c r="AO197" s="37">
        <f t="shared" si="41"/>
        <v>208380000</v>
      </c>
      <c r="AP197" s="20"/>
    </row>
    <row r="198" spans="10:47">
      <c r="J198" s="2" t="s">
        <v>6168</v>
      </c>
      <c r="K198" s="3">
        <v>2315234.8602510002</v>
      </c>
      <c r="Q198" s="7"/>
      <c r="R198" s="7"/>
      <c r="S198" s="19" t="s">
        <v>4892</v>
      </c>
      <c r="T198" s="19" t="s">
        <v>5062</v>
      </c>
      <c r="U198" s="37">
        <v>-200000</v>
      </c>
      <c r="V198" s="2" t="s">
        <v>3646</v>
      </c>
      <c r="W198" s="2">
        <v>37457</v>
      </c>
      <c r="X198" s="3">
        <v>239.77</v>
      </c>
      <c r="Y198" s="3">
        <f t="shared" si="37"/>
        <v>8981064.8900000006</v>
      </c>
      <c r="Z198" s="11" t="s">
        <v>723</v>
      </c>
      <c r="AJ198" s="11">
        <v>178</v>
      </c>
      <c r="AK198" s="3" t="s">
        <v>5077</v>
      </c>
      <c r="AL198" s="3">
        <v>880000</v>
      </c>
      <c r="AM198" s="11">
        <v>4</v>
      </c>
      <c r="AN198" s="20">
        <f t="shared" si="40"/>
        <v>905</v>
      </c>
      <c r="AO198" s="37">
        <f t="shared" si="41"/>
        <v>796400000</v>
      </c>
      <c r="AP198" s="20"/>
    </row>
    <row r="199" spans="10:47">
      <c r="J199" s="2" t="s">
        <v>6169</v>
      </c>
      <c r="K199" s="3">
        <v>4136360.6541840001</v>
      </c>
      <c r="Q199" s="7"/>
      <c r="R199" s="7"/>
      <c r="S199" s="19" t="s">
        <v>4892</v>
      </c>
      <c r="T199" s="19" t="s">
        <v>5094</v>
      </c>
      <c r="U199" s="37">
        <v>-122000</v>
      </c>
      <c r="V199" s="2" t="s">
        <v>3646</v>
      </c>
      <c r="W199" s="2">
        <v>37457</v>
      </c>
      <c r="X199" s="3">
        <v>239.77</v>
      </c>
      <c r="Y199" s="3">
        <f t="shared" si="37"/>
        <v>8981064.8900000006</v>
      </c>
      <c r="Z199" s="11" t="s">
        <v>433</v>
      </c>
      <c r="AA199" t="s">
        <v>25</v>
      </c>
      <c r="AJ199" s="11">
        <v>179</v>
      </c>
      <c r="AK199" s="3" t="s">
        <v>5081</v>
      </c>
      <c r="AL199" s="3">
        <v>-900000</v>
      </c>
      <c r="AM199" s="11">
        <v>1</v>
      </c>
      <c r="AN199" s="20">
        <f t="shared" si="40"/>
        <v>901</v>
      </c>
      <c r="AO199" s="37">
        <f t="shared" si="41"/>
        <v>-810900000</v>
      </c>
      <c r="AP199" s="20"/>
    </row>
    <row r="200" spans="10:47">
      <c r="J200" s="2" t="s">
        <v>6170</v>
      </c>
      <c r="K200" s="3">
        <v>3035714.4702960001</v>
      </c>
      <c r="Q200" s="7"/>
      <c r="R200" s="7"/>
      <c r="S200" s="19" t="s">
        <v>4892</v>
      </c>
      <c r="T200" s="19" t="s">
        <v>5102</v>
      </c>
      <c r="U200" s="37">
        <v>-700000</v>
      </c>
      <c r="V200" s="2" t="s">
        <v>4605</v>
      </c>
      <c r="W200" s="2">
        <v>38412</v>
      </c>
      <c r="X200" s="3">
        <v>239.03</v>
      </c>
      <c r="Y200" s="3">
        <f t="shared" si="37"/>
        <v>9181620.3599999994</v>
      </c>
      <c r="Z200" s="11" t="s">
        <v>723</v>
      </c>
      <c r="AA200" t="s">
        <v>25</v>
      </c>
      <c r="AJ200" s="11">
        <v>180</v>
      </c>
      <c r="AK200" s="3" t="s">
        <v>955</v>
      </c>
      <c r="AL200" s="3">
        <v>-3500000</v>
      </c>
      <c r="AM200" s="11">
        <v>1</v>
      </c>
      <c r="AN200" s="20">
        <f t="shared" si="40"/>
        <v>900</v>
      </c>
      <c r="AO200" s="37">
        <f t="shared" si="41"/>
        <v>-3150000000</v>
      </c>
      <c r="AP200" s="20"/>
      <c r="AT200" t="s">
        <v>25</v>
      </c>
    </row>
    <row r="201" spans="10:47">
      <c r="J201" s="2" t="s">
        <v>6177</v>
      </c>
      <c r="K201" s="3">
        <v>93814</v>
      </c>
      <c r="Q201" s="7"/>
      <c r="R201" s="7"/>
      <c r="S201" s="19" t="s">
        <v>4892</v>
      </c>
      <c r="T201" s="19" t="s">
        <v>5112</v>
      </c>
      <c r="U201" s="37">
        <v>-60000</v>
      </c>
      <c r="V201" s="2" t="s">
        <v>4605</v>
      </c>
      <c r="W201" s="2">
        <v>38412</v>
      </c>
      <c r="X201" s="3">
        <v>239.03</v>
      </c>
      <c r="Y201" s="3">
        <f t="shared" si="37"/>
        <v>9181620.3599999994</v>
      </c>
      <c r="Z201" s="11" t="s">
        <v>433</v>
      </c>
      <c r="AJ201" s="11">
        <v>181</v>
      </c>
      <c r="AK201" s="3" t="s">
        <v>4229</v>
      </c>
      <c r="AL201" s="3">
        <v>-1600000</v>
      </c>
      <c r="AM201" s="11">
        <v>1</v>
      </c>
      <c r="AN201" s="20">
        <f t="shared" si="40"/>
        <v>899</v>
      </c>
      <c r="AO201" s="37">
        <f t="shared" si="41"/>
        <v>-1438400000</v>
      </c>
      <c r="AP201" s="20"/>
      <c r="AS201" t="s">
        <v>25</v>
      </c>
    </row>
    <row r="202" spans="10:47">
      <c r="J202" s="2" t="s">
        <v>6180</v>
      </c>
      <c r="K202" s="3">
        <v>345069.28943499998</v>
      </c>
      <c r="P202" s="7"/>
      <c r="Q202" s="7"/>
      <c r="R202" s="7"/>
      <c r="S202" s="19" t="s">
        <v>4380</v>
      </c>
      <c r="T202" s="19" t="s">
        <v>5171</v>
      </c>
      <c r="U202" s="37">
        <v>700000</v>
      </c>
      <c r="V202" s="2" t="s">
        <v>4608</v>
      </c>
      <c r="W202" s="2">
        <v>49555</v>
      </c>
      <c r="X202" s="3">
        <v>238.345</v>
      </c>
      <c r="Y202" s="3">
        <f t="shared" si="37"/>
        <v>11811186.475</v>
      </c>
      <c r="Z202" s="11" t="s">
        <v>723</v>
      </c>
      <c r="AJ202" s="11">
        <v>182</v>
      </c>
      <c r="AK202" s="3" t="s">
        <v>5086</v>
      </c>
      <c r="AL202" s="3">
        <v>-800000</v>
      </c>
      <c r="AM202" s="11">
        <v>7</v>
      </c>
      <c r="AN202" s="20">
        <f t="shared" si="40"/>
        <v>898</v>
      </c>
      <c r="AO202" s="37">
        <f t="shared" si="41"/>
        <v>-718400000</v>
      </c>
      <c r="AP202" s="20"/>
    </row>
    <row r="203" spans="10:47">
      <c r="J203" s="2" t="s">
        <v>6269</v>
      </c>
      <c r="K203" s="3">
        <v>567785.37859199999</v>
      </c>
      <c r="P203" s="7"/>
      <c r="Q203" s="7"/>
      <c r="R203" s="7"/>
      <c r="S203" s="145" t="s">
        <v>1049</v>
      </c>
      <c r="T203" s="145" t="s">
        <v>5190</v>
      </c>
      <c r="U203" s="144">
        <v>40000000</v>
      </c>
      <c r="V203" s="2" t="s">
        <v>4608</v>
      </c>
      <c r="W203" s="2">
        <v>49555</v>
      </c>
      <c r="X203" s="3">
        <v>238.345</v>
      </c>
      <c r="Y203" s="3">
        <f t="shared" si="37"/>
        <v>11811186.475</v>
      </c>
      <c r="Z203" s="11" t="s">
        <v>433</v>
      </c>
      <c r="AJ203" s="11">
        <v>183</v>
      </c>
      <c r="AK203" s="3" t="s">
        <v>5094</v>
      </c>
      <c r="AL203" s="3">
        <v>50000</v>
      </c>
      <c r="AM203" s="11">
        <v>2</v>
      </c>
      <c r="AN203" s="20">
        <f t="shared" si="40"/>
        <v>891</v>
      </c>
      <c r="AO203" s="37">
        <f t="shared" si="41"/>
        <v>44550000</v>
      </c>
      <c r="AP203" s="20"/>
    </row>
    <row r="204" spans="10:47">
      <c r="J204" s="2" t="s">
        <v>6275</v>
      </c>
      <c r="K204" s="3">
        <v>189683.91675</v>
      </c>
      <c r="P204" s="7"/>
      <c r="Q204" s="7"/>
      <c r="R204" s="7"/>
      <c r="S204" s="19" t="s">
        <v>4380</v>
      </c>
      <c r="T204" s="19" t="s">
        <v>5194</v>
      </c>
      <c r="U204" s="37">
        <v>-800000</v>
      </c>
      <c r="V204" s="2" t="s">
        <v>4620</v>
      </c>
      <c r="W204" s="2">
        <v>160187</v>
      </c>
      <c r="X204" s="3">
        <v>257.49799999999999</v>
      </c>
      <c r="Y204" s="3">
        <f t="shared" si="37"/>
        <v>41247832.126000002</v>
      </c>
      <c r="Z204" s="11" t="s">
        <v>723</v>
      </c>
      <c r="AA204" t="s">
        <v>25</v>
      </c>
      <c r="AJ204" s="11">
        <v>184</v>
      </c>
      <c r="AK204" s="3" t="s">
        <v>5096</v>
      </c>
      <c r="AL204" s="3">
        <v>400000</v>
      </c>
      <c r="AM204" s="11">
        <v>8</v>
      </c>
      <c r="AN204" s="20">
        <f t="shared" ref="AN204:AN213" si="42">AN205+AM204</f>
        <v>889</v>
      </c>
      <c r="AO204" s="37">
        <f t="shared" ref="AO204:AO213" si="43">AL204*AN204</f>
        <v>355600000</v>
      </c>
      <c r="AP204" s="20"/>
      <c r="AT204" t="s">
        <v>25</v>
      </c>
    </row>
    <row r="205" spans="10:47">
      <c r="J205" s="2" t="s">
        <v>6276</v>
      </c>
      <c r="K205" s="3">
        <v>519135.75707200001</v>
      </c>
      <c r="Q205" s="7"/>
      <c r="R205" s="7"/>
      <c r="S205" s="2" t="s">
        <v>4380</v>
      </c>
      <c r="T205" s="2" t="s">
        <v>5276</v>
      </c>
      <c r="U205" s="37">
        <v>700000</v>
      </c>
      <c r="V205" s="2" t="s">
        <v>4620</v>
      </c>
      <c r="W205" s="2">
        <v>160187</v>
      </c>
      <c r="X205" s="3">
        <v>257.49799999999999</v>
      </c>
      <c r="Y205" s="3">
        <f t="shared" si="37"/>
        <v>41247832.126000002</v>
      </c>
      <c r="Z205" s="11" t="s">
        <v>433</v>
      </c>
      <c r="AC205" t="s">
        <v>25</v>
      </c>
      <c r="AJ205" s="11">
        <v>185</v>
      </c>
      <c r="AK205" s="3" t="s">
        <v>5072</v>
      </c>
      <c r="AL205" s="3">
        <v>-10000000</v>
      </c>
      <c r="AM205" s="11">
        <v>0</v>
      </c>
      <c r="AN205" s="20">
        <f t="shared" si="42"/>
        <v>881</v>
      </c>
      <c r="AO205" s="37">
        <f t="shared" si="43"/>
        <v>-8810000000</v>
      </c>
      <c r="AP205" s="20" t="s">
        <v>4917</v>
      </c>
    </row>
    <row r="206" spans="10:47">
      <c r="J206" s="2" t="s">
        <v>6282</v>
      </c>
      <c r="K206" s="3">
        <v>3406413.9029760002</v>
      </c>
      <c r="P206" s="7"/>
      <c r="Q206" s="7"/>
      <c r="R206" s="7"/>
      <c r="S206" s="145" t="s">
        <v>5292</v>
      </c>
      <c r="T206" s="145" t="s">
        <v>5290</v>
      </c>
      <c r="U206" s="144">
        <v>-26000000</v>
      </c>
      <c r="V206" s="2" t="s">
        <v>4627</v>
      </c>
      <c r="W206" s="2">
        <v>144401</v>
      </c>
      <c r="X206" s="3">
        <v>258.5061</v>
      </c>
      <c r="Y206" s="3">
        <f t="shared" si="37"/>
        <v>37328539.346100003</v>
      </c>
      <c r="Z206" s="11" t="s">
        <v>723</v>
      </c>
      <c r="AB206" t="s">
        <v>25</v>
      </c>
      <c r="AJ206" s="11">
        <v>186</v>
      </c>
      <c r="AK206" s="3" t="s">
        <v>5072</v>
      </c>
      <c r="AL206" s="3">
        <v>3000000</v>
      </c>
      <c r="AM206" s="11">
        <v>1</v>
      </c>
      <c r="AN206" s="20">
        <f t="shared" si="42"/>
        <v>881</v>
      </c>
      <c r="AO206" s="37">
        <f t="shared" si="43"/>
        <v>2643000000</v>
      </c>
      <c r="AP206" s="20"/>
    </row>
    <row r="207" spans="10:47">
      <c r="J207" s="258" t="s">
        <v>6283</v>
      </c>
      <c r="K207" s="66">
        <v>435036.348168</v>
      </c>
      <c r="P207" s="7"/>
      <c r="Q207" s="7"/>
      <c r="R207" s="7"/>
      <c r="S207" s="145" t="s">
        <v>5292</v>
      </c>
      <c r="T207" s="145" t="s">
        <v>5294</v>
      </c>
      <c r="U207" s="144">
        <v>-95900000</v>
      </c>
      <c r="V207" s="2" t="s">
        <v>4627</v>
      </c>
      <c r="W207" s="2">
        <v>144401</v>
      </c>
      <c r="X207" s="3">
        <v>258.5061</v>
      </c>
      <c r="Y207" s="3">
        <f t="shared" si="37"/>
        <v>37328539.346100003</v>
      </c>
      <c r="Z207" s="11" t="s">
        <v>433</v>
      </c>
      <c r="AJ207" s="11">
        <v>187</v>
      </c>
      <c r="AK207" s="3" t="s">
        <v>5108</v>
      </c>
      <c r="AL207" s="3">
        <v>500000</v>
      </c>
      <c r="AM207" s="11">
        <v>23</v>
      </c>
      <c r="AN207" s="20">
        <f t="shared" si="42"/>
        <v>880</v>
      </c>
      <c r="AO207" s="37">
        <f t="shared" si="43"/>
        <v>440000000</v>
      </c>
      <c r="AP207" s="20"/>
      <c r="AT207" t="s">
        <v>25</v>
      </c>
    </row>
    <row r="208" spans="10:47">
      <c r="J208" s="2" t="s">
        <v>6304</v>
      </c>
      <c r="K208" s="3">
        <v>2321535.4633200001</v>
      </c>
      <c r="R208" s="7"/>
      <c r="S208" s="145" t="s">
        <v>5292</v>
      </c>
      <c r="T208" s="145" t="s">
        <v>5295</v>
      </c>
      <c r="U208" s="144">
        <v>-28950000</v>
      </c>
      <c r="V208" s="2" t="s">
        <v>4633</v>
      </c>
      <c r="W208" s="2">
        <v>196500</v>
      </c>
      <c r="X208" s="3">
        <v>254.452</v>
      </c>
      <c r="Y208" s="3">
        <f t="shared" si="37"/>
        <v>49999818</v>
      </c>
      <c r="Z208" s="11" t="s">
        <v>4635</v>
      </c>
      <c r="AA208" t="s">
        <v>25</v>
      </c>
      <c r="AJ208" s="11">
        <v>188</v>
      </c>
      <c r="AK208" s="3" t="s">
        <v>5129</v>
      </c>
      <c r="AL208" s="3">
        <v>101268</v>
      </c>
      <c r="AM208" s="11">
        <v>1</v>
      </c>
      <c r="AN208" s="20">
        <f t="shared" si="42"/>
        <v>857</v>
      </c>
      <c r="AO208" s="37">
        <f t="shared" si="43"/>
        <v>86786676</v>
      </c>
      <c r="AP208" s="20"/>
      <c r="AT208" t="s">
        <v>25</v>
      </c>
    </row>
    <row r="209" spans="10:48">
      <c r="J209" s="2" t="s">
        <v>6585</v>
      </c>
      <c r="K209" s="3">
        <v>1098146.8035800001</v>
      </c>
      <c r="Q209" s="7"/>
      <c r="R209" s="7"/>
      <c r="S209" s="145" t="s">
        <v>5309</v>
      </c>
      <c r="T209" s="145" t="s">
        <v>5307</v>
      </c>
      <c r="U209" s="144">
        <v>1896188</v>
      </c>
      <c r="V209" s="2" t="s">
        <v>4633</v>
      </c>
      <c r="W209" s="2">
        <v>2561</v>
      </c>
      <c r="X209" s="3">
        <v>254.536</v>
      </c>
      <c r="Y209" s="3">
        <f t="shared" si="37"/>
        <v>651866.696</v>
      </c>
      <c r="Z209" s="11" t="s">
        <v>4636</v>
      </c>
      <c r="AJ209" s="11">
        <v>189</v>
      </c>
      <c r="AK209" s="3" t="s">
        <v>5132</v>
      </c>
      <c r="AL209" s="3">
        <v>101000</v>
      </c>
      <c r="AM209" s="11">
        <v>34</v>
      </c>
      <c r="AN209" s="20">
        <f t="shared" si="42"/>
        <v>856</v>
      </c>
      <c r="AO209" s="37">
        <f t="shared" si="43"/>
        <v>86456000</v>
      </c>
      <c r="AP209" s="20"/>
      <c r="AR209" t="s">
        <v>25</v>
      </c>
      <c r="AV209" t="s">
        <v>25</v>
      </c>
    </row>
    <row r="210" spans="10:48">
      <c r="J210" s="2" t="s">
        <v>6590</v>
      </c>
      <c r="K210" s="3">
        <v>540424.560405</v>
      </c>
      <c r="Q210" s="7"/>
      <c r="R210" s="7"/>
      <c r="S210" s="145" t="s">
        <v>5460</v>
      </c>
      <c r="T210" s="145" t="s">
        <v>4185</v>
      </c>
      <c r="U210" s="144">
        <v>13752871.322800001</v>
      </c>
      <c r="V210" s="2" t="s">
        <v>4674</v>
      </c>
      <c r="W210" s="2">
        <v>-11795</v>
      </c>
      <c r="X210" s="3">
        <v>254.334</v>
      </c>
      <c r="Y210" s="3">
        <f t="shared" si="37"/>
        <v>-2999869.5300000003</v>
      </c>
      <c r="Z210" s="11" t="s">
        <v>4675</v>
      </c>
      <c r="AC210" t="s">
        <v>25</v>
      </c>
      <c r="AJ210" s="11">
        <v>190</v>
      </c>
      <c r="AK210" s="3" t="s">
        <v>5157</v>
      </c>
      <c r="AL210" s="3">
        <v>-488602</v>
      </c>
      <c r="AM210" s="11">
        <v>5</v>
      </c>
      <c r="AN210" s="20">
        <f t="shared" si="42"/>
        <v>822</v>
      </c>
      <c r="AO210" s="37">
        <f t="shared" si="43"/>
        <v>-401630844</v>
      </c>
      <c r="AP210" s="20"/>
      <c r="AT210" t="s">
        <v>25</v>
      </c>
    </row>
    <row r="211" spans="10:48">
      <c r="J211" s="2" t="s">
        <v>6591</v>
      </c>
      <c r="K211" s="3">
        <v>2781712.2405709997</v>
      </c>
      <c r="Q211" s="7"/>
      <c r="R211" s="7"/>
      <c r="S211" s="19" t="s">
        <v>5471</v>
      </c>
      <c r="T211" s="19" t="s">
        <v>5469</v>
      </c>
      <c r="U211" s="37">
        <v>3123901.3702000002</v>
      </c>
      <c r="V211" s="2" t="s">
        <v>4674</v>
      </c>
      <c r="W211" s="2">
        <v>11795</v>
      </c>
      <c r="X211" s="3">
        <v>254.334</v>
      </c>
      <c r="Y211" s="3">
        <f t="shared" si="37"/>
        <v>2999869.5300000003</v>
      </c>
      <c r="Z211" s="11" t="s">
        <v>4676</v>
      </c>
      <c r="AJ211" s="11">
        <v>191</v>
      </c>
      <c r="AK211" s="3" t="s">
        <v>5171</v>
      </c>
      <c r="AL211" s="3">
        <v>360000</v>
      </c>
      <c r="AM211" s="11">
        <v>10</v>
      </c>
      <c r="AN211" s="20">
        <f t="shared" si="42"/>
        <v>817</v>
      </c>
      <c r="AO211" s="37">
        <f t="shared" si="43"/>
        <v>294120000</v>
      </c>
      <c r="AP211" s="20"/>
      <c r="AT211" t="s">
        <v>25</v>
      </c>
    </row>
    <row r="212" spans="10:48">
      <c r="J212" s="2" t="s">
        <v>6596</v>
      </c>
      <c r="K212" s="3">
        <v>109680.86334900001</v>
      </c>
      <c r="Q212" s="7"/>
      <c r="R212" s="7"/>
      <c r="S212" s="145" t="s">
        <v>5759</v>
      </c>
      <c r="T212" s="145" t="s">
        <v>5540</v>
      </c>
      <c r="U212" s="144">
        <v>-322076.40905199997</v>
      </c>
      <c r="V212" s="2" t="s">
        <v>4688</v>
      </c>
      <c r="W212" s="2">
        <v>260</v>
      </c>
      <c r="X212" s="3">
        <v>263.19</v>
      </c>
      <c r="Y212" s="3">
        <f t="shared" si="37"/>
        <v>68429.399999999994</v>
      </c>
      <c r="Z212" s="11" t="s">
        <v>433</v>
      </c>
      <c r="AJ212" s="11">
        <v>192</v>
      </c>
      <c r="AK212" s="3" t="s">
        <v>5181</v>
      </c>
      <c r="AL212" s="3">
        <v>-3600000</v>
      </c>
      <c r="AM212" s="11">
        <v>4</v>
      </c>
      <c r="AN212" s="20">
        <f t="shared" si="42"/>
        <v>807</v>
      </c>
      <c r="AO212" s="37">
        <f t="shared" si="43"/>
        <v>-2905200000</v>
      </c>
      <c r="AP212" s="20"/>
      <c r="AU212" t="s">
        <v>25</v>
      </c>
    </row>
    <row r="213" spans="10:48">
      <c r="J213" s="2" t="s">
        <v>6614</v>
      </c>
      <c r="K213" s="3">
        <v>13945790.265610002</v>
      </c>
      <c r="Q213" s="7"/>
      <c r="R213" s="7"/>
      <c r="S213" s="19" t="s">
        <v>4892</v>
      </c>
      <c r="T213" s="19" t="s">
        <v>5540</v>
      </c>
      <c r="U213" s="37">
        <v>-1500000</v>
      </c>
      <c r="V213" s="2" t="s">
        <v>4697</v>
      </c>
      <c r="W213" s="2">
        <v>15257</v>
      </c>
      <c r="X213" s="3">
        <v>262.19018</v>
      </c>
      <c r="Y213" s="3">
        <f t="shared" si="37"/>
        <v>4000235.57626</v>
      </c>
      <c r="Z213" s="11" t="s">
        <v>433</v>
      </c>
      <c r="AJ213" s="11">
        <v>193</v>
      </c>
      <c r="AK213" s="3" t="s">
        <v>5187</v>
      </c>
      <c r="AL213" s="3">
        <v>-1000000</v>
      </c>
      <c r="AM213" s="11">
        <v>5</v>
      </c>
      <c r="AN213" s="20">
        <f t="shared" si="42"/>
        <v>803</v>
      </c>
      <c r="AO213" s="37">
        <f t="shared" si="43"/>
        <v>-803000000</v>
      </c>
      <c r="AP213" s="20"/>
      <c r="AT213" t="s">
        <v>25</v>
      </c>
    </row>
    <row r="214" spans="10:48">
      <c r="J214" s="2" t="s">
        <v>6616</v>
      </c>
      <c r="K214" s="3">
        <v>457914.84466800001</v>
      </c>
      <c r="Q214" s="7"/>
      <c r="R214" s="7"/>
      <c r="S214" s="145" t="s">
        <v>5553</v>
      </c>
      <c r="T214" s="145" t="s">
        <v>5540</v>
      </c>
      <c r="U214" s="144">
        <v>15000000</v>
      </c>
      <c r="V214" s="2" t="s">
        <v>4697</v>
      </c>
      <c r="W214" s="2">
        <v>8444</v>
      </c>
      <c r="X214" s="3">
        <v>266.43029999999999</v>
      </c>
      <c r="Y214" s="3">
        <f t="shared" si="37"/>
        <v>2249737.4531999999</v>
      </c>
      <c r="Z214" s="11" t="s">
        <v>433</v>
      </c>
      <c r="AJ214" s="11">
        <v>194</v>
      </c>
      <c r="AK214" s="3" t="s">
        <v>5192</v>
      </c>
      <c r="AL214" s="3">
        <v>360000</v>
      </c>
      <c r="AM214" s="11">
        <v>2</v>
      </c>
      <c r="AN214" s="20">
        <f t="shared" ref="AN214:AN281" si="44">AN215+AM214</f>
        <v>798</v>
      </c>
      <c r="AO214" s="37">
        <f t="shared" ref="AO214:AO281" si="45">AL214*AN214</f>
        <v>287280000</v>
      </c>
      <c r="AP214" s="20"/>
      <c r="AS214" t="s">
        <v>25</v>
      </c>
    </row>
    <row r="215" spans="10:48">
      <c r="J215" s="2" t="s">
        <v>6617</v>
      </c>
      <c r="K215" s="3">
        <v>974570.33942399989</v>
      </c>
      <c r="Q215" s="7"/>
      <c r="R215" s="7"/>
      <c r="S215" s="145" t="s">
        <v>5564</v>
      </c>
      <c r="T215" s="145" t="s">
        <v>5560</v>
      </c>
      <c r="U215" s="144">
        <v>-1500000</v>
      </c>
      <c r="V215" s="245" t="s">
        <v>4702</v>
      </c>
      <c r="W215" s="245">
        <v>-6209</v>
      </c>
      <c r="X215" s="78">
        <v>273.79649999999998</v>
      </c>
      <c r="Y215" s="78">
        <f t="shared" si="37"/>
        <v>-1700002.4685</v>
      </c>
      <c r="Z215" s="77" t="s">
        <v>6301</v>
      </c>
      <c r="AJ215" s="11">
        <v>195</v>
      </c>
      <c r="AK215" s="3" t="s">
        <v>5197</v>
      </c>
      <c r="AL215" s="3">
        <v>2000000</v>
      </c>
      <c r="AM215" s="11">
        <v>1</v>
      </c>
      <c r="AN215" s="20">
        <f t="shared" si="44"/>
        <v>796</v>
      </c>
      <c r="AO215" s="37">
        <f t="shared" si="45"/>
        <v>1592000000</v>
      </c>
      <c r="AP215" s="20"/>
    </row>
    <row r="216" spans="10:48">
      <c r="J216" s="2" t="s">
        <v>6618</v>
      </c>
      <c r="K216" s="3">
        <v>746198.52596400003</v>
      </c>
      <c r="Q216" s="7"/>
      <c r="R216" s="7"/>
      <c r="S216" s="145" t="s">
        <v>5627</v>
      </c>
      <c r="T216" s="145" t="s">
        <v>5625</v>
      </c>
      <c r="U216" s="144">
        <v>-70000</v>
      </c>
      <c r="V216" s="2" t="s">
        <v>4702</v>
      </c>
      <c r="W216" s="2">
        <v>-8014</v>
      </c>
      <c r="X216" s="3">
        <v>273.79649999999998</v>
      </c>
      <c r="Y216" s="3">
        <f t="shared" si="37"/>
        <v>-2194205.1510000001</v>
      </c>
      <c r="Z216" s="11" t="s">
        <v>723</v>
      </c>
      <c r="AJ216" s="11">
        <v>196</v>
      </c>
      <c r="AK216" s="3" t="s">
        <v>5199</v>
      </c>
      <c r="AL216" s="3">
        <v>20000000</v>
      </c>
      <c r="AM216" s="11">
        <v>0</v>
      </c>
      <c r="AN216" s="20">
        <f t="shared" si="44"/>
        <v>795</v>
      </c>
      <c r="AO216" s="37">
        <f t="shared" si="45"/>
        <v>15900000000</v>
      </c>
      <c r="AP216" s="20" t="s">
        <v>4634</v>
      </c>
      <c r="AT216" t="s">
        <v>25</v>
      </c>
    </row>
    <row r="217" spans="10:48">
      <c r="J217" s="2" t="s">
        <v>6620</v>
      </c>
      <c r="K217" s="3">
        <v>416108</v>
      </c>
      <c r="Q217" s="7"/>
      <c r="R217" s="7"/>
      <c r="S217" s="145" t="s">
        <v>5633</v>
      </c>
      <c r="T217" s="145" t="s">
        <v>5631</v>
      </c>
      <c r="U217" s="144">
        <v>1300000</v>
      </c>
      <c r="V217" s="2" t="s">
        <v>4711</v>
      </c>
      <c r="W217" s="2">
        <v>-9176</v>
      </c>
      <c r="X217" s="3">
        <v>273.79649999999998</v>
      </c>
      <c r="Y217" s="3">
        <f t="shared" si="37"/>
        <v>-2512356.6839999999</v>
      </c>
      <c r="Z217" s="11" t="s">
        <v>433</v>
      </c>
      <c r="AJ217" s="11">
        <v>197</v>
      </c>
      <c r="AK217" s="3" t="s">
        <v>5199</v>
      </c>
      <c r="AL217" s="3">
        <v>-4700000</v>
      </c>
      <c r="AM217" s="11">
        <v>1</v>
      </c>
      <c r="AN217" s="20">
        <f t="shared" si="44"/>
        <v>795</v>
      </c>
      <c r="AO217" s="37">
        <f t="shared" si="45"/>
        <v>-3736500000</v>
      </c>
      <c r="AP217" s="20"/>
    </row>
    <row r="218" spans="10:48">
      <c r="J218" s="2" t="s">
        <v>6631</v>
      </c>
      <c r="K218" s="3">
        <v>361620.57555000001</v>
      </c>
      <c r="Q218" s="7"/>
      <c r="R218" s="7"/>
      <c r="S218" s="145" t="s">
        <v>60</v>
      </c>
      <c r="T218" s="145" t="s">
        <v>5639</v>
      </c>
      <c r="U218" s="144">
        <v>90000000</v>
      </c>
      <c r="V218" s="2" t="s">
        <v>4711</v>
      </c>
      <c r="W218" s="2">
        <v>1087</v>
      </c>
      <c r="X218" s="3">
        <v>273.79649999999998</v>
      </c>
      <c r="Y218" s="3">
        <f t="shared" si="37"/>
        <v>297616.79550000001</v>
      </c>
      <c r="Z218" s="11" t="s">
        <v>433</v>
      </c>
      <c r="AJ218" s="11">
        <v>198</v>
      </c>
      <c r="AK218" s="3" t="s">
        <v>5202</v>
      </c>
      <c r="AL218" s="3">
        <v>3000000</v>
      </c>
      <c r="AM218" s="11">
        <v>4</v>
      </c>
      <c r="AN218" s="20">
        <f t="shared" si="44"/>
        <v>794</v>
      </c>
      <c r="AO218" s="37">
        <f t="shared" si="45"/>
        <v>2382000000</v>
      </c>
      <c r="AP218" s="20"/>
      <c r="AU218" t="s">
        <v>25</v>
      </c>
    </row>
    <row r="219" spans="10:48">
      <c r="J219" s="2" t="s">
        <v>6632</v>
      </c>
      <c r="K219" s="3">
        <v>761310.51884999999</v>
      </c>
      <c r="P219" s="7"/>
      <c r="Q219" s="7"/>
      <c r="R219" s="7"/>
      <c r="S219" s="145" t="s">
        <v>5720</v>
      </c>
      <c r="T219" s="145" t="s">
        <v>5716</v>
      </c>
      <c r="U219" s="144">
        <v>33832510.64875</v>
      </c>
      <c r="V219" s="245" t="s">
        <v>944</v>
      </c>
      <c r="W219" s="245">
        <v>-4017</v>
      </c>
      <c r="X219" s="78">
        <v>273.79649999999998</v>
      </c>
      <c r="Y219" s="78">
        <f t="shared" si="37"/>
        <v>-1099840.5404999999</v>
      </c>
      <c r="Z219" s="77" t="s">
        <v>4380</v>
      </c>
      <c r="AJ219" s="11">
        <v>199</v>
      </c>
      <c r="AK219" s="3" t="s">
        <v>5204</v>
      </c>
      <c r="AL219" s="3">
        <v>1500000</v>
      </c>
      <c r="AM219" s="11">
        <v>1</v>
      </c>
      <c r="AN219" s="20">
        <f t="shared" si="44"/>
        <v>790</v>
      </c>
      <c r="AO219" s="37">
        <f t="shared" si="45"/>
        <v>1185000000</v>
      </c>
      <c r="AP219" s="20"/>
    </row>
    <row r="220" spans="10:48">
      <c r="J220" s="2" t="s">
        <v>6633</v>
      </c>
      <c r="K220" s="3">
        <v>3047100.3041699999</v>
      </c>
      <c r="P220" t="s">
        <v>25</v>
      </c>
      <c r="Q220" s="7"/>
      <c r="R220" s="7"/>
      <c r="S220" s="145" t="s">
        <v>5734</v>
      </c>
      <c r="T220" s="145" t="s">
        <v>5732</v>
      </c>
      <c r="U220" s="144">
        <v>21634932</v>
      </c>
      <c r="V220" s="2" t="s">
        <v>944</v>
      </c>
      <c r="W220" s="2">
        <v>4017</v>
      </c>
      <c r="X220" s="3">
        <v>273.79649999999998</v>
      </c>
      <c r="Y220" s="3">
        <f t="shared" si="37"/>
        <v>1099840.5404999999</v>
      </c>
      <c r="Z220" s="11" t="s">
        <v>433</v>
      </c>
      <c r="AJ220" s="11">
        <v>200</v>
      </c>
      <c r="AK220" s="3" t="s">
        <v>5206</v>
      </c>
      <c r="AL220" s="3">
        <v>30000000</v>
      </c>
      <c r="AM220" s="11">
        <v>33</v>
      </c>
      <c r="AN220" s="20">
        <f t="shared" si="44"/>
        <v>789</v>
      </c>
      <c r="AO220" s="37">
        <f t="shared" si="45"/>
        <v>23670000000</v>
      </c>
      <c r="AP220" s="20"/>
    </row>
    <row r="221" spans="10:48">
      <c r="J221" s="2" t="s">
        <v>6635</v>
      </c>
      <c r="K221" s="3">
        <v>2437078.451072</v>
      </c>
      <c r="Q221" s="7"/>
      <c r="S221" s="145" t="s">
        <v>4690</v>
      </c>
      <c r="T221" s="145" t="s">
        <v>5732</v>
      </c>
      <c r="U221" s="144">
        <v>-22520813.151772</v>
      </c>
      <c r="V221" s="2" t="s">
        <v>4717</v>
      </c>
      <c r="W221" s="2">
        <v>3137</v>
      </c>
      <c r="X221" s="3">
        <v>283.69110000000001</v>
      </c>
      <c r="Y221" s="3">
        <f t="shared" si="37"/>
        <v>889938.98070000007</v>
      </c>
      <c r="Z221" s="11" t="s">
        <v>433</v>
      </c>
      <c r="AA221" t="s">
        <v>25</v>
      </c>
      <c r="AJ221" s="11">
        <v>201</v>
      </c>
      <c r="AK221" s="3" t="s">
        <v>5280</v>
      </c>
      <c r="AL221" s="3">
        <v>3000000</v>
      </c>
      <c r="AM221" s="11">
        <v>1</v>
      </c>
      <c r="AN221" s="20">
        <f t="shared" si="44"/>
        <v>756</v>
      </c>
      <c r="AO221" s="37">
        <f t="shared" si="45"/>
        <v>2268000000</v>
      </c>
      <c r="AP221" s="20"/>
    </row>
    <row r="222" spans="10:48">
      <c r="J222" s="2" t="s">
        <v>6709</v>
      </c>
      <c r="K222" s="3">
        <v>7747639.4065840002</v>
      </c>
      <c r="P222" t="s">
        <v>25</v>
      </c>
      <c r="Q222" s="7"/>
      <c r="S222" s="19" t="s">
        <v>6113</v>
      </c>
      <c r="T222" s="19" t="s">
        <v>6111</v>
      </c>
      <c r="U222" s="37">
        <v>-6000000</v>
      </c>
      <c r="V222" s="2" t="s">
        <v>4730</v>
      </c>
      <c r="W222" s="2">
        <v>101933</v>
      </c>
      <c r="X222" s="3">
        <v>294.30973999999998</v>
      </c>
      <c r="Y222" s="3">
        <f t="shared" si="37"/>
        <v>29999874.727419998</v>
      </c>
      <c r="Z222" s="11" t="s">
        <v>1049</v>
      </c>
      <c r="AA222" t="s">
        <v>25</v>
      </c>
      <c r="AJ222" s="11">
        <v>202</v>
      </c>
      <c r="AK222" s="3" t="s">
        <v>5281</v>
      </c>
      <c r="AL222" s="3">
        <v>7000000</v>
      </c>
      <c r="AM222" s="11">
        <v>4</v>
      </c>
      <c r="AN222" s="20">
        <f t="shared" si="44"/>
        <v>755</v>
      </c>
      <c r="AO222" s="37">
        <f t="shared" si="45"/>
        <v>5285000000</v>
      </c>
      <c r="AP222" s="20"/>
    </row>
    <row r="223" spans="10:48">
      <c r="J223" s="2" t="s">
        <v>6710</v>
      </c>
      <c r="K223" s="3">
        <v>5584918.3522559991</v>
      </c>
      <c r="Q223" s="7"/>
      <c r="S223" s="145" t="s">
        <v>5325</v>
      </c>
      <c r="T223" s="145" t="s">
        <v>6180</v>
      </c>
      <c r="U223" s="144">
        <v>130888.351165</v>
      </c>
      <c r="V223" s="2" t="s">
        <v>4737</v>
      </c>
      <c r="W223" s="2">
        <v>3407</v>
      </c>
      <c r="X223" s="3">
        <v>293.43799999999999</v>
      </c>
      <c r="Y223" s="3">
        <f t="shared" si="37"/>
        <v>999743.26599999995</v>
      </c>
      <c r="Z223" s="11" t="s">
        <v>433</v>
      </c>
      <c r="AJ223" s="11">
        <v>203</v>
      </c>
      <c r="AK223" s="3" t="s">
        <v>5289</v>
      </c>
      <c r="AL223" s="3">
        <v>8800000</v>
      </c>
      <c r="AM223" s="11">
        <v>2</v>
      </c>
      <c r="AN223" s="20">
        <f t="shared" si="44"/>
        <v>751</v>
      </c>
      <c r="AO223" s="37">
        <f t="shared" si="45"/>
        <v>6608800000</v>
      </c>
      <c r="AP223" s="20"/>
    </row>
    <row r="224" spans="10:48" ht="28.5" customHeight="1">
      <c r="J224" s="2" t="s">
        <v>6711</v>
      </c>
      <c r="K224" s="3">
        <v>573666.77206800005</v>
      </c>
      <c r="Q224" s="7"/>
      <c r="S224" s="145" t="s">
        <v>6280</v>
      </c>
      <c r="T224" s="145" t="s">
        <v>6276</v>
      </c>
      <c r="U224" s="144">
        <v>50000000</v>
      </c>
      <c r="V224" s="2" t="s">
        <v>4738</v>
      </c>
      <c r="W224" s="2">
        <v>68796</v>
      </c>
      <c r="X224" s="3">
        <v>293.53250000000003</v>
      </c>
      <c r="Y224" s="3">
        <f t="shared" si="37"/>
        <v>20193861.870000001</v>
      </c>
      <c r="Z224" s="11" t="s">
        <v>723</v>
      </c>
      <c r="AJ224" s="11">
        <v>204</v>
      </c>
      <c r="AK224" s="3" t="s">
        <v>5294</v>
      </c>
      <c r="AL224" s="3">
        <v>40000000</v>
      </c>
      <c r="AM224" s="11">
        <v>8</v>
      </c>
      <c r="AN224" s="20">
        <f t="shared" si="44"/>
        <v>749</v>
      </c>
      <c r="AO224" s="37">
        <f t="shared" si="45"/>
        <v>29960000000</v>
      </c>
      <c r="AP224" s="20" t="s">
        <v>4634</v>
      </c>
    </row>
    <row r="225" spans="10:47">
      <c r="J225" s="2" t="s">
        <v>6715</v>
      </c>
      <c r="K225" s="3">
        <v>1870018.6536539998</v>
      </c>
      <c r="P225" t="s">
        <v>25</v>
      </c>
      <c r="Q225" s="7"/>
      <c r="R225" s="7"/>
      <c r="S225" s="19" t="s">
        <v>6298</v>
      </c>
      <c r="T225" s="19" t="s">
        <v>6297</v>
      </c>
      <c r="U225" s="37">
        <v>96000</v>
      </c>
      <c r="V225" s="2" t="s">
        <v>4738</v>
      </c>
      <c r="W225" s="2">
        <v>154791</v>
      </c>
      <c r="X225" s="3">
        <v>293.53250000000003</v>
      </c>
      <c r="Y225" s="3">
        <f t="shared" si="37"/>
        <v>45436189.207500003</v>
      </c>
      <c r="Z225" s="11" t="s">
        <v>433</v>
      </c>
      <c r="AJ225" s="11">
        <v>205</v>
      </c>
      <c r="AK225" s="3" t="s">
        <v>5307</v>
      </c>
      <c r="AL225" s="3">
        <v>400000</v>
      </c>
      <c r="AM225" s="11">
        <v>17</v>
      </c>
      <c r="AN225" s="20">
        <f t="shared" si="44"/>
        <v>741</v>
      </c>
      <c r="AO225" s="37">
        <f t="shared" si="45"/>
        <v>296400000</v>
      </c>
      <c r="AP225" s="20"/>
      <c r="AT225" t="s">
        <v>25</v>
      </c>
    </row>
    <row r="226" spans="10:47">
      <c r="J226" s="2" t="s">
        <v>6719</v>
      </c>
      <c r="K226" s="3">
        <v>117222.435308</v>
      </c>
      <c r="R226" s="7"/>
      <c r="S226" s="145" t="s">
        <v>6691</v>
      </c>
      <c r="T226" s="145" t="s">
        <v>6689</v>
      </c>
      <c r="U226" s="144">
        <v>-40615000</v>
      </c>
      <c r="V226" s="2" t="s">
        <v>4738</v>
      </c>
      <c r="W226" s="2">
        <v>-11923</v>
      </c>
      <c r="X226" s="3">
        <v>293.53250000000003</v>
      </c>
      <c r="Y226" s="3">
        <f t="shared" si="37"/>
        <v>-3499787.9975000005</v>
      </c>
      <c r="Z226" s="11" t="s">
        <v>433</v>
      </c>
      <c r="AJ226" s="11">
        <v>206</v>
      </c>
      <c r="AK226" s="3" t="s">
        <v>5327</v>
      </c>
      <c r="AL226" s="3">
        <v>-20000000</v>
      </c>
      <c r="AM226" s="11">
        <v>18</v>
      </c>
      <c r="AN226" s="20">
        <f t="shared" si="44"/>
        <v>724</v>
      </c>
      <c r="AO226" s="37">
        <f t="shared" si="45"/>
        <v>-14480000000</v>
      </c>
      <c r="AP226" s="20" t="s">
        <v>4917</v>
      </c>
    </row>
    <row r="227" spans="10:47">
      <c r="J227" s="2" t="s">
        <v>6720</v>
      </c>
      <c r="K227" s="3">
        <v>1940857.6749900002</v>
      </c>
      <c r="Q227" s="7"/>
      <c r="R227" s="7"/>
      <c r="S227" s="145" t="s">
        <v>6712</v>
      </c>
      <c r="T227" s="145" t="s">
        <v>6711</v>
      </c>
      <c r="U227" s="144">
        <v>7300000</v>
      </c>
      <c r="V227" s="2" t="s">
        <v>4750</v>
      </c>
      <c r="W227" s="2">
        <v>8424</v>
      </c>
      <c r="X227" s="3">
        <v>299.15170000000001</v>
      </c>
      <c r="Y227" s="3">
        <f t="shared" si="37"/>
        <v>2520053.9208</v>
      </c>
      <c r="Z227" s="11" t="s">
        <v>433</v>
      </c>
      <c r="AJ227" s="11">
        <v>207</v>
      </c>
      <c r="AK227" s="3" t="s">
        <v>5341</v>
      </c>
      <c r="AL227" s="3">
        <v>3006000</v>
      </c>
      <c r="AM227" s="11">
        <v>19</v>
      </c>
      <c r="AN227" s="20">
        <f t="shared" si="44"/>
        <v>706</v>
      </c>
      <c r="AO227" s="37">
        <f t="shared" si="45"/>
        <v>2122236000</v>
      </c>
      <c r="AP227" s="20"/>
    </row>
    <row r="228" spans="10:47">
      <c r="J228" s="2" t="s">
        <v>6739</v>
      </c>
      <c r="K228" s="3">
        <v>195324.59944799999</v>
      </c>
      <c r="R228" s="7"/>
      <c r="S228" s="19" t="s">
        <v>6747</v>
      </c>
      <c r="T228" s="19" t="s">
        <v>6744</v>
      </c>
      <c r="U228" s="37">
        <v>-6128000</v>
      </c>
      <c r="V228" s="2" t="s">
        <v>4785</v>
      </c>
      <c r="W228" s="2">
        <v>15943</v>
      </c>
      <c r="X228" s="3">
        <v>307.34415000000001</v>
      </c>
      <c r="Y228" s="3">
        <f t="shared" si="37"/>
        <v>4899987.78345</v>
      </c>
      <c r="Z228" s="11" t="s">
        <v>433</v>
      </c>
      <c r="AJ228" s="11">
        <v>208</v>
      </c>
      <c r="AK228" s="3" t="s">
        <v>5242</v>
      </c>
      <c r="AL228" s="3">
        <v>-130382924</v>
      </c>
      <c r="AM228" s="11">
        <v>0</v>
      </c>
      <c r="AN228" s="20">
        <f t="shared" si="44"/>
        <v>687</v>
      </c>
      <c r="AO228" s="37">
        <f t="shared" si="45"/>
        <v>-89573068788</v>
      </c>
      <c r="AP228" s="20" t="s">
        <v>5364</v>
      </c>
      <c r="AT228" t="s">
        <v>25</v>
      </c>
    </row>
    <row r="229" spans="10:47">
      <c r="J229" s="2" t="s">
        <v>6739</v>
      </c>
      <c r="K229" s="3">
        <v>20318581.172208</v>
      </c>
      <c r="R229" s="7"/>
      <c r="S229" s="145" t="s">
        <v>6786</v>
      </c>
      <c r="T229" s="145" t="s">
        <v>6784</v>
      </c>
      <c r="U229" s="144">
        <v>-79825035</v>
      </c>
      <c r="V229" s="2" t="s">
        <v>4797</v>
      </c>
      <c r="W229" s="2">
        <v>3741</v>
      </c>
      <c r="X229" s="3">
        <v>307.34415000000001</v>
      </c>
      <c r="Y229" s="3">
        <f t="shared" si="37"/>
        <v>1149774.4651500001</v>
      </c>
      <c r="Z229" s="11" t="s">
        <v>433</v>
      </c>
      <c r="AB229" t="s">
        <v>25</v>
      </c>
      <c r="AJ229" s="11">
        <v>209</v>
      </c>
      <c r="AK229" s="3" t="s">
        <v>5242</v>
      </c>
      <c r="AL229" s="3">
        <v>125000000</v>
      </c>
      <c r="AM229" s="11">
        <v>1</v>
      </c>
      <c r="AN229" s="20">
        <f t="shared" si="44"/>
        <v>687</v>
      </c>
      <c r="AO229" s="37">
        <f t="shared" si="45"/>
        <v>85875000000</v>
      </c>
      <c r="AP229" s="20"/>
      <c r="AT229" t="s">
        <v>25</v>
      </c>
    </row>
    <row r="230" spans="10:47">
      <c r="J230" s="2" t="s">
        <v>6741</v>
      </c>
      <c r="K230" s="3">
        <v>2893976.613864</v>
      </c>
      <c r="R230" s="7"/>
      <c r="S230" s="19" t="s">
        <v>6810</v>
      </c>
      <c r="T230" s="19" t="s">
        <v>6805</v>
      </c>
      <c r="U230" s="37">
        <v>-11300000</v>
      </c>
      <c r="V230" s="2" t="s">
        <v>4802</v>
      </c>
      <c r="W230" s="2">
        <v>-6207</v>
      </c>
      <c r="X230" s="3">
        <v>322.214</v>
      </c>
      <c r="Y230" s="3">
        <f t="shared" si="37"/>
        <v>-1999982.298</v>
      </c>
      <c r="Z230" s="11" t="s">
        <v>723</v>
      </c>
      <c r="AJ230" s="11">
        <v>210</v>
      </c>
      <c r="AK230" s="3" t="s">
        <v>5363</v>
      </c>
      <c r="AL230" s="3">
        <v>7200000</v>
      </c>
      <c r="AM230" s="11">
        <v>15</v>
      </c>
      <c r="AN230" s="20">
        <f t="shared" si="44"/>
        <v>686</v>
      </c>
      <c r="AO230" s="37">
        <f t="shared" si="45"/>
        <v>4939200000</v>
      </c>
      <c r="AP230" s="20"/>
      <c r="AS230" t="s">
        <v>25</v>
      </c>
      <c r="AU230" t="s">
        <v>25</v>
      </c>
    </row>
    <row r="231" spans="10:47">
      <c r="J231" s="2" t="s">
        <v>6742</v>
      </c>
      <c r="K231" s="3">
        <v>348175.86130300001</v>
      </c>
      <c r="R231" s="7"/>
      <c r="S231" s="145"/>
      <c r="T231" s="145" t="s">
        <v>6824</v>
      </c>
      <c r="U231" s="144">
        <v>-15162600</v>
      </c>
      <c r="V231" s="2" t="s">
        <v>4802</v>
      </c>
      <c r="W231" s="2">
        <v>6207</v>
      </c>
      <c r="X231" s="3">
        <v>322.214</v>
      </c>
      <c r="Y231" s="3">
        <f t="shared" si="37"/>
        <v>1999982.298</v>
      </c>
      <c r="Z231" s="11" t="s">
        <v>4380</v>
      </c>
      <c r="AJ231" s="11">
        <v>211</v>
      </c>
      <c r="AK231" s="3" t="s">
        <v>5380</v>
      </c>
      <c r="AL231" s="3">
        <v>2050000</v>
      </c>
      <c r="AM231" s="11">
        <v>7</v>
      </c>
      <c r="AN231" s="20">
        <f t="shared" si="44"/>
        <v>671</v>
      </c>
      <c r="AO231" s="37">
        <f t="shared" si="45"/>
        <v>1375550000</v>
      </c>
      <c r="AP231" s="20"/>
      <c r="AT231" t="s">
        <v>25</v>
      </c>
      <c r="AU231" t="s">
        <v>25</v>
      </c>
    </row>
    <row r="232" spans="10:47">
      <c r="J232" s="2" t="s">
        <v>6744</v>
      </c>
      <c r="K232" s="3">
        <v>315280.48550000001</v>
      </c>
      <c r="Q232" s="7"/>
      <c r="R232" s="7"/>
      <c r="S232" s="145"/>
      <c r="T232" s="145" t="s">
        <v>6829</v>
      </c>
      <c r="U232" s="144">
        <v>-10216551.764954999</v>
      </c>
      <c r="V232" s="2" t="s">
        <v>4757</v>
      </c>
      <c r="W232" s="2">
        <v>776</v>
      </c>
      <c r="X232" s="3">
        <v>322.214</v>
      </c>
      <c r="Y232" s="3">
        <f t="shared" si="37"/>
        <v>250038.06400000001</v>
      </c>
      <c r="Z232" s="11" t="s">
        <v>433</v>
      </c>
      <c r="AJ232" s="11">
        <v>212</v>
      </c>
      <c r="AK232" s="3" t="s">
        <v>5390</v>
      </c>
      <c r="AL232" s="3">
        <v>50000000</v>
      </c>
      <c r="AM232" s="11">
        <v>24</v>
      </c>
      <c r="AN232" s="20">
        <f t="shared" si="44"/>
        <v>664</v>
      </c>
      <c r="AO232" s="37">
        <f t="shared" si="45"/>
        <v>33200000000</v>
      </c>
      <c r="AP232" s="20" t="s">
        <v>4634</v>
      </c>
    </row>
    <row r="233" spans="10:47">
      <c r="J233" s="2" t="s">
        <v>6748</v>
      </c>
      <c r="K233" s="3">
        <v>184045.65498799999</v>
      </c>
      <c r="Q233" s="7"/>
      <c r="S233" s="145"/>
      <c r="T233" s="145" t="s">
        <v>6834</v>
      </c>
      <c r="U233" s="144">
        <v>-5095614.0723999999</v>
      </c>
      <c r="V233" s="2" t="s">
        <v>4824</v>
      </c>
      <c r="W233" s="2">
        <v>1524</v>
      </c>
      <c r="X233" s="3">
        <v>314.95999999999998</v>
      </c>
      <c r="Y233" s="3">
        <f t="shared" si="37"/>
        <v>479999.04</v>
      </c>
      <c r="Z233" s="11" t="s">
        <v>1049</v>
      </c>
      <c r="AJ233" s="11">
        <v>213</v>
      </c>
      <c r="AK233" s="3" t="s">
        <v>5424</v>
      </c>
      <c r="AL233" s="3">
        <v>-58196600</v>
      </c>
      <c r="AM233" s="11">
        <v>22</v>
      </c>
      <c r="AN233" s="20">
        <f t="shared" si="44"/>
        <v>640</v>
      </c>
      <c r="AO233" s="37">
        <f t="shared" si="45"/>
        <v>-37245824000</v>
      </c>
      <c r="AP233" s="20" t="s">
        <v>4811</v>
      </c>
    </row>
    <row r="234" spans="10:47">
      <c r="J234" s="304" t="s">
        <v>6760</v>
      </c>
      <c r="K234" s="305">
        <v>3224064.2855249997</v>
      </c>
      <c r="P234" t="s">
        <v>25</v>
      </c>
      <c r="Q234" s="7"/>
      <c r="R234" s="7"/>
      <c r="S234" s="145" t="s">
        <v>6845</v>
      </c>
      <c r="T234" s="145" t="s">
        <v>6843</v>
      </c>
      <c r="U234" s="144">
        <v>-5464072.8466919996</v>
      </c>
      <c r="V234" s="2" t="s">
        <v>4831</v>
      </c>
      <c r="W234" s="2">
        <v>4435</v>
      </c>
      <c r="X234" s="3">
        <v>316.4375</v>
      </c>
      <c r="Y234" s="3">
        <f t="shared" si="37"/>
        <v>1403400.3125</v>
      </c>
      <c r="Z234" s="11" t="s">
        <v>433</v>
      </c>
      <c r="AJ234" s="11">
        <v>214</v>
      </c>
      <c r="AK234" s="3" t="s">
        <v>5462</v>
      </c>
      <c r="AL234" s="3">
        <v>25000</v>
      </c>
      <c r="AM234" s="11">
        <v>8</v>
      </c>
      <c r="AN234" s="20">
        <f t="shared" si="44"/>
        <v>618</v>
      </c>
      <c r="AO234" s="37">
        <f t="shared" si="45"/>
        <v>15450000</v>
      </c>
      <c r="AP234" s="20"/>
    </row>
    <row r="235" spans="10:47">
      <c r="J235" s="2" t="s">
        <v>6761</v>
      </c>
      <c r="K235" s="3">
        <v>145302.32212200001</v>
      </c>
      <c r="Q235" s="7"/>
      <c r="R235" s="7"/>
      <c r="S235" s="19"/>
      <c r="T235" s="19"/>
      <c r="U235" s="37"/>
      <c r="V235" s="2" t="s">
        <v>4834</v>
      </c>
      <c r="W235" s="2">
        <v>624</v>
      </c>
      <c r="X235" s="3">
        <v>320.5</v>
      </c>
      <c r="Y235" s="3">
        <f t="shared" si="37"/>
        <v>199992</v>
      </c>
      <c r="Z235" s="11" t="s">
        <v>433</v>
      </c>
      <c r="AJ235" s="11">
        <v>215</v>
      </c>
      <c r="AK235" s="3" t="s">
        <v>5481</v>
      </c>
      <c r="AL235" s="3">
        <v>70000</v>
      </c>
      <c r="AM235" s="11">
        <v>6</v>
      </c>
      <c r="AN235" s="20">
        <f t="shared" si="44"/>
        <v>610</v>
      </c>
      <c r="AO235" s="37">
        <f t="shared" si="45"/>
        <v>42700000</v>
      </c>
      <c r="AP235" s="20"/>
    </row>
    <row r="236" spans="10:47">
      <c r="J236" s="2" t="s">
        <v>6762</v>
      </c>
      <c r="K236" s="3">
        <v>7184125.4612399992</v>
      </c>
      <c r="Q236" s="7"/>
      <c r="S236" s="2" t="s">
        <v>25</v>
      </c>
      <c r="T236" s="2"/>
      <c r="U236" s="3"/>
      <c r="V236" s="2" t="s">
        <v>4839</v>
      </c>
      <c r="W236" s="2">
        <v>1086</v>
      </c>
      <c r="X236" s="3">
        <v>317.55</v>
      </c>
      <c r="Y236" s="3">
        <f t="shared" si="37"/>
        <v>344859.3</v>
      </c>
      <c r="Z236" s="11" t="s">
        <v>433</v>
      </c>
      <c r="AJ236" s="11">
        <v>216</v>
      </c>
      <c r="AK236" s="3" t="s">
        <v>5486</v>
      </c>
      <c r="AL236" s="3">
        <v>70000</v>
      </c>
      <c r="AM236" s="11">
        <v>1</v>
      </c>
      <c r="AN236" s="20">
        <f t="shared" si="44"/>
        <v>604</v>
      </c>
      <c r="AO236" s="37">
        <f t="shared" si="45"/>
        <v>42280000</v>
      </c>
      <c r="AP236" s="20"/>
      <c r="AT236" t="s">
        <v>25</v>
      </c>
    </row>
    <row r="237" spans="10:47">
      <c r="J237" s="2" t="s">
        <v>6764</v>
      </c>
      <c r="K237" s="3">
        <v>8260484.4756000005</v>
      </c>
      <c r="Q237" s="7"/>
      <c r="R237" s="7"/>
      <c r="S237" s="2"/>
      <c r="T237" s="2"/>
      <c r="U237" s="3">
        <f>SUM(U183:U236)</f>
        <v>-5553916.551955983</v>
      </c>
      <c r="V237" s="2" t="s">
        <v>4844</v>
      </c>
      <c r="W237" s="2">
        <v>2820</v>
      </c>
      <c r="X237" s="3">
        <v>319.1096</v>
      </c>
      <c r="Y237" s="3">
        <f t="shared" si="37"/>
        <v>899889.07200000004</v>
      </c>
      <c r="Z237" s="11" t="s">
        <v>433</v>
      </c>
      <c r="AJ237" s="11">
        <v>217</v>
      </c>
      <c r="AK237" s="3" t="s">
        <v>5476</v>
      </c>
      <c r="AL237" s="3">
        <v>150000</v>
      </c>
      <c r="AM237" s="11">
        <v>0</v>
      </c>
      <c r="AN237" s="20">
        <f t="shared" si="44"/>
        <v>603</v>
      </c>
      <c r="AO237" s="37">
        <f t="shared" si="45"/>
        <v>90450000</v>
      </c>
      <c r="AP237" s="20"/>
      <c r="AS237" t="s">
        <v>25</v>
      </c>
      <c r="AU237" t="s">
        <v>25</v>
      </c>
    </row>
    <row r="238" spans="10:47">
      <c r="J238" s="2" t="s">
        <v>6765</v>
      </c>
      <c r="K238" s="3">
        <v>2791202.6544840001</v>
      </c>
      <c r="Q238" s="7"/>
      <c r="R238" s="7"/>
      <c r="S238" s="36"/>
      <c r="T238" s="2"/>
      <c r="U238" s="2" t="s">
        <v>6</v>
      </c>
      <c r="V238" s="2" t="s">
        <v>4847</v>
      </c>
      <c r="W238" s="2">
        <v>1145</v>
      </c>
      <c r="X238" s="3">
        <v>325.44</v>
      </c>
      <c r="Y238" s="3">
        <f t="shared" si="37"/>
        <v>372628.8</v>
      </c>
      <c r="Z238" s="11" t="s">
        <v>433</v>
      </c>
      <c r="AA238" t="s">
        <v>25</v>
      </c>
      <c r="AJ238" s="11">
        <v>218</v>
      </c>
      <c r="AK238" s="3" t="s">
        <v>5476</v>
      </c>
      <c r="AL238" s="3">
        <v>-95599450</v>
      </c>
      <c r="AM238" s="11">
        <v>7</v>
      </c>
      <c r="AN238" s="20">
        <f t="shared" si="44"/>
        <v>603</v>
      </c>
      <c r="AO238" s="37">
        <f t="shared" si="45"/>
        <v>-57646468350</v>
      </c>
      <c r="AP238" s="20" t="s">
        <v>5489</v>
      </c>
      <c r="AT238" t="s">
        <v>25</v>
      </c>
    </row>
    <row r="239" spans="10:47">
      <c r="J239" s="2" t="s">
        <v>6766</v>
      </c>
      <c r="K239" s="3">
        <v>248142.0681</v>
      </c>
      <c r="Q239" s="7"/>
      <c r="V239" s="2" t="s">
        <v>4855</v>
      </c>
      <c r="W239" s="2">
        <v>20153</v>
      </c>
      <c r="X239" s="3">
        <v>322</v>
      </c>
      <c r="Y239" s="3">
        <f t="shared" si="37"/>
        <v>6489266</v>
      </c>
      <c r="Z239" s="11" t="s">
        <v>433</v>
      </c>
      <c r="AJ239" s="11">
        <v>219</v>
      </c>
      <c r="AK239" s="3" t="s">
        <v>5497</v>
      </c>
      <c r="AL239" s="3">
        <v>200000</v>
      </c>
      <c r="AM239" s="11">
        <v>7</v>
      </c>
      <c r="AN239" s="20">
        <f t="shared" si="44"/>
        <v>596</v>
      </c>
      <c r="AO239" s="37">
        <f t="shared" si="45"/>
        <v>119200000</v>
      </c>
      <c r="AP239" s="20"/>
      <c r="AT239" t="s">
        <v>25</v>
      </c>
    </row>
    <row r="240" spans="10:47">
      <c r="J240" s="2" t="s">
        <v>6784</v>
      </c>
      <c r="K240" s="3">
        <v>3374278.1910000001</v>
      </c>
      <c r="R240" s="7"/>
      <c r="S240" t="s">
        <v>25</v>
      </c>
      <c r="T240" t="s">
        <v>25</v>
      </c>
      <c r="V240" s="2" t="s">
        <v>4865</v>
      </c>
      <c r="W240" s="2">
        <v>93720</v>
      </c>
      <c r="X240" s="3">
        <v>325.435</v>
      </c>
      <c r="Y240" s="3">
        <f t="shared" si="37"/>
        <v>30499768.199999999</v>
      </c>
      <c r="Z240" s="11" t="s">
        <v>1049</v>
      </c>
      <c r="AJ240" s="11">
        <v>220</v>
      </c>
      <c r="AK240" s="3" t="s">
        <v>5502</v>
      </c>
      <c r="AL240" s="3">
        <v>150000</v>
      </c>
      <c r="AM240" s="11">
        <v>5</v>
      </c>
      <c r="AN240" s="20">
        <f t="shared" si="44"/>
        <v>589</v>
      </c>
      <c r="AO240" s="37">
        <f t="shared" si="45"/>
        <v>88350000</v>
      </c>
      <c r="AP240" s="20"/>
    </row>
    <row r="241" spans="10:48">
      <c r="J241" s="2" t="s">
        <v>6805</v>
      </c>
      <c r="K241" s="3">
        <v>2616960</v>
      </c>
      <c r="Q241" s="7"/>
      <c r="S241" t="s">
        <v>25</v>
      </c>
      <c r="T241" t="s">
        <v>25</v>
      </c>
      <c r="U241" t="s">
        <v>25</v>
      </c>
      <c r="V241" s="2" t="s">
        <v>4865</v>
      </c>
      <c r="W241" s="2">
        <v>20895</v>
      </c>
      <c r="X241" s="3">
        <v>325.435</v>
      </c>
      <c r="Y241" s="3">
        <f t="shared" si="37"/>
        <v>6799964.3250000002</v>
      </c>
      <c r="Z241" s="11" t="s">
        <v>723</v>
      </c>
      <c r="AJ241" s="11">
        <v>221</v>
      </c>
      <c r="AK241" s="3" t="s">
        <v>5505</v>
      </c>
      <c r="AL241" s="3">
        <v>310000</v>
      </c>
      <c r="AM241" s="11">
        <v>31</v>
      </c>
      <c r="AN241" s="20">
        <f t="shared" si="44"/>
        <v>584</v>
      </c>
      <c r="AO241" s="37">
        <f t="shared" si="45"/>
        <v>181040000</v>
      </c>
      <c r="AP241" s="20"/>
      <c r="AT241" t="s">
        <v>25</v>
      </c>
    </row>
    <row r="242" spans="10:48">
      <c r="J242" s="2" t="s">
        <v>6811</v>
      </c>
      <c r="K242" s="3">
        <v>253557.36216800002</v>
      </c>
      <c r="P242" t="s">
        <v>25</v>
      </c>
      <c r="Q242" s="7"/>
      <c r="U242" t="s">
        <v>25</v>
      </c>
      <c r="V242" s="2" t="s">
        <v>4872</v>
      </c>
      <c r="W242" s="2">
        <v>2611</v>
      </c>
      <c r="X242" s="3">
        <v>325.435</v>
      </c>
      <c r="Y242" s="3">
        <f t="shared" si="37"/>
        <v>849710.78500000003</v>
      </c>
      <c r="Z242" s="11" t="s">
        <v>723</v>
      </c>
      <c r="AJ242" s="11">
        <v>222</v>
      </c>
      <c r="AK242" s="3" t="s">
        <v>5540</v>
      </c>
      <c r="AL242" s="3">
        <v>4200000</v>
      </c>
      <c r="AM242" s="11">
        <v>53</v>
      </c>
      <c r="AN242" s="20">
        <f t="shared" si="44"/>
        <v>553</v>
      </c>
      <c r="AO242" s="37">
        <f t="shared" si="45"/>
        <v>2322600000</v>
      </c>
      <c r="AP242" s="20"/>
      <c r="AV242" t="s">
        <v>25</v>
      </c>
    </row>
    <row r="243" spans="10:48">
      <c r="J243" s="2" t="s">
        <v>6814</v>
      </c>
      <c r="K243" s="3">
        <v>933193.93063399999</v>
      </c>
      <c r="S243" s="11" t="s">
        <v>723</v>
      </c>
      <c r="T243" s="11"/>
      <c r="U243" t="s">
        <v>25</v>
      </c>
      <c r="V243" s="2" t="s">
        <v>4879</v>
      </c>
      <c r="W243" s="2">
        <v>6750</v>
      </c>
      <c r="X243" s="3">
        <v>339.3</v>
      </c>
      <c r="Y243" s="3">
        <f t="shared" si="37"/>
        <v>2290275</v>
      </c>
      <c r="Z243" s="11" t="s">
        <v>723</v>
      </c>
      <c r="AC243" t="s">
        <v>25</v>
      </c>
      <c r="AJ243" s="11">
        <v>223</v>
      </c>
      <c r="AK243" s="3" t="s">
        <v>5591</v>
      </c>
      <c r="AL243" s="3">
        <v>260000000</v>
      </c>
      <c r="AM243" s="11">
        <v>22</v>
      </c>
      <c r="AN243" s="20">
        <f t="shared" si="44"/>
        <v>500</v>
      </c>
      <c r="AO243" s="37">
        <f t="shared" si="45"/>
        <v>130000000000</v>
      </c>
      <c r="AP243" s="20" t="s">
        <v>5592</v>
      </c>
    </row>
    <row r="244" spans="10:48">
      <c r="J244" s="2" t="s">
        <v>6817</v>
      </c>
      <c r="K244" s="3">
        <v>1191707.1852839999</v>
      </c>
      <c r="Q244" s="7"/>
      <c r="R244" s="7"/>
      <c r="S244" s="11" t="s">
        <v>4373</v>
      </c>
      <c r="T244" s="26">
        <v>172908000</v>
      </c>
      <c r="U244" t="s">
        <v>25</v>
      </c>
      <c r="V244" s="2" t="s">
        <v>4887</v>
      </c>
      <c r="W244" s="2">
        <v>1850</v>
      </c>
      <c r="X244" s="3">
        <v>334.10050000000001</v>
      </c>
      <c r="Y244" s="3">
        <f t="shared" si="37"/>
        <v>618085.92500000005</v>
      </c>
      <c r="Z244" s="11" t="s">
        <v>433</v>
      </c>
      <c r="AA244" t="s">
        <v>25</v>
      </c>
      <c r="AJ244" s="11">
        <v>224</v>
      </c>
      <c r="AK244" s="3" t="s">
        <v>5618</v>
      </c>
      <c r="AL244" s="3">
        <v>20000</v>
      </c>
      <c r="AM244" s="11">
        <v>7</v>
      </c>
      <c r="AN244" s="20">
        <f t="shared" si="44"/>
        <v>478</v>
      </c>
      <c r="AO244" s="37">
        <f t="shared" si="45"/>
        <v>9560000</v>
      </c>
      <c r="AP244" s="20"/>
      <c r="AR244" t="s">
        <v>25</v>
      </c>
    </row>
    <row r="245" spans="10:48">
      <c r="J245" s="2" t="s">
        <v>6818</v>
      </c>
      <c r="K245" s="3">
        <v>2538812.595222</v>
      </c>
      <c r="Q245" s="7"/>
      <c r="R245" s="7"/>
      <c r="S245" s="11" t="s">
        <v>4402</v>
      </c>
      <c r="T245" s="26">
        <v>1400000</v>
      </c>
      <c r="V245" s="2" t="s">
        <v>4887</v>
      </c>
      <c r="W245" s="2">
        <v>-1194</v>
      </c>
      <c r="X245" s="3">
        <v>335</v>
      </c>
      <c r="Y245" s="3">
        <f t="shared" si="37"/>
        <v>-399990</v>
      </c>
      <c r="Z245" s="11" t="s">
        <v>4380</v>
      </c>
      <c r="AA245" t="s">
        <v>25</v>
      </c>
      <c r="AJ245" s="11">
        <v>225</v>
      </c>
      <c r="AK245" s="3" t="s">
        <v>5625</v>
      </c>
      <c r="AL245" s="3">
        <v>70000</v>
      </c>
      <c r="AM245" s="11">
        <v>1</v>
      </c>
      <c r="AN245" s="20">
        <f t="shared" si="44"/>
        <v>471</v>
      </c>
      <c r="AO245" s="37">
        <f t="shared" si="45"/>
        <v>32970000</v>
      </c>
      <c r="AP245" s="20"/>
    </row>
    <row r="246" spans="10:48">
      <c r="J246" s="2" t="s">
        <v>6824</v>
      </c>
      <c r="K246" s="3">
        <v>2016850.526604</v>
      </c>
      <c r="R246" s="7"/>
      <c r="S246" s="11" t="s">
        <v>4181</v>
      </c>
      <c r="T246" s="26">
        <v>247393</v>
      </c>
      <c r="U246" t="s">
        <v>25</v>
      </c>
      <c r="V246" s="2" t="s">
        <v>4887</v>
      </c>
      <c r="W246" s="2">
        <v>1194</v>
      </c>
      <c r="X246" s="3">
        <v>335</v>
      </c>
      <c r="Y246" s="3">
        <f t="shared" si="37"/>
        <v>399990</v>
      </c>
      <c r="Z246" s="11" t="s">
        <v>723</v>
      </c>
      <c r="AJ246" s="11">
        <v>226</v>
      </c>
      <c r="AK246" s="3" t="s">
        <v>5631</v>
      </c>
      <c r="AL246" s="3">
        <v>330000</v>
      </c>
      <c r="AM246" s="11">
        <v>1</v>
      </c>
      <c r="AN246" s="20">
        <f t="shared" si="44"/>
        <v>470</v>
      </c>
      <c r="AO246" s="37">
        <f t="shared" si="45"/>
        <v>155100000</v>
      </c>
      <c r="AP246" s="20"/>
    </row>
    <row r="247" spans="10:48">
      <c r="J247" s="2" t="s">
        <v>6827</v>
      </c>
      <c r="K247" s="3">
        <v>130754.575732</v>
      </c>
      <c r="Q247" s="7"/>
      <c r="R247" s="7"/>
      <c r="S247" s="11" t="s">
        <v>4180</v>
      </c>
      <c r="T247" s="26">
        <v>6780000</v>
      </c>
      <c r="V247" s="2" t="s">
        <v>4894</v>
      </c>
      <c r="W247" s="2">
        <v>433</v>
      </c>
      <c r="X247" s="3">
        <v>345.68</v>
      </c>
      <c r="Y247" s="3">
        <f t="shared" si="37"/>
        <v>149679.44</v>
      </c>
      <c r="Z247" s="11" t="s">
        <v>723</v>
      </c>
      <c r="AJ247" s="11">
        <v>227</v>
      </c>
      <c r="AK247" s="3" t="s">
        <v>5716</v>
      </c>
      <c r="AL247" s="3">
        <v>33833075</v>
      </c>
      <c r="AM247" s="11">
        <v>18</v>
      </c>
      <c r="AN247" s="20">
        <f t="shared" si="44"/>
        <v>469</v>
      </c>
      <c r="AO247" s="37">
        <f t="shared" si="45"/>
        <v>15867712175</v>
      </c>
      <c r="AP247" s="20" t="s">
        <v>5720</v>
      </c>
    </row>
    <row r="248" spans="10:48">
      <c r="J248" s="2" t="s">
        <v>6828</v>
      </c>
      <c r="K248" s="3">
        <v>153756.41398000001</v>
      </c>
      <c r="Q248" t="s">
        <v>25</v>
      </c>
      <c r="R248" s="7"/>
      <c r="S248" s="11" t="s">
        <v>4495</v>
      </c>
      <c r="T248" s="26">
        <v>-4000000</v>
      </c>
      <c r="V248" s="2" t="s">
        <v>4898</v>
      </c>
      <c r="W248" s="2">
        <v>55459</v>
      </c>
      <c r="X248" s="3">
        <v>362.51978000000003</v>
      </c>
      <c r="Y248" s="3">
        <f t="shared" si="37"/>
        <v>20104984.479020003</v>
      </c>
      <c r="Z248" s="11" t="s">
        <v>433</v>
      </c>
      <c r="AJ248" s="11">
        <v>228</v>
      </c>
      <c r="AK248" s="3" t="s">
        <v>5727</v>
      </c>
      <c r="AL248" s="3">
        <v>150000</v>
      </c>
      <c r="AM248" s="11">
        <v>10</v>
      </c>
      <c r="AN248" s="20">
        <f t="shared" si="44"/>
        <v>451</v>
      </c>
      <c r="AO248" s="37">
        <f t="shared" si="45"/>
        <v>67650000</v>
      </c>
      <c r="AP248" s="20"/>
    </row>
    <row r="249" spans="10:48">
      <c r="J249" s="2" t="s">
        <v>6834</v>
      </c>
      <c r="K249" s="3">
        <v>549780</v>
      </c>
      <c r="R249" s="7"/>
      <c r="S249" s="11" t="s">
        <v>4520</v>
      </c>
      <c r="T249" s="26">
        <v>16727037</v>
      </c>
      <c r="V249" s="2" t="s">
        <v>4902</v>
      </c>
      <c r="W249" s="2">
        <v>-57212</v>
      </c>
      <c r="X249" s="3">
        <v>368.45400000000001</v>
      </c>
      <c r="Y249" s="3">
        <f t="shared" si="37"/>
        <v>-21079990.248</v>
      </c>
      <c r="Z249" s="11" t="s">
        <v>433</v>
      </c>
      <c r="AJ249" s="11">
        <v>229</v>
      </c>
      <c r="AK249" s="3" t="s">
        <v>5732</v>
      </c>
      <c r="AL249" s="3">
        <v>-341847876.93843603</v>
      </c>
      <c r="AM249" s="11">
        <v>1</v>
      </c>
      <c r="AN249" s="20">
        <f t="shared" si="44"/>
        <v>441</v>
      </c>
      <c r="AO249" s="37">
        <f t="shared" si="45"/>
        <v>-150754913729.85028</v>
      </c>
      <c r="AP249" s="20" t="s">
        <v>4690</v>
      </c>
      <c r="AR249" t="s">
        <v>25</v>
      </c>
    </row>
    <row r="250" spans="10:48" ht="20.25" customHeight="1">
      <c r="J250" s="2" t="s">
        <v>6835</v>
      </c>
      <c r="K250" s="3">
        <v>1464826.6705450001</v>
      </c>
      <c r="R250" s="7"/>
      <c r="S250" s="11" t="s">
        <v>4525</v>
      </c>
      <c r="T250" s="26">
        <v>46460683</v>
      </c>
      <c r="U250" t="s">
        <v>25</v>
      </c>
      <c r="V250" s="2" t="s">
        <v>4903</v>
      </c>
      <c r="W250" s="2">
        <v>-15881</v>
      </c>
      <c r="X250" s="3">
        <v>374.61599999999999</v>
      </c>
      <c r="Y250" s="3">
        <f t="shared" si="37"/>
        <v>-5949276.6959999995</v>
      </c>
      <c r="Z250" s="11" t="s">
        <v>433</v>
      </c>
      <c r="AJ250" s="11">
        <v>230</v>
      </c>
      <c r="AK250" s="3" t="s">
        <v>5742</v>
      </c>
      <c r="AL250" s="3">
        <v>100000000</v>
      </c>
      <c r="AM250" s="11">
        <v>0</v>
      </c>
      <c r="AN250" s="20">
        <f t="shared" si="44"/>
        <v>440</v>
      </c>
      <c r="AO250" s="37">
        <f t="shared" si="45"/>
        <v>44000000000</v>
      </c>
      <c r="AP250" s="20" t="s">
        <v>5743</v>
      </c>
    </row>
    <row r="251" spans="10:48" ht="30">
      <c r="J251" s="2" t="s">
        <v>6839</v>
      </c>
      <c r="K251" s="3">
        <v>298481.41232</v>
      </c>
      <c r="Q251" s="7"/>
      <c r="R251" s="7"/>
      <c r="S251" s="11" t="s">
        <v>4526</v>
      </c>
      <c r="T251" s="26">
        <v>19663646</v>
      </c>
      <c r="V251" s="2" t="s">
        <v>4909</v>
      </c>
      <c r="W251" s="2">
        <v>-41289</v>
      </c>
      <c r="X251" s="3">
        <v>372.27</v>
      </c>
      <c r="Y251" s="3">
        <f t="shared" si="37"/>
        <v>-15370656.029999999</v>
      </c>
      <c r="Z251" s="11" t="s">
        <v>433</v>
      </c>
      <c r="AJ251" s="11">
        <v>231</v>
      </c>
      <c r="AK251" s="3" t="s">
        <v>5742</v>
      </c>
      <c r="AL251" s="3">
        <v>-100000000</v>
      </c>
      <c r="AM251" s="11">
        <v>1</v>
      </c>
      <c r="AN251" s="20">
        <f t="shared" si="44"/>
        <v>440</v>
      </c>
      <c r="AO251" s="37">
        <f t="shared" si="45"/>
        <v>-44000000000</v>
      </c>
      <c r="AP251" s="206" t="s">
        <v>5744</v>
      </c>
    </row>
    <row r="252" spans="10:48">
      <c r="J252" s="2" t="s">
        <v>6848</v>
      </c>
      <c r="K252" s="3">
        <v>787043.60540100001</v>
      </c>
      <c r="Q252" s="7"/>
      <c r="R252" s="7"/>
      <c r="S252" s="11" t="s">
        <v>4547</v>
      </c>
      <c r="T252" s="26">
        <v>4374525</v>
      </c>
      <c r="V252" s="2" t="s">
        <v>4915</v>
      </c>
      <c r="W252" s="2">
        <v>13563</v>
      </c>
      <c r="X252" s="3">
        <v>365.69799999999998</v>
      </c>
      <c r="Y252" s="3">
        <f t="shared" si="37"/>
        <v>4959961.9739999995</v>
      </c>
      <c r="Z252" s="11" t="s">
        <v>433</v>
      </c>
      <c r="AJ252" s="11">
        <v>232</v>
      </c>
      <c r="AK252" s="3" t="s">
        <v>5745</v>
      </c>
      <c r="AL252" s="3">
        <v>90000000</v>
      </c>
      <c r="AM252" s="11">
        <v>0</v>
      </c>
      <c r="AN252" s="20">
        <f t="shared" si="44"/>
        <v>439</v>
      </c>
      <c r="AO252" s="37">
        <f t="shared" si="45"/>
        <v>39510000000</v>
      </c>
      <c r="AP252" s="20"/>
    </row>
    <row r="253" spans="10:48" ht="30">
      <c r="J253" s="2" t="s">
        <v>6861</v>
      </c>
      <c r="K253" s="3">
        <v>679637.190848</v>
      </c>
      <c r="Q253" s="7"/>
      <c r="S253" s="11" t="s">
        <v>4558</v>
      </c>
      <c r="T253" s="26">
        <v>6550580</v>
      </c>
      <c r="V253" s="2" t="s">
        <v>4915</v>
      </c>
      <c r="W253" s="2">
        <v>27344</v>
      </c>
      <c r="X253" s="3">
        <v>365.69799999999998</v>
      </c>
      <c r="Y253" s="3">
        <f t="shared" si="37"/>
        <v>9999646.1119999997</v>
      </c>
      <c r="Z253" s="11" t="s">
        <v>433</v>
      </c>
      <c r="AJ253" s="11">
        <v>233</v>
      </c>
      <c r="AK253" s="3" t="s">
        <v>5745</v>
      </c>
      <c r="AL253" s="3">
        <v>-90000000</v>
      </c>
      <c r="AM253" s="11">
        <v>1</v>
      </c>
      <c r="AN253" s="20">
        <f t="shared" si="44"/>
        <v>439</v>
      </c>
      <c r="AO253" s="37">
        <f t="shared" si="45"/>
        <v>-39510000000</v>
      </c>
      <c r="AP253" s="206" t="s">
        <v>5746</v>
      </c>
      <c r="AS253" t="s">
        <v>25</v>
      </c>
      <c r="AU253" t="s">
        <v>25</v>
      </c>
    </row>
    <row r="254" spans="10:48" ht="30">
      <c r="J254" s="2" t="s">
        <v>6867</v>
      </c>
      <c r="K254" s="3">
        <v>403055.30508300004</v>
      </c>
      <c r="Q254" s="7"/>
      <c r="S254" s="11" t="s">
        <v>4560</v>
      </c>
      <c r="T254" s="26">
        <v>6650895</v>
      </c>
      <c r="V254" s="2" t="s">
        <v>4922</v>
      </c>
      <c r="W254" s="2">
        <v>-103145</v>
      </c>
      <c r="X254" s="3">
        <v>393.334</v>
      </c>
      <c r="Y254" s="3">
        <f t="shared" si="37"/>
        <v>-40570435.43</v>
      </c>
      <c r="Z254" s="32" t="s">
        <v>4927</v>
      </c>
      <c r="AJ254" s="11">
        <v>234</v>
      </c>
      <c r="AK254" s="3" t="s">
        <v>5747</v>
      </c>
      <c r="AL254" s="3">
        <v>30000000</v>
      </c>
      <c r="AM254" s="11">
        <v>0</v>
      </c>
      <c r="AN254" s="20">
        <f t="shared" si="44"/>
        <v>438</v>
      </c>
      <c r="AO254" s="37">
        <f t="shared" si="45"/>
        <v>13140000000</v>
      </c>
      <c r="AP254" s="206"/>
    </row>
    <row r="255" spans="10:48" ht="30">
      <c r="J255" s="2" t="s">
        <v>6893</v>
      </c>
      <c r="K255" s="3">
        <v>477190.63777500001</v>
      </c>
      <c r="Q255" s="7"/>
      <c r="R255" s="7"/>
      <c r="S255" s="11" t="s">
        <v>4573</v>
      </c>
      <c r="T255" s="26">
        <v>2145814</v>
      </c>
      <c r="V255" s="2" t="s">
        <v>4922</v>
      </c>
      <c r="W255" s="2">
        <v>-369</v>
      </c>
      <c r="X255" s="3">
        <v>393.334</v>
      </c>
      <c r="Y255" s="3">
        <f t="shared" si="37"/>
        <v>-145140.24600000001</v>
      </c>
      <c r="Z255" s="32" t="s">
        <v>4999</v>
      </c>
      <c r="AJ255" s="11">
        <v>235</v>
      </c>
      <c r="AK255" s="3" t="s">
        <v>5747</v>
      </c>
      <c r="AL255" s="3">
        <v>-30000000</v>
      </c>
      <c r="AM255" s="11">
        <v>3</v>
      </c>
      <c r="AN255" s="20">
        <f t="shared" si="44"/>
        <v>438</v>
      </c>
      <c r="AO255" s="37">
        <f t="shared" si="45"/>
        <v>-13140000000</v>
      </c>
      <c r="AP255" s="206" t="s">
        <v>5748</v>
      </c>
    </row>
    <row r="256" spans="10:48">
      <c r="J256" s="2" t="s">
        <v>6895</v>
      </c>
      <c r="K256" s="3">
        <v>914936.54489999998</v>
      </c>
      <c r="Q256" s="7"/>
      <c r="R256" s="7"/>
      <c r="S256" s="11" t="s">
        <v>4583</v>
      </c>
      <c r="T256" s="26">
        <v>4369730</v>
      </c>
      <c r="V256" s="2" t="s">
        <v>4922</v>
      </c>
      <c r="W256" s="2">
        <v>-889</v>
      </c>
      <c r="X256" s="3">
        <v>393.334</v>
      </c>
      <c r="Y256" s="3">
        <f t="shared" si="37"/>
        <v>-349673.92599999998</v>
      </c>
      <c r="Z256" s="32" t="s">
        <v>5000</v>
      </c>
      <c r="AJ256" s="11">
        <v>236</v>
      </c>
      <c r="AK256" s="3" t="s">
        <v>5754</v>
      </c>
      <c r="AL256" s="3">
        <v>50000000</v>
      </c>
      <c r="AM256" s="11">
        <v>1</v>
      </c>
      <c r="AN256" s="20">
        <f t="shared" si="44"/>
        <v>435</v>
      </c>
      <c r="AO256" s="37">
        <f t="shared" si="45"/>
        <v>21750000000</v>
      </c>
      <c r="AP256" s="206"/>
    </row>
    <row r="257" spans="10:47" ht="30">
      <c r="J257" s="2" t="s">
        <v>6897</v>
      </c>
      <c r="K257" s="3">
        <v>348393.04457099998</v>
      </c>
      <c r="Q257" s="7"/>
      <c r="S257" s="11" t="s">
        <v>4585</v>
      </c>
      <c r="T257" s="26">
        <v>8739459</v>
      </c>
      <c r="U257" t="s">
        <v>25</v>
      </c>
      <c r="V257" s="2" t="s">
        <v>4931</v>
      </c>
      <c r="W257" s="2">
        <v>2546</v>
      </c>
      <c r="X257" s="3">
        <v>393</v>
      </c>
      <c r="Y257" s="3">
        <f t="shared" si="37"/>
        <v>1000578</v>
      </c>
      <c r="Z257" s="32" t="s">
        <v>433</v>
      </c>
      <c r="AJ257" s="11">
        <v>237</v>
      </c>
      <c r="AK257" s="3" t="s">
        <v>5755</v>
      </c>
      <c r="AL257" s="3">
        <v>-50000000</v>
      </c>
      <c r="AM257" s="11">
        <v>5</v>
      </c>
      <c r="AN257" s="20">
        <f t="shared" si="44"/>
        <v>434</v>
      </c>
      <c r="AO257" s="37">
        <f t="shared" si="45"/>
        <v>-21700000000</v>
      </c>
      <c r="AP257" s="206" t="s">
        <v>5756</v>
      </c>
      <c r="AR257" t="s">
        <v>25</v>
      </c>
    </row>
    <row r="258" spans="10:47">
      <c r="J258" s="2" t="s">
        <v>6908</v>
      </c>
      <c r="K258" s="3">
        <v>720592.02784799994</v>
      </c>
      <c r="Q258" s="7"/>
      <c r="S258" s="11" t="s">
        <v>4594</v>
      </c>
      <c r="T258" s="26">
        <v>6667654</v>
      </c>
      <c r="V258" s="2" t="s">
        <v>4932</v>
      </c>
      <c r="W258" s="2">
        <v>1034</v>
      </c>
      <c r="X258" s="3">
        <v>386.608</v>
      </c>
      <c r="Y258" s="3">
        <f t="shared" si="37"/>
        <v>399752.67200000002</v>
      </c>
      <c r="Z258" s="32" t="s">
        <v>433</v>
      </c>
      <c r="AJ258" s="11">
        <v>238</v>
      </c>
      <c r="AK258" s="3" t="s">
        <v>6101</v>
      </c>
      <c r="AL258" s="3">
        <v>10000</v>
      </c>
      <c r="AM258" s="11">
        <v>1</v>
      </c>
      <c r="AN258" s="20">
        <f t="shared" si="44"/>
        <v>429</v>
      </c>
      <c r="AO258" s="37">
        <f t="shared" si="45"/>
        <v>4290000</v>
      </c>
      <c r="AP258" s="206"/>
    </row>
    <row r="259" spans="10:47" ht="15" customHeight="1">
      <c r="J259" s="2" t="s">
        <v>6909</v>
      </c>
      <c r="K259" s="3">
        <v>870021.48342200008</v>
      </c>
      <c r="Q259" s="7"/>
      <c r="S259" s="11" t="s">
        <v>4601</v>
      </c>
      <c r="T259" s="26">
        <v>8981245</v>
      </c>
      <c r="V259" s="2" t="s">
        <v>4939</v>
      </c>
      <c r="W259" s="2">
        <v>300</v>
      </c>
      <c r="X259" s="3">
        <v>400</v>
      </c>
      <c r="Y259" s="3">
        <f t="shared" si="37"/>
        <v>120000</v>
      </c>
      <c r="Z259" s="32" t="s">
        <v>433</v>
      </c>
      <c r="AJ259" s="11">
        <v>239</v>
      </c>
      <c r="AK259" s="3" t="s">
        <v>6102</v>
      </c>
      <c r="AL259" s="3">
        <v>50000000</v>
      </c>
      <c r="AM259" s="11">
        <v>43</v>
      </c>
      <c r="AN259" s="20">
        <f t="shared" si="44"/>
        <v>428</v>
      </c>
      <c r="AO259" s="37">
        <f t="shared" si="45"/>
        <v>21400000000</v>
      </c>
      <c r="AP259" s="206" t="s">
        <v>5297</v>
      </c>
    </row>
    <row r="260" spans="10:47">
      <c r="J260" s="2" t="s">
        <v>6910</v>
      </c>
      <c r="K260" s="3">
        <v>379028.51315999997</v>
      </c>
      <c r="S260" s="11" t="s">
        <v>4605</v>
      </c>
      <c r="T260" s="26">
        <v>9181756</v>
      </c>
      <c r="V260" s="2" t="s">
        <v>4947</v>
      </c>
      <c r="W260" s="2">
        <v>782</v>
      </c>
      <c r="X260" s="3">
        <v>409</v>
      </c>
      <c r="Y260" s="3">
        <f t="shared" si="37"/>
        <v>319838</v>
      </c>
      <c r="Z260" s="32" t="s">
        <v>723</v>
      </c>
      <c r="AJ260" s="11">
        <v>240</v>
      </c>
      <c r="AK260" s="3" t="s">
        <v>6145</v>
      </c>
      <c r="AL260" s="3">
        <v>50000000</v>
      </c>
      <c r="AM260" s="11">
        <v>10</v>
      </c>
      <c r="AN260" s="20">
        <f t="shared" si="44"/>
        <v>385</v>
      </c>
      <c r="AO260" s="37">
        <f t="shared" si="45"/>
        <v>19250000000</v>
      </c>
      <c r="AP260" s="206" t="s">
        <v>6146</v>
      </c>
    </row>
    <row r="261" spans="10:47">
      <c r="J261" s="2" t="s">
        <v>6875</v>
      </c>
      <c r="K261" s="3">
        <v>727150.09922600002</v>
      </c>
      <c r="S261" s="11" t="s">
        <v>4608</v>
      </c>
      <c r="T261" s="26">
        <v>11811208</v>
      </c>
      <c r="U261" t="s">
        <v>25</v>
      </c>
      <c r="V261" s="2" t="s">
        <v>4951</v>
      </c>
      <c r="W261" s="2">
        <v>1220</v>
      </c>
      <c r="X261" s="3">
        <v>409.9</v>
      </c>
      <c r="Y261" s="3">
        <f t="shared" si="37"/>
        <v>500078</v>
      </c>
      <c r="Z261" s="32" t="s">
        <v>723</v>
      </c>
      <c r="AJ261" s="11">
        <v>241</v>
      </c>
      <c r="AK261" s="3" t="s">
        <v>6147</v>
      </c>
      <c r="AL261" s="3">
        <v>8200000</v>
      </c>
      <c r="AM261" s="11">
        <v>29</v>
      </c>
      <c r="AN261" s="20">
        <f t="shared" si="44"/>
        <v>375</v>
      </c>
      <c r="AO261" s="37">
        <f t="shared" si="45"/>
        <v>3075000000</v>
      </c>
      <c r="AP261" s="206" t="s">
        <v>6146</v>
      </c>
      <c r="AT261" t="s">
        <v>25</v>
      </c>
      <c r="AU261" t="s">
        <v>25</v>
      </c>
    </row>
    <row r="262" spans="10:47">
      <c r="J262" s="2" t="s">
        <v>7003</v>
      </c>
      <c r="K262" s="3">
        <v>8677446.9972630013</v>
      </c>
      <c r="Q262" s="7"/>
      <c r="S262" s="11" t="s">
        <v>4620</v>
      </c>
      <c r="T262" s="26">
        <v>41248054</v>
      </c>
      <c r="U262" t="s">
        <v>25</v>
      </c>
      <c r="V262" s="2" t="s">
        <v>4953</v>
      </c>
      <c r="W262" s="2">
        <v>1285</v>
      </c>
      <c r="X262" s="3">
        <v>388.84</v>
      </c>
      <c r="Y262" s="3">
        <f t="shared" si="37"/>
        <v>499659.39999999997</v>
      </c>
      <c r="Z262" s="32" t="s">
        <v>433</v>
      </c>
      <c r="AJ262" s="11">
        <v>242</v>
      </c>
      <c r="AK262" s="3" t="s">
        <v>6177</v>
      </c>
      <c r="AL262" s="3">
        <v>-180000000</v>
      </c>
      <c r="AM262" s="11">
        <v>16</v>
      </c>
      <c r="AN262" s="20">
        <f t="shared" si="44"/>
        <v>346</v>
      </c>
      <c r="AO262" s="37">
        <f t="shared" si="45"/>
        <v>-62280000000</v>
      </c>
      <c r="AP262" s="206" t="s">
        <v>6179</v>
      </c>
    </row>
    <row r="263" spans="10:47" ht="17.25" customHeight="1">
      <c r="J263" s="2" t="s">
        <v>7005</v>
      </c>
      <c r="K263" s="3">
        <v>3889315.7145719999</v>
      </c>
      <c r="Q263" s="7"/>
      <c r="S263" s="11" t="s">
        <v>4627</v>
      </c>
      <c r="T263" s="26">
        <v>37328780</v>
      </c>
      <c r="V263" s="2" t="s">
        <v>4944</v>
      </c>
      <c r="W263" s="2">
        <v>1924</v>
      </c>
      <c r="X263" s="3">
        <v>386.69600000000003</v>
      </c>
      <c r="Y263" s="3">
        <f t="shared" si="37"/>
        <v>744003.10400000005</v>
      </c>
      <c r="Z263" s="32" t="s">
        <v>433</v>
      </c>
      <c r="AJ263" s="11">
        <v>243</v>
      </c>
      <c r="AK263" s="3" t="s">
        <v>6276</v>
      </c>
      <c r="AL263" s="3">
        <v>60000000</v>
      </c>
      <c r="AM263" s="11">
        <v>6</v>
      </c>
      <c r="AN263" s="20">
        <f t="shared" si="44"/>
        <v>330</v>
      </c>
      <c r="AO263" s="37">
        <f t="shared" si="45"/>
        <v>19800000000</v>
      </c>
      <c r="AP263" s="206" t="s">
        <v>6277</v>
      </c>
      <c r="AU263" t="s">
        <v>25</v>
      </c>
    </row>
    <row r="264" spans="10:47">
      <c r="J264" s="2" t="s">
        <v>7020</v>
      </c>
      <c r="K264" s="3">
        <v>6760129.9060710007</v>
      </c>
      <c r="S264" s="11" t="s">
        <v>4702</v>
      </c>
      <c r="T264" s="26">
        <v>-2194100</v>
      </c>
      <c r="V264" s="2" t="s">
        <v>4969</v>
      </c>
      <c r="W264" s="2">
        <v>165</v>
      </c>
      <c r="X264" s="3">
        <v>393.5</v>
      </c>
      <c r="Y264" s="3">
        <f t="shared" si="37"/>
        <v>64927.5</v>
      </c>
      <c r="Z264" s="32" t="s">
        <v>433</v>
      </c>
      <c r="AJ264" s="11">
        <v>244</v>
      </c>
      <c r="AK264" s="3" t="s">
        <v>6284</v>
      </c>
      <c r="AL264" s="3">
        <v>5000</v>
      </c>
      <c r="AM264" s="11">
        <v>8</v>
      </c>
      <c r="AN264" s="20">
        <f t="shared" si="44"/>
        <v>324</v>
      </c>
      <c r="AO264" s="37">
        <f t="shared" si="45"/>
        <v>1620000</v>
      </c>
      <c r="AP264" s="206" t="s">
        <v>6146</v>
      </c>
    </row>
    <row r="265" spans="10:47">
      <c r="J265" s="2" t="s">
        <v>7022</v>
      </c>
      <c r="K265" s="3">
        <v>9916796.5079399999</v>
      </c>
      <c r="S265" s="11" t="s">
        <v>4738</v>
      </c>
      <c r="T265" s="26">
        <v>20193916</v>
      </c>
      <c r="V265" s="2" t="s">
        <v>4974</v>
      </c>
      <c r="W265" s="2">
        <v>-34859</v>
      </c>
      <c r="X265" s="3">
        <v>403.1585</v>
      </c>
      <c r="Y265" s="3">
        <f t="shared" si="37"/>
        <v>-14053702.1515</v>
      </c>
      <c r="Z265" s="32" t="s">
        <v>4977</v>
      </c>
      <c r="AJ265" s="11">
        <v>245</v>
      </c>
      <c r="AK265" s="3" t="s">
        <v>6285</v>
      </c>
      <c r="AL265" s="3">
        <v>102750000</v>
      </c>
      <c r="AM265" s="11">
        <v>5</v>
      </c>
      <c r="AN265" s="20">
        <f t="shared" si="44"/>
        <v>316</v>
      </c>
      <c r="AO265" s="37">
        <f t="shared" si="45"/>
        <v>32469000000</v>
      </c>
      <c r="AP265" s="206"/>
    </row>
    <row r="266" spans="10:47" ht="30">
      <c r="J266" s="2" t="s">
        <v>7026</v>
      </c>
      <c r="K266" s="3">
        <v>968734.90064999997</v>
      </c>
      <c r="S266" s="11" t="s">
        <v>4802</v>
      </c>
      <c r="T266" s="26">
        <v>-2000000</v>
      </c>
      <c r="V266" s="2" t="s">
        <v>4945</v>
      </c>
      <c r="W266" s="2">
        <v>8476</v>
      </c>
      <c r="X266" s="3">
        <v>419.49900000000002</v>
      </c>
      <c r="Y266" s="3">
        <f t="shared" si="37"/>
        <v>3555673.5240000002</v>
      </c>
      <c r="Z266" s="32" t="s">
        <v>4983</v>
      </c>
      <c r="AJ266" s="11">
        <v>246</v>
      </c>
      <c r="AK266" s="3" t="s">
        <v>6291</v>
      </c>
      <c r="AL266" s="3">
        <v>-60000000</v>
      </c>
      <c r="AM266" s="11">
        <v>42</v>
      </c>
      <c r="AN266" s="20">
        <f t="shared" si="44"/>
        <v>311</v>
      </c>
      <c r="AO266" s="37">
        <f t="shared" si="45"/>
        <v>-18660000000</v>
      </c>
      <c r="AP266" s="206" t="s">
        <v>6295</v>
      </c>
    </row>
    <row r="267" spans="10:47" ht="20.25" customHeight="1">
      <c r="J267" s="2" t="s">
        <v>7033</v>
      </c>
      <c r="K267" s="3">
        <v>761939.35763300001</v>
      </c>
      <c r="S267" s="11" t="s">
        <v>4865</v>
      </c>
      <c r="T267" s="26">
        <v>6800000</v>
      </c>
      <c r="U267" t="s">
        <v>25</v>
      </c>
      <c r="V267" s="2" t="s">
        <v>4995</v>
      </c>
      <c r="W267" s="2">
        <v>903</v>
      </c>
      <c r="X267" s="3">
        <v>442.77379999999999</v>
      </c>
      <c r="Y267" s="3">
        <f t="shared" si="37"/>
        <v>399824.7414</v>
      </c>
      <c r="Z267" s="32" t="s">
        <v>723</v>
      </c>
      <c r="AJ267" s="11">
        <v>247</v>
      </c>
      <c r="AK267" s="3" t="s">
        <v>6594</v>
      </c>
      <c r="AL267" s="3">
        <v>50000</v>
      </c>
      <c r="AM267" s="11">
        <v>59</v>
      </c>
      <c r="AN267" s="20">
        <f t="shared" si="44"/>
        <v>269</v>
      </c>
      <c r="AO267" s="37">
        <f t="shared" si="45"/>
        <v>13450000</v>
      </c>
      <c r="AP267" s="206" t="s">
        <v>6146</v>
      </c>
      <c r="AU267" t="s">
        <v>25</v>
      </c>
    </row>
    <row r="268" spans="10:47">
      <c r="J268" s="2" t="s">
        <v>7035</v>
      </c>
      <c r="K268" s="3">
        <v>3631828.8870270001</v>
      </c>
      <c r="S268" s="11" t="s">
        <v>4872</v>
      </c>
      <c r="T268" s="26">
        <v>850000</v>
      </c>
      <c r="V268" s="2" t="s">
        <v>4998</v>
      </c>
      <c r="W268" s="2">
        <v>113</v>
      </c>
      <c r="X268" s="3">
        <v>442.48200000000003</v>
      </c>
      <c r="Y268" s="3">
        <f t="shared" ref="Y268:Y349" si="46">W268*X268</f>
        <v>50000.466</v>
      </c>
      <c r="Z268" s="32" t="s">
        <v>723</v>
      </c>
      <c r="AJ268" s="11">
        <v>248</v>
      </c>
      <c r="AK268" s="3" t="s">
        <v>6708</v>
      </c>
      <c r="AL268" s="3">
        <v>300000</v>
      </c>
      <c r="AM268" s="11">
        <v>55</v>
      </c>
      <c r="AN268" s="20">
        <f t="shared" si="44"/>
        <v>210</v>
      </c>
      <c r="AO268" s="37">
        <f t="shared" si="45"/>
        <v>63000000</v>
      </c>
      <c r="AP268" s="206"/>
    </row>
    <row r="269" spans="10:47" ht="21.75" customHeight="1">
      <c r="J269" s="2" t="s">
        <v>7042</v>
      </c>
      <c r="K269" s="3">
        <v>1797773.921844</v>
      </c>
      <c r="S269" s="11" t="s">
        <v>4879</v>
      </c>
      <c r="T269" s="26">
        <v>2290500</v>
      </c>
      <c r="V269" s="2" t="s">
        <v>5008</v>
      </c>
      <c r="W269" s="2">
        <v>671</v>
      </c>
      <c r="X269" s="3">
        <v>447</v>
      </c>
      <c r="Y269" s="3">
        <f t="shared" si="46"/>
        <v>299937</v>
      </c>
      <c r="Z269" s="32" t="s">
        <v>723</v>
      </c>
      <c r="AJ269" s="11">
        <v>249</v>
      </c>
      <c r="AK269" s="3" t="s">
        <v>6733</v>
      </c>
      <c r="AL269" s="3">
        <v>200000000</v>
      </c>
      <c r="AM269" s="11">
        <v>7</v>
      </c>
      <c r="AN269" s="20">
        <f t="shared" si="44"/>
        <v>155</v>
      </c>
      <c r="AO269" s="37">
        <f t="shared" si="45"/>
        <v>31000000000</v>
      </c>
      <c r="AP269" s="206" t="s">
        <v>6734</v>
      </c>
    </row>
    <row r="270" spans="10:47">
      <c r="J270" s="2" t="s">
        <v>7051</v>
      </c>
      <c r="K270" s="3">
        <v>4297159.3427689997</v>
      </c>
      <c r="S270" s="11" t="s">
        <v>4887</v>
      </c>
      <c r="T270" s="26">
        <v>400000</v>
      </c>
      <c r="U270" t="s">
        <v>25</v>
      </c>
      <c r="V270" s="2" t="s">
        <v>5010</v>
      </c>
      <c r="W270" s="2">
        <v>7</v>
      </c>
      <c r="X270" s="3">
        <v>465.31200000000001</v>
      </c>
      <c r="Y270" s="3">
        <f t="shared" si="46"/>
        <v>3257.1840000000002</v>
      </c>
      <c r="Z270" s="32" t="s">
        <v>433</v>
      </c>
      <c r="AJ270" s="11">
        <v>250</v>
      </c>
      <c r="AK270" s="3" t="s">
        <v>6737</v>
      </c>
      <c r="AL270" s="3">
        <v>50000</v>
      </c>
      <c r="AM270" s="11">
        <v>83</v>
      </c>
      <c r="AN270" s="20">
        <f t="shared" si="44"/>
        <v>148</v>
      </c>
      <c r="AO270" s="37">
        <f t="shared" si="45"/>
        <v>7400000</v>
      </c>
      <c r="AP270" s="20" t="s">
        <v>6146</v>
      </c>
    </row>
    <row r="271" spans="10:47">
      <c r="J271" s="2" t="s">
        <v>7053</v>
      </c>
      <c r="K271" s="3">
        <v>4765717.1413799999</v>
      </c>
      <c r="S271" s="11" t="s">
        <v>4894</v>
      </c>
      <c r="T271" s="26">
        <v>150000</v>
      </c>
      <c r="V271" s="2" t="s">
        <v>5014</v>
      </c>
      <c r="W271" s="2">
        <v>12950</v>
      </c>
      <c r="X271" s="3">
        <v>463.31599999999997</v>
      </c>
      <c r="Y271" s="3">
        <f t="shared" si="46"/>
        <v>5999942.1999999993</v>
      </c>
      <c r="Z271" s="32" t="s">
        <v>433</v>
      </c>
      <c r="AE271" t="s">
        <v>25</v>
      </c>
      <c r="AJ271" s="11">
        <v>251</v>
      </c>
      <c r="AK271" s="3" t="s">
        <v>6784</v>
      </c>
      <c r="AL271" s="3">
        <v>20000000</v>
      </c>
      <c r="AM271" s="11">
        <v>0</v>
      </c>
      <c r="AN271" s="20">
        <f t="shared" si="44"/>
        <v>65</v>
      </c>
      <c r="AO271" s="37">
        <f t="shared" si="45"/>
        <v>1300000000</v>
      </c>
      <c r="AP271" s="20" t="s">
        <v>6790</v>
      </c>
      <c r="AT271" t="s">
        <v>25</v>
      </c>
    </row>
    <row r="272" spans="10:47">
      <c r="J272" s="2" t="s">
        <v>7063</v>
      </c>
      <c r="K272" s="3">
        <v>3715272.2289780001</v>
      </c>
      <c r="P272" t="s">
        <v>25</v>
      </c>
      <c r="S272" s="11" t="s">
        <v>4922</v>
      </c>
      <c r="T272" s="26">
        <v>-144950</v>
      </c>
      <c r="V272" s="2" t="s">
        <v>5016</v>
      </c>
      <c r="W272" s="2">
        <v>37</v>
      </c>
      <c r="X272" s="3">
        <v>463.315</v>
      </c>
      <c r="Y272" s="3">
        <f t="shared" si="46"/>
        <v>17142.654999999999</v>
      </c>
      <c r="Z272" s="32" t="s">
        <v>433</v>
      </c>
      <c r="AJ272" s="11">
        <v>252</v>
      </c>
      <c r="AK272" s="3" t="s">
        <v>6789</v>
      </c>
      <c r="AL272" s="3">
        <v>-562402000</v>
      </c>
      <c r="AM272" s="11">
        <v>1</v>
      </c>
      <c r="AN272" s="20">
        <f t="shared" si="44"/>
        <v>65</v>
      </c>
      <c r="AO272" s="37">
        <f t="shared" si="45"/>
        <v>-36556130000</v>
      </c>
      <c r="AP272" s="20" t="s">
        <v>6791</v>
      </c>
    </row>
    <row r="273" spans="9:48">
      <c r="J273" s="2" t="s">
        <v>7065</v>
      </c>
      <c r="K273" s="3">
        <v>8572204.2709120009</v>
      </c>
      <c r="Q273" t="s">
        <v>25</v>
      </c>
      <c r="S273" s="11" t="s">
        <v>4947</v>
      </c>
      <c r="T273" s="26">
        <v>320000</v>
      </c>
      <c r="V273" s="2" t="s">
        <v>5017</v>
      </c>
      <c r="W273" s="2">
        <v>19</v>
      </c>
      <c r="X273" s="3">
        <v>434.3</v>
      </c>
      <c r="Y273" s="3">
        <f t="shared" si="46"/>
        <v>8251.7000000000007</v>
      </c>
      <c r="Z273" s="32" t="s">
        <v>433</v>
      </c>
      <c r="AA273" t="s">
        <v>25</v>
      </c>
      <c r="AJ273" s="11">
        <v>253</v>
      </c>
      <c r="AK273" s="3" t="s">
        <v>6792</v>
      </c>
      <c r="AL273" s="3">
        <v>30000000</v>
      </c>
      <c r="AM273" s="11">
        <v>1</v>
      </c>
      <c r="AN273" s="20">
        <f t="shared" si="44"/>
        <v>64</v>
      </c>
      <c r="AO273" s="37">
        <f t="shared" si="45"/>
        <v>1920000000</v>
      </c>
      <c r="AP273" s="20" t="s">
        <v>6797</v>
      </c>
    </row>
    <row r="274" spans="9:48">
      <c r="J274" s="2" t="s">
        <v>7066</v>
      </c>
      <c r="K274" s="3">
        <v>5003571.3628719999</v>
      </c>
      <c r="P274" t="s">
        <v>25</v>
      </c>
      <c r="Q274" t="s">
        <v>25</v>
      </c>
      <c r="S274" s="11" t="s">
        <v>4951</v>
      </c>
      <c r="T274" s="26">
        <v>500000</v>
      </c>
      <c r="U274" t="s">
        <v>25</v>
      </c>
      <c r="V274" s="2" t="s">
        <v>5019</v>
      </c>
      <c r="W274" s="2">
        <v>16</v>
      </c>
      <c r="X274" s="3">
        <v>439</v>
      </c>
      <c r="Y274" s="3">
        <f t="shared" si="46"/>
        <v>7024</v>
      </c>
      <c r="Z274" s="32" t="s">
        <v>433</v>
      </c>
      <c r="AA274" t="s">
        <v>25</v>
      </c>
      <c r="AJ274" s="11">
        <v>254</v>
      </c>
      <c r="AK274" s="3" t="s">
        <v>6799</v>
      </c>
      <c r="AL274" s="3">
        <v>50000000</v>
      </c>
      <c r="AM274" s="11">
        <v>59</v>
      </c>
      <c r="AN274" s="20">
        <f t="shared" si="44"/>
        <v>63</v>
      </c>
      <c r="AO274" s="37">
        <f t="shared" si="45"/>
        <v>3150000000</v>
      </c>
      <c r="AP274" s="20" t="s">
        <v>6797</v>
      </c>
      <c r="AR274" t="s">
        <v>25</v>
      </c>
    </row>
    <row r="275" spans="9:48" ht="23.25" customHeight="1">
      <c r="J275" s="2"/>
      <c r="K275" s="3"/>
      <c r="S275" s="11" t="s">
        <v>4995</v>
      </c>
      <c r="T275" s="26">
        <v>400000</v>
      </c>
      <c r="U275" t="s">
        <v>25</v>
      </c>
      <c r="V275" s="2" t="s">
        <v>5019</v>
      </c>
      <c r="W275" s="2">
        <v>9191</v>
      </c>
      <c r="X275" s="3">
        <v>440.24630000000002</v>
      </c>
      <c r="Y275" s="3">
        <f t="shared" si="46"/>
        <v>4046303.7433000002</v>
      </c>
      <c r="Z275" s="32" t="s">
        <v>5020</v>
      </c>
      <c r="AJ275" s="11">
        <v>255</v>
      </c>
      <c r="AK275" s="3" t="s">
        <v>6843</v>
      </c>
      <c r="AL275" s="3">
        <v>-364449030</v>
      </c>
      <c r="AM275" s="11">
        <v>2</v>
      </c>
      <c r="AN275" s="20">
        <f t="shared" ref="AN275:AN280" si="47">AN276+AM275</f>
        <v>4</v>
      </c>
      <c r="AO275" s="37">
        <f t="shared" ref="AO275:AO280" si="48">AL275*AN275</f>
        <v>-1457796120</v>
      </c>
      <c r="AP275" s="20" t="s">
        <v>6845</v>
      </c>
      <c r="AR275" t="s">
        <v>25</v>
      </c>
    </row>
    <row r="276" spans="9:48">
      <c r="J276" s="2"/>
      <c r="K276" s="3"/>
      <c r="S276" s="11" t="s">
        <v>4998</v>
      </c>
      <c r="T276" s="26">
        <v>50000</v>
      </c>
      <c r="U276" t="s">
        <v>25</v>
      </c>
      <c r="V276" s="2" t="s">
        <v>5022</v>
      </c>
      <c r="W276" s="2">
        <v>-8792</v>
      </c>
      <c r="X276" s="3">
        <v>441.90665999999999</v>
      </c>
      <c r="Y276" s="3">
        <f t="shared" si="46"/>
        <v>-3885243.3547199997</v>
      </c>
      <c r="Z276" s="32" t="s">
        <v>5023</v>
      </c>
      <c r="AJ276" s="11">
        <v>256</v>
      </c>
      <c r="AK276" s="3" t="s">
        <v>6853</v>
      </c>
      <c r="AL276" s="3">
        <v>25000000</v>
      </c>
      <c r="AM276" s="11">
        <v>1</v>
      </c>
      <c r="AN276" s="20">
        <f t="shared" si="47"/>
        <v>2</v>
      </c>
      <c r="AO276" s="37">
        <f t="shared" si="48"/>
        <v>50000000</v>
      </c>
      <c r="AP276" s="20" t="s">
        <v>6854</v>
      </c>
    </row>
    <row r="277" spans="9:48">
      <c r="I277" t="s">
        <v>25</v>
      </c>
      <c r="J277" s="2"/>
      <c r="K277" s="3"/>
      <c r="S277" s="11" t="s">
        <v>5008</v>
      </c>
      <c r="T277" s="26">
        <v>300000</v>
      </c>
      <c r="V277" s="2" t="s">
        <v>5029</v>
      </c>
      <c r="W277" s="2">
        <v>530</v>
      </c>
      <c r="X277" s="3">
        <v>472</v>
      </c>
      <c r="Y277" s="3">
        <f t="shared" si="46"/>
        <v>250160</v>
      </c>
      <c r="Z277" s="32" t="s">
        <v>723</v>
      </c>
      <c r="AJ277" s="11">
        <v>256</v>
      </c>
      <c r="AK277" s="3" t="s">
        <v>6860</v>
      </c>
      <c r="AL277" s="3">
        <v>58000000</v>
      </c>
      <c r="AM277" s="11">
        <v>1</v>
      </c>
      <c r="AN277" s="20">
        <f t="shared" si="47"/>
        <v>1</v>
      </c>
      <c r="AO277" s="37">
        <f t="shared" si="48"/>
        <v>58000000</v>
      </c>
      <c r="AP277" s="20" t="s">
        <v>6854</v>
      </c>
    </row>
    <row r="278" spans="9:48" ht="15" customHeight="1">
      <c r="J278" s="2"/>
      <c r="K278" s="3"/>
      <c r="S278" s="11" t="s">
        <v>5029</v>
      </c>
      <c r="T278" s="26">
        <v>250000</v>
      </c>
      <c r="V278" s="2" t="s">
        <v>5029</v>
      </c>
      <c r="W278" s="2">
        <v>12</v>
      </c>
      <c r="X278" s="3">
        <v>481.86</v>
      </c>
      <c r="Y278" s="3">
        <f t="shared" si="46"/>
        <v>5782.32</v>
      </c>
      <c r="Z278" s="32" t="s">
        <v>5031</v>
      </c>
      <c r="AJ278" s="11"/>
      <c r="AK278" s="3"/>
      <c r="AL278" s="3"/>
      <c r="AM278" s="11"/>
      <c r="AN278" s="20">
        <f t="shared" si="47"/>
        <v>0</v>
      </c>
      <c r="AO278" s="37">
        <f t="shared" si="48"/>
        <v>0</v>
      </c>
      <c r="AP278" s="20"/>
    </row>
    <row r="279" spans="9:48">
      <c r="J279" s="2"/>
      <c r="K279" s="3"/>
      <c r="S279" s="11" t="s">
        <v>5062</v>
      </c>
      <c r="T279" s="26">
        <v>200000</v>
      </c>
      <c r="V279" s="2" t="s">
        <v>5055</v>
      </c>
      <c r="W279" s="2">
        <v>846</v>
      </c>
      <c r="X279" s="3">
        <v>472.7</v>
      </c>
      <c r="Y279" s="3">
        <f t="shared" si="46"/>
        <v>399904.2</v>
      </c>
      <c r="Z279" s="32" t="s">
        <v>433</v>
      </c>
      <c r="AJ279" s="11"/>
      <c r="AK279" s="3"/>
      <c r="AL279" s="3"/>
      <c r="AM279" s="11"/>
      <c r="AN279" s="20">
        <f t="shared" si="47"/>
        <v>0</v>
      </c>
      <c r="AO279" s="37">
        <f t="shared" si="48"/>
        <v>0</v>
      </c>
      <c r="AP279" s="20"/>
      <c r="AV279" t="s">
        <v>25</v>
      </c>
    </row>
    <row r="280" spans="9:48">
      <c r="J280" s="2"/>
      <c r="K280" s="3"/>
      <c r="Q280" t="s">
        <v>25</v>
      </c>
      <c r="S280" s="11" t="s">
        <v>5094</v>
      </c>
      <c r="T280" s="26">
        <v>122000</v>
      </c>
      <c r="V280" s="2" t="s">
        <v>5058</v>
      </c>
      <c r="W280" s="2">
        <v>191</v>
      </c>
      <c r="X280" s="3">
        <v>484.572</v>
      </c>
      <c r="Y280" s="3">
        <f t="shared" si="46"/>
        <v>92553.252000000008</v>
      </c>
      <c r="Z280" s="32" t="s">
        <v>5059</v>
      </c>
      <c r="AJ280" s="11"/>
      <c r="AK280" s="3"/>
      <c r="AL280" s="3">
        <v>0</v>
      </c>
      <c r="AM280" s="11"/>
      <c r="AN280" s="20">
        <f t="shared" si="47"/>
        <v>0</v>
      </c>
      <c r="AO280" s="37">
        <f t="shared" si="48"/>
        <v>0</v>
      </c>
      <c r="AP280" s="20"/>
    </row>
    <row r="281" spans="9:48">
      <c r="J281" s="2"/>
      <c r="K281" s="3"/>
      <c r="P281" t="s">
        <v>25</v>
      </c>
      <c r="S281" s="11" t="s">
        <v>5102</v>
      </c>
      <c r="T281" s="26">
        <v>200000</v>
      </c>
      <c r="U281" t="s">
        <v>25</v>
      </c>
      <c r="V281" s="2" t="s">
        <v>5058</v>
      </c>
      <c r="W281" s="2">
        <v>-206</v>
      </c>
      <c r="X281" s="3">
        <v>484.572</v>
      </c>
      <c r="Y281" s="3">
        <f t="shared" si="46"/>
        <v>-99821.831999999995</v>
      </c>
      <c r="Z281" s="32" t="s">
        <v>5061</v>
      </c>
      <c r="AJ281" s="11"/>
      <c r="AK281" s="3"/>
      <c r="AL281" s="3"/>
      <c r="AM281" s="11">
        <v>0</v>
      </c>
      <c r="AN281" s="20">
        <f t="shared" si="44"/>
        <v>0</v>
      </c>
      <c r="AO281" s="37">
        <f t="shared" si="45"/>
        <v>0</v>
      </c>
      <c r="AP281" s="20"/>
      <c r="AU281" t="s">
        <v>25</v>
      </c>
    </row>
    <row r="282" spans="9:48">
      <c r="J282" s="2"/>
      <c r="K282" s="3"/>
      <c r="S282" s="11" t="s">
        <v>5112</v>
      </c>
      <c r="T282" s="26">
        <v>60000</v>
      </c>
      <c r="V282" s="2" t="s">
        <v>5062</v>
      </c>
      <c r="W282" s="2">
        <v>20685</v>
      </c>
      <c r="X282" s="3">
        <v>483.43312200000003</v>
      </c>
      <c r="Y282" s="3">
        <f t="shared" si="46"/>
        <v>9999814.1285699997</v>
      </c>
      <c r="Z282" s="32" t="s">
        <v>5064</v>
      </c>
      <c r="AJ282" s="11"/>
      <c r="AK282" s="11"/>
      <c r="AL282" s="26">
        <f>SUM(AL20:AL281)</f>
        <v>-122088858.93843603</v>
      </c>
      <c r="AM282" s="11"/>
      <c r="AN282" s="11">
        <v>0</v>
      </c>
      <c r="AO282" s="26">
        <f>SUM(AO20:AO281)</f>
        <v>565909378536.14966</v>
      </c>
      <c r="AP282" s="26">
        <f>AO282*AP285/31</f>
        <v>304258439.09877443</v>
      </c>
    </row>
    <row r="283" spans="9:48">
      <c r="J283" s="2"/>
      <c r="K283" s="3"/>
      <c r="S283" s="11" t="s">
        <v>5171</v>
      </c>
      <c r="T283" s="26">
        <v>-200000</v>
      </c>
      <c r="U283" t="s">
        <v>25</v>
      </c>
      <c r="V283" s="2" t="s">
        <v>5062</v>
      </c>
      <c r="W283" s="2">
        <v>-413</v>
      </c>
      <c r="X283" s="3">
        <v>483.40199999999999</v>
      </c>
      <c r="Y283" s="3">
        <f t="shared" si="46"/>
        <v>-199645.02599999998</v>
      </c>
      <c r="Z283" s="32" t="s">
        <v>4380</v>
      </c>
      <c r="AJ283" s="11"/>
      <c r="AK283" s="11"/>
      <c r="AL283" s="11" t="s">
        <v>4021</v>
      </c>
      <c r="AM283" s="11"/>
      <c r="AN283" s="11"/>
      <c r="AO283" s="11" t="s">
        <v>284</v>
      </c>
      <c r="AP283" s="11" t="s">
        <v>906</v>
      </c>
    </row>
    <row r="284" spans="9:48">
      <c r="J284" s="2"/>
      <c r="K284" s="3"/>
      <c r="M284" t="s">
        <v>25</v>
      </c>
      <c r="P284" t="s">
        <v>25</v>
      </c>
      <c r="S284" s="11" t="s">
        <v>5233</v>
      </c>
      <c r="T284" s="26">
        <v>-9000000</v>
      </c>
      <c r="V284" s="2" t="s">
        <v>5062</v>
      </c>
      <c r="W284" s="2">
        <v>413</v>
      </c>
      <c r="X284" s="3">
        <v>483.40199999999999</v>
      </c>
      <c r="Y284" s="3">
        <f t="shared" si="46"/>
        <v>199645.02599999998</v>
      </c>
      <c r="Z284" s="32" t="s">
        <v>723</v>
      </c>
      <c r="AJ284" s="11"/>
      <c r="AK284" s="11"/>
      <c r="AL284" s="11"/>
      <c r="AM284" s="11"/>
      <c r="AN284" s="11"/>
      <c r="AO284" s="11"/>
      <c r="AP284" s="11"/>
    </row>
    <row r="285" spans="9:48">
      <c r="J285" s="2"/>
      <c r="K285" s="3"/>
      <c r="S285" s="11" t="s">
        <v>5290</v>
      </c>
      <c r="T285" s="26">
        <v>-26000000</v>
      </c>
      <c r="V285" s="2" t="s">
        <v>5067</v>
      </c>
      <c r="W285" s="2">
        <v>-828</v>
      </c>
      <c r="X285" s="3">
        <v>483.43312200000003</v>
      </c>
      <c r="Y285" s="3">
        <f t="shared" si="46"/>
        <v>-400282.62501600001</v>
      </c>
      <c r="Z285" s="32" t="s">
        <v>433</v>
      </c>
      <c r="AJ285" s="11"/>
      <c r="AK285" s="11"/>
      <c r="AL285" s="11"/>
      <c r="AM285" s="11"/>
      <c r="AN285" s="11"/>
      <c r="AO285" s="11" t="s">
        <v>4022</v>
      </c>
      <c r="AP285" s="11">
        <v>1.6667000000000001E-2</v>
      </c>
      <c r="AS285" t="s">
        <v>25</v>
      </c>
    </row>
    <row r="286" spans="9:48">
      <c r="J286" s="2"/>
      <c r="K286" s="3"/>
      <c r="S286" s="11" t="s">
        <v>5294</v>
      </c>
      <c r="T286" s="26">
        <v>-95900000</v>
      </c>
      <c r="V286" s="2" t="s">
        <v>5070</v>
      </c>
      <c r="W286" s="2">
        <v>12</v>
      </c>
      <c r="X286" s="3">
        <v>473.61898300000001</v>
      </c>
      <c r="Y286" s="3">
        <f t="shared" si="46"/>
        <v>5683.4277959999999</v>
      </c>
      <c r="Z286" s="32" t="s">
        <v>433</v>
      </c>
      <c r="AJ286" s="11"/>
      <c r="AK286" s="11"/>
      <c r="AL286" s="11"/>
      <c r="AM286" s="11"/>
      <c r="AN286" s="11"/>
      <c r="AO286" s="11"/>
      <c r="AP286" s="11"/>
    </row>
    <row r="287" spans="9:48">
      <c r="J287" s="2"/>
      <c r="K287" s="3"/>
      <c r="P287" t="s">
        <v>25</v>
      </c>
      <c r="Q287" t="s">
        <v>25</v>
      </c>
      <c r="S287" s="11" t="s">
        <v>5295</v>
      </c>
      <c r="T287" s="26">
        <v>-28950000</v>
      </c>
      <c r="U287" t="s">
        <v>25</v>
      </c>
      <c r="V287" s="2" t="s">
        <v>5073</v>
      </c>
      <c r="W287" s="2">
        <v>963</v>
      </c>
      <c r="X287" s="3">
        <v>477.92200000000003</v>
      </c>
      <c r="Y287" s="3">
        <f t="shared" si="46"/>
        <v>460238.886</v>
      </c>
      <c r="Z287" s="32" t="s">
        <v>433</v>
      </c>
      <c r="AJ287" s="11"/>
      <c r="AK287" s="11" t="s">
        <v>4023</v>
      </c>
      <c r="AL287" s="26">
        <f>AL282+AP282</f>
        <v>182169580.1603384</v>
      </c>
      <c r="AM287" s="11"/>
      <c r="AN287" s="11"/>
      <c r="AO287" s="11"/>
      <c r="AP287" s="11"/>
    </row>
    <row r="288" spans="9:48">
      <c r="J288" s="2"/>
      <c r="K288" s="3"/>
      <c r="S288" s="11" t="s">
        <v>5424</v>
      </c>
      <c r="T288" s="26">
        <v>-93000000</v>
      </c>
      <c r="U288" t="s">
        <v>25</v>
      </c>
      <c r="V288" s="2" t="s">
        <v>5074</v>
      </c>
      <c r="W288" s="2">
        <v>2815</v>
      </c>
      <c r="X288" s="3">
        <v>461.79</v>
      </c>
      <c r="Y288" s="3">
        <f t="shared" si="46"/>
        <v>1299938.8500000001</v>
      </c>
      <c r="Z288" s="32" t="s">
        <v>433</v>
      </c>
      <c r="AK288" t="s">
        <v>4026</v>
      </c>
      <c r="AL288" s="7">
        <f>SUM(N41:N47)</f>
        <v>8903476542</v>
      </c>
      <c r="AO288" t="s">
        <v>25</v>
      </c>
    </row>
    <row r="289" spans="10:47">
      <c r="J289" s="2"/>
      <c r="K289" s="3"/>
      <c r="S289" s="11" t="s">
        <v>5433</v>
      </c>
      <c r="T289" s="26">
        <v>50000000</v>
      </c>
      <c r="V289" s="2" t="s">
        <v>5074</v>
      </c>
      <c r="W289" s="2">
        <v>1581</v>
      </c>
      <c r="X289" s="3">
        <v>461.79</v>
      </c>
      <c r="Y289" s="3">
        <f t="shared" si="46"/>
        <v>730089.99</v>
      </c>
      <c r="Z289" s="32" t="s">
        <v>433</v>
      </c>
      <c r="AA289" t="s">
        <v>25</v>
      </c>
      <c r="AK289" t="s">
        <v>4092</v>
      </c>
      <c r="AL289" s="7">
        <f>AL288-AL282</f>
        <v>9025565400.9384365</v>
      </c>
      <c r="AO289" t="s">
        <v>25</v>
      </c>
      <c r="AU289" t="s">
        <v>25</v>
      </c>
    </row>
    <row r="290" spans="10:47">
      <c r="J290" s="2"/>
      <c r="K290" s="3"/>
      <c r="Q290" t="s">
        <v>25</v>
      </c>
      <c r="S290" s="11" t="s">
        <v>4185</v>
      </c>
      <c r="T290" s="26">
        <v>2749471.1668000002</v>
      </c>
      <c r="V290" s="2" t="s">
        <v>955</v>
      </c>
      <c r="W290" s="2">
        <v>41</v>
      </c>
      <c r="X290" s="3">
        <v>514.48099999999999</v>
      </c>
      <c r="Y290" s="3">
        <f t="shared" si="46"/>
        <v>21093.721000000001</v>
      </c>
      <c r="Z290" s="32" t="s">
        <v>5059</v>
      </c>
      <c r="AK290" t="s">
        <v>906</v>
      </c>
      <c r="AL290" s="7">
        <f>AP282</f>
        <v>304258439.09877443</v>
      </c>
      <c r="AP290" t="s">
        <v>25</v>
      </c>
    </row>
    <row r="291" spans="10:47">
      <c r="J291" s="2" t="s">
        <v>5420</v>
      </c>
      <c r="K291" s="3">
        <v>-87000000</v>
      </c>
      <c r="S291" s="11" t="s">
        <v>5516</v>
      </c>
      <c r="T291" s="26">
        <v>-680940.07019999996</v>
      </c>
      <c r="V291" s="2" t="s">
        <v>4229</v>
      </c>
      <c r="W291" s="2">
        <v>71</v>
      </c>
      <c r="X291" s="3">
        <v>482.57</v>
      </c>
      <c r="Y291" s="3">
        <f t="shared" si="46"/>
        <v>34262.47</v>
      </c>
      <c r="Z291" s="32" t="s">
        <v>5059</v>
      </c>
      <c r="AK291" t="s">
        <v>4027</v>
      </c>
      <c r="AL291" s="7">
        <f>AL288-AL287</f>
        <v>8721306961.8396606</v>
      </c>
      <c r="AP291" t="s">
        <v>25</v>
      </c>
    </row>
    <row r="292" spans="10:47">
      <c r="J292" s="2"/>
      <c r="K292" s="3"/>
      <c r="S292" s="11" t="s">
        <v>5516</v>
      </c>
      <c r="T292" s="26">
        <v>-48684800.338199995</v>
      </c>
      <c r="V292" s="2" t="s">
        <v>5094</v>
      </c>
      <c r="W292" s="2">
        <v>-250</v>
      </c>
      <c r="X292" s="3">
        <v>487.125</v>
      </c>
      <c r="Y292" s="3">
        <f t="shared" si="46"/>
        <v>-121781.25</v>
      </c>
      <c r="Z292" s="32" t="s">
        <v>4380</v>
      </c>
      <c r="AO292" t="s">
        <v>25</v>
      </c>
    </row>
    <row r="293" spans="10:47">
      <c r="J293" s="2"/>
      <c r="K293" s="1"/>
      <c r="S293" s="11" t="s">
        <v>5540</v>
      </c>
      <c r="T293" s="26">
        <v>1500000</v>
      </c>
      <c r="U293" t="s">
        <v>25</v>
      </c>
      <c r="V293" s="2" t="s">
        <v>5094</v>
      </c>
      <c r="W293" s="2">
        <v>250</v>
      </c>
      <c r="X293" s="3">
        <v>487.125</v>
      </c>
      <c r="Y293" s="3">
        <f t="shared" si="46"/>
        <v>121781.25</v>
      </c>
      <c r="Z293" s="32" t="s">
        <v>723</v>
      </c>
      <c r="AL293" t="s">
        <v>25</v>
      </c>
    </row>
    <row r="294" spans="10:47">
      <c r="J294" s="2"/>
      <c r="K294" s="1"/>
      <c r="Q294" t="s">
        <v>25</v>
      </c>
      <c r="S294" s="11" t="s">
        <v>943</v>
      </c>
      <c r="T294" s="26">
        <v>11221062</v>
      </c>
      <c r="U294" t="s">
        <v>25</v>
      </c>
      <c r="V294" s="2" t="s">
        <v>5102</v>
      </c>
      <c r="W294" s="2">
        <v>-1439</v>
      </c>
      <c r="X294" s="3">
        <v>486.53068999999999</v>
      </c>
      <c r="Y294" s="3">
        <f t="shared" si="46"/>
        <v>-700117.66290999996</v>
      </c>
      <c r="Z294" s="32" t="s">
        <v>4380</v>
      </c>
    </row>
    <row r="295" spans="10:47">
      <c r="J295" s="2"/>
      <c r="K295" s="1"/>
      <c r="S295" s="11" t="s">
        <v>5721</v>
      </c>
      <c r="T295" s="26">
        <v>20031495.928431001</v>
      </c>
      <c r="V295" s="2" t="s">
        <v>5102</v>
      </c>
      <c r="W295" s="2">
        <v>411</v>
      </c>
      <c r="X295" s="3">
        <v>486.53068999999999</v>
      </c>
      <c r="Y295" s="3">
        <f t="shared" si="46"/>
        <v>199964.11358999999</v>
      </c>
      <c r="Z295" s="32" t="s">
        <v>723</v>
      </c>
      <c r="AA295" t="s">
        <v>25</v>
      </c>
    </row>
    <row r="296" spans="10:47">
      <c r="J296" s="2" t="s">
        <v>6</v>
      </c>
      <c r="K296" s="1">
        <f>SUM(K81:K295)</f>
        <v>1666315445.8518276</v>
      </c>
      <c r="S296" s="11" t="s">
        <v>5732</v>
      </c>
      <c r="T296" s="26">
        <v>-154353015.43906799</v>
      </c>
      <c r="U296" t="s">
        <v>25</v>
      </c>
      <c r="V296" s="2" t="s">
        <v>5072</v>
      </c>
      <c r="W296" s="2">
        <v>-4290</v>
      </c>
      <c r="X296" s="3">
        <v>497.57670000000002</v>
      </c>
      <c r="Y296" s="3">
        <f t="shared" si="46"/>
        <v>-2134604.0430000001</v>
      </c>
      <c r="Z296" s="32" t="s">
        <v>433</v>
      </c>
    </row>
    <row r="297" spans="10:47">
      <c r="J297" s="220"/>
      <c r="K297" s="1"/>
      <c r="S297" s="11" t="s">
        <v>5750</v>
      </c>
      <c r="T297" s="26">
        <v>16643927.89773</v>
      </c>
      <c r="U297" t="s">
        <v>25</v>
      </c>
      <c r="V297" s="2" t="s">
        <v>5109</v>
      </c>
      <c r="W297" s="2">
        <v>-644</v>
      </c>
      <c r="X297" s="3">
        <v>494.76464499999997</v>
      </c>
      <c r="Y297" s="3">
        <f t="shared" si="46"/>
        <v>-318628.43137999997</v>
      </c>
      <c r="Z297" s="32" t="s">
        <v>433</v>
      </c>
    </row>
    <row r="298" spans="10:47">
      <c r="S298" s="11" t="s">
        <v>5751</v>
      </c>
      <c r="T298" s="26">
        <v>33355467.51292</v>
      </c>
      <c r="V298" s="2" t="s">
        <v>5112</v>
      </c>
      <c r="W298" s="2">
        <v>-112</v>
      </c>
      <c r="X298" s="3">
        <v>485.78</v>
      </c>
      <c r="Y298" s="3">
        <f t="shared" si="46"/>
        <v>-54407.360000000001</v>
      </c>
      <c r="Z298" s="32" t="s">
        <v>433</v>
      </c>
      <c r="AJ298" s="11" t="s">
        <v>3603</v>
      </c>
      <c r="AK298" s="11" t="s">
        <v>180</v>
      </c>
      <c r="AL298" s="11" t="s">
        <v>267</v>
      </c>
      <c r="AM298" s="11" t="s">
        <v>4020</v>
      </c>
      <c r="AN298" s="11" t="s">
        <v>4012</v>
      </c>
      <c r="AO298" s="11" t="s">
        <v>282</v>
      </c>
      <c r="AP298" s="11" t="s">
        <v>4241</v>
      </c>
    </row>
    <row r="299" spans="10:47">
      <c r="J299" t="s">
        <v>25</v>
      </c>
      <c r="S299" s="11" t="s">
        <v>6101</v>
      </c>
      <c r="T299" s="26">
        <v>30000000</v>
      </c>
      <c r="U299" t="s">
        <v>25</v>
      </c>
      <c r="V299" s="2" t="s">
        <v>5112</v>
      </c>
      <c r="W299" s="2">
        <v>123</v>
      </c>
      <c r="X299" s="3">
        <v>485.78</v>
      </c>
      <c r="Y299" s="3">
        <f t="shared" si="46"/>
        <v>59750.939999999995</v>
      </c>
      <c r="Z299" s="32" t="s">
        <v>723</v>
      </c>
      <c r="AJ299" s="11">
        <v>1</v>
      </c>
      <c r="AK299" s="11" t="s">
        <v>3911</v>
      </c>
      <c r="AL299" s="37">
        <v>3555820</v>
      </c>
      <c r="AM299" s="11">
        <v>2</v>
      </c>
      <c r="AN299" s="11">
        <f>AM299+AN300</f>
        <v>991</v>
      </c>
      <c r="AO299" s="11">
        <f>AL299*AN299</f>
        <v>3523817620</v>
      </c>
      <c r="AP299" s="11" t="s">
        <v>4258</v>
      </c>
    </row>
    <row r="300" spans="10:47">
      <c r="S300" s="11" t="s">
        <v>6111</v>
      </c>
      <c r="T300" s="26">
        <v>6000000</v>
      </c>
      <c r="V300" s="2" t="s">
        <v>5112</v>
      </c>
      <c r="W300" s="2">
        <v>-123</v>
      </c>
      <c r="X300" s="3">
        <v>485.78</v>
      </c>
      <c r="Y300" s="3">
        <f t="shared" si="46"/>
        <v>-59750.939999999995</v>
      </c>
      <c r="Z300" s="32" t="s">
        <v>4380</v>
      </c>
      <c r="AJ300" s="11">
        <v>2</v>
      </c>
      <c r="AK300" s="11" t="s">
        <v>3986</v>
      </c>
      <c r="AL300" s="37">
        <v>1720837</v>
      </c>
      <c r="AM300" s="11">
        <v>51</v>
      </c>
      <c r="AN300" s="11">
        <f t="shared" ref="AN300:AN309" si="49">AM300+AN301</f>
        <v>989</v>
      </c>
      <c r="AO300" s="11">
        <f t="shared" ref="AO300:AO328" si="50">AL300*AN300</f>
        <v>1701907793</v>
      </c>
      <c r="AP300" s="11" t="s">
        <v>4259</v>
      </c>
      <c r="AT300" t="s">
        <v>25</v>
      </c>
    </row>
    <row r="301" spans="10:47">
      <c r="S301" s="11" t="s">
        <v>6180</v>
      </c>
      <c r="T301" s="26">
        <v>126128.77475900001</v>
      </c>
      <c r="V301" s="2" t="s">
        <v>5155</v>
      </c>
      <c r="W301" s="2">
        <v>32367</v>
      </c>
      <c r="X301" s="3">
        <v>556.12900000000002</v>
      </c>
      <c r="Y301" s="3">
        <f t="shared" si="46"/>
        <v>18000227.343000002</v>
      </c>
      <c r="Z301" s="32" t="s">
        <v>433</v>
      </c>
      <c r="AJ301" s="11">
        <v>3</v>
      </c>
      <c r="AK301" s="11" t="s">
        <v>4086</v>
      </c>
      <c r="AL301" s="37">
        <v>150000</v>
      </c>
      <c r="AM301" s="11">
        <v>3</v>
      </c>
      <c r="AN301" s="11">
        <f t="shared" si="49"/>
        <v>938</v>
      </c>
      <c r="AO301" s="11">
        <f t="shared" si="50"/>
        <v>140700000</v>
      </c>
      <c r="AP301" s="11"/>
    </row>
    <row r="302" spans="10:47">
      <c r="S302" s="11" t="s">
        <v>6711</v>
      </c>
      <c r="T302" s="26">
        <v>7000000</v>
      </c>
      <c r="V302" s="2" t="s">
        <v>5171</v>
      </c>
      <c r="W302" s="2">
        <v>1254</v>
      </c>
      <c r="X302" s="3">
        <v>558.24400000000003</v>
      </c>
      <c r="Y302" s="3">
        <f t="shared" si="46"/>
        <v>700037.97600000002</v>
      </c>
      <c r="Z302" s="32" t="s">
        <v>4380</v>
      </c>
      <c r="AJ302" s="11">
        <v>4</v>
      </c>
      <c r="AK302" s="11" t="s">
        <v>4101</v>
      </c>
      <c r="AL302" s="37">
        <v>-95000</v>
      </c>
      <c r="AM302" s="11">
        <v>8</v>
      </c>
      <c r="AN302" s="11">
        <f t="shared" si="49"/>
        <v>935</v>
      </c>
      <c r="AO302" s="11">
        <f t="shared" si="50"/>
        <v>-88825000</v>
      </c>
      <c r="AP302" s="11"/>
    </row>
    <row r="303" spans="10:47">
      <c r="J303" t="s">
        <v>25</v>
      </c>
      <c r="S303" s="11" t="s">
        <v>6784</v>
      </c>
      <c r="T303" s="26">
        <v>-450269000</v>
      </c>
      <c r="U303" t="s">
        <v>25</v>
      </c>
      <c r="V303" s="2" t="s">
        <v>5171</v>
      </c>
      <c r="W303" s="2">
        <v>-358</v>
      </c>
      <c r="X303" s="3">
        <v>558.24400000000003</v>
      </c>
      <c r="Y303" s="3">
        <f t="shared" si="46"/>
        <v>-199851.35200000001</v>
      </c>
      <c r="Z303" s="32" t="s">
        <v>723</v>
      </c>
      <c r="AB303" t="s">
        <v>25</v>
      </c>
      <c r="AJ303" s="11">
        <v>5</v>
      </c>
      <c r="AK303" s="11" t="s">
        <v>4125</v>
      </c>
      <c r="AL303" s="37">
        <v>3150000</v>
      </c>
      <c r="AM303" s="11">
        <v>16</v>
      </c>
      <c r="AN303" s="11">
        <f t="shared" si="49"/>
        <v>927</v>
      </c>
      <c r="AO303" s="11">
        <f t="shared" si="50"/>
        <v>2920050000</v>
      </c>
      <c r="AP303" s="11"/>
    </row>
    <row r="304" spans="10:47">
      <c r="J304" t="s">
        <v>25</v>
      </c>
      <c r="S304" s="11" t="s">
        <v>6792</v>
      </c>
      <c r="T304" s="26">
        <v>50000000</v>
      </c>
      <c r="V304" s="145" t="s">
        <v>5190</v>
      </c>
      <c r="W304" s="145">
        <v>63259</v>
      </c>
      <c r="X304" s="144">
        <v>632.31960000000004</v>
      </c>
      <c r="Y304" s="144">
        <f t="shared" si="46"/>
        <v>39999905.576400004</v>
      </c>
      <c r="Z304" s="205" t="s">
        <v>1049</v>
      </c>
      <c r="AJ304" s="11">
        <v>6</v>
      </c>
      <c r="AK304" s="11" t="s">
        <v>4190</v>
      </c>
      <c r="AL304" s="37">
        <v>-65000</v>
      </c>
      <c r="AM304" s="11">
        <v>1</v>
      </c>
      <c r="AN304" s="11">
        <f t="shared" si="49"/>
        <v>911</v>
      </c>
      <c r="AO304" s="11">
        <f t="shared" si="50"/>
        <v>-59215000</v>
      </c>
      <c r="AP304" s="11"/>
    </row>
    <row r="305" spans="16:42">
      <c r="S305" s="11" t="s">
        <v>6798</v>
      </c>
      <c r="T305" s="26">
        <v>50000000</v>
      </c>
      <c r="V305" s="19" t="s">
        <v>5194</v>
      </c>
      <c r="W305" s="19">
        <v>-1278</v>
      </c>
      <c r="X305" s="37">
        <v>625.98</v>
      </c>
      <c r="Y305" s="37">
        <f t="shared" si="46"/>
        <v>-800002.44000000006</v>
      </c>
      <c r="Z305" s="206" t="s">
        <v>5195</v>
      </c>
      <c r="AJ305" s="11">
        <v>7</v>
      </c>
      <c r="AK305" s="11" t="s">
        <v>4260</v>
      </c>
      <c r="AL305" s="37">
        <v>-95000</v>
      </c>
      <c r="AM305" s="11">
        <v>6</v>
      </c>
      <c r="AN305" s="11">
        <f t="shared" si="49"/>
        <v>910</v>
      </c>
      <c r="AO305" s="11">
        <f t="shared" si="50"/>
        <v>-86450000</v>
      </c>
      <c r="AP305" s="11"/>
    </row>
    <row r="306" spans="16:42">
      <c r="S306" s="11" t="s">
        <v>6799</v>
      </c>
      <c r="T306" s="26">
        <v>50000000</v>
      </c>
      <c r="U306" t="s">
        <v>25</v>
      </c>
      <c r="V306" s="19" t="s">
        <v>5199</v>
      </c>
      <c r="W306" s="19">
        <v>32049</v>
      </c>
      <c r="X306" s="37">
        <v>624.04600000000005</v>
      </c>
      <c r="Y306" s="37">
        <f t="shared" si="46"/>
        <v>20000050.254000001</v>
      </c>
      <c r="Z306" s="206" t="s">
        <v>5064</v>
      </c>
      <c r="AB306" t="s">
        <v>25</v>
      </c>
      <c r="AJ306" s="11">
        <v>8</v>
      </c>
      <c r="AK306" s="11" t="s">
        <v>4261</v>
      </c>
      <c r="AL306" s="37">
        <v>232000</v>
      </c>
      <c r="AM306" s="11">
        <v>7</v>
      </c>
      <c r="AN306" s="11">
        <f t="shared" si="49"/>
        <v>904</v>
      </c>
      <c r="AO306" s="11">
        <f t="shared" si="50"/>
        <v>209728000</v>
      </c>
      <c r="AP306" s="11"/>
    </row>
    <row r="307" spans="16:42" ht="30">
      <c r="S307" s="11" t="s">
        <v>6800</v>
      </c>
      <c r="T307" s="26">
        <v>50000000</v>
      </c>
      <c r="V307" s="19" t="s">
        <v>5206</v>
      </c>
      <c r="W307" s="19">
        <v>45094</v>
      </c>
      <c r="X307" s="37">
        <v>614.13559759999998</v>
      </c>
      <c r="Y307" s="37">
        <f t="shared" si="46"/>
        <v>27693830.6381744</v>
      </c>
      <c r="Z307" s="206" t="s">
        <v>5208</v>
      </c>
      <c r="AA307" t="s">
        <v>25</v>
      </c>
      <c r="AJ307" s="11">
        <v>9</v>
      </c>
      <c r="AK307" s="11" t="s">
        <v>4240</v>
      </c>
      <c r="AL307" s="37">
        <v>13000000</v>
      </c>
      <c r="AM307" s="11">
        <v>2</v>
      </c>
      <c r="AN307" s="11">
        <f t="shared" si="49"/>
        <v>897</v>
      </c>
      <c r="AO307" s="11">
        <f t="shared" si="50"/>
        <v>11661000000</v>
      </c>
      <c r="AP307" s="11"/>
    </row>
    <row r="308" spans="16:42">
      <c r="S308" s="11" t="s">
        <v>6801</v>
      </c>
      <c r="T308" s="26">
        <v>100000000</v>
      </c>
      <c r="U308" t="s">
        <v>25</v>
      </c>
      <c r="V308" s="19" t="s">
        <v>5233</v>
      </c>
      <c r="W308" s="19">
        <v>-11804</v>
      </c>
      <c r="X308" s="37">
        <v>762.46640000000002</v>
      </c>
      <c r="Y308" s="37">
        <f t="shared" si="46"/>
        <v>-9000153.3856000006</v>
      </c>
      <c r="Z308" s="206" t="s">
        <v>5235</v>
      </c>
      <c r="AJ308" s="11">
        <v>10</v>
      </c>
      <c r="AK308" s="11" t="s">
        <v>4262</v>
      </c>
      <c r="AL308" s="37">
        <v>10000000</v>
      </c>
      <c r="AM308" s="11">
        <v>3</v>
      </c>
      <c r="AN308" s="11">
        <f t="shared" si="49"/>
        <v>895</v>
      </c>
      <c r="AO308" s="11">
        <f t="shared" si="50"/>
        <v>8950000000</v>
      </c>
      <c r="AP308" s="11"/>
    </row>
    <row r="309" spans="16:42">
      <c r="S309" s="11" t="s">
        <v>6803</v>
      </c>
      <c r="T309" s="26">
        <v>50000000</v>
      </c>
      <c r="U309" t="s">
        <v>25</v>
      </c>
      <c r="V309" s="19" t="s">
        <v>5276</v>
      </c>
      <c r="W309" s="19">
        <v>844</v>
      </c>
      <c r="X309" s="37">
        <v>830</v>
      </c>
      <c r="Y309" s="37">
        <f t="shared" si="46"/>
        <v>700520</v>
      </c>
      <c r="Z309" s="206" t="s">
        <v>4380</v>
      </c>
      <c r="AA309" t="s">
        <v>25</v>
      </c>
      <c r="AJ309" s="11">
        <v>11</v>
      </c>
      <c r="AK309" s="11" t="s">
        <v>4251</v>
      </c>
      <c r="AL309" s="37">
        <v>3400000</v>
      </c>
      <c r="AM309" s="11">
        <v>9</v>
      </c>
      <c r="AN309" s="11">
        <f t="shared" si="49"/>
        <v>892</v>
      </c>
      <c r="AO309" s="11">
        <f t="shared" si="50"/>
        <v>3032800000</v>
      </c>
      <c r="AP309" s="11"/>
    </row>
    <row r="310" spans="16:42">
      <c r="S310" s="11" t="s">
        <v>6805</v>
      </c>
      <c r="T310" s="26">
        <v>11300000</v>
      </c>
      <c r="V310" s="19" t="s">
        <v>5280</v>
      </c>
      <c r="W310" s="19">
        <v>8662</v>
      </c>
      <c r="X310" s="37">
        <v>832.57011999999997</v>
      </c>
      <c r="Y310" s="37">
        <f t="shared" si="46"/>
        <v>7211722.3794399993</v>
      </c>
      <c r="Z310" s="206" t="s">
        <v>5059</v>
      </c>
      <c r="AB310" t="s">
        <v>25</v>
      </c>
      <c r="AJ310" s="11">
        <v>12</v>
      </c>
      <c r="AK310" s="11" t="s">
        <v>4288</v>
      </c>
      <c r="AL310" s="37">
        <v>-8736514</v>
      </c>
      <c r="AM310" s="11">
        <v>1</v>
      </c>
      <c r="AN310" s="11">
        <f>AM310+AN311</f>
        <v>883</v>
      </c>
      <c r="AO310" s="11">
        <f t="shared" si="50"/>
        <v>-7714341862</v>
      </c>
      <c r="AP310" s="11"/>
    </row>
    <row r="311" spans="16:42" ht="30">
      <c r="S311" s="11" t="s">
        <v>6805</v>
      </c>
      <c r="T311" s="26">
        <v>65111600</v>
      </c>
      <c r="V311" s="19" t="s">
        <v>5281</v>
      </c>
      <c r="W311" s="19">
        <v>10253</v>
      </c>
      <c r="X311" s="37">
        <v>827.2568</v>
      </c>
      <c r="Y311" s="37">
        <f t="shared" si="46"/>
        <v>8481863.9704</v>
      </c>
      <c r="Z311" s="206" t="s">
        <v>5284</v>
      </c>
      <c r="AC311" t="s">
        <v>25</v>
      </c>
      <c r="AJ311" s="11">
        <v>13</v>
      </c>
      <c r="AK311" s="11" t="s">
        <v>4289</v>
      </c>
      <c r="AL311" s="37">
        <v>555000</v>
      </c>
      <c r="AM311" s="11">
        <v>5</v>
      </c>
      <c r="AN311" s="11">
        <f t="shared" ref="AN311:AN327" si="51">AM311+AN312</f>
        <v>882</v>
      </c>
      <c r="AO311" s="11">
        <f t="shared" si="50"/>
        <v>489510000</v>
      </c>
      <c r="AP311" s="11"/>
    </row>
    <row r="312" spans="16:42">
      <c r="S312" s="11" t="s">
        <v>6809</v>
      </c>
      <c r="T312" s="26">
        <v>25000000</v>
      </c>
      <c r="V312" s="181" t="s">
        <v>5285</v>
      </c>
      <c r="W312" s="181">
        <v>-33077</v>
      </c>
      <c r="X312" s="182">
        <v>786.02973999999995</v>
      </c>
      <c r="Y312" s="182">
        <f t="shared" si="46"/>
        <v>-25999505.70998</v>
      </c>
      <c r="Z312" s="214" t="s">
        <v>5287</v>
      </c>
      <c r="AJ312" s="11">
        <v>14</v>
      </c>
      <c r="AK312" s="11" t="s">
        <v>4313</v>
      </c>
      <c r="AL312" s="37">
        <v>-448308</v>
      </c>
      <c r="AM312" s="11">
        <v>6</v>
      </c>
      <c r="AN312" s="11">
        <f t="shared" si="51"/>
        <v>877</v>
      </c>
      <c r="AO312" s="11">
        <f t="shared" si="50"/>
        <v>-393166116</v>
      </c>
      <c r="AP312" s="11"/>
    </row>
    <row r="313" spans="16:42">
      <c r="S313" s="11" t="s">
        <v>6843</v>
      </c>
      <c r="T313" s="26">
        <v>-35640108.705879003</v>
      </c>
      <c r="V313" s="19" t="s">
        <v>5285</v>
      </c>
      <c r="W313" s="19">
        <v>-33077</v>
      </c>
      <c r="X313" s="37">
        <v>786.02973999999995</v>
      </c>
      <c r="Y313" s="37">
        <f t="shared" si="46"/>
        <v>-25999505.70998</v>
      </c>
      <c r="Z313" s="206" t="s">
        <v>5288</v>
      </c>
      <c r="AA313" t="s">
        <v>25</v>
      </c>
      <c r="AJ313" s="11">
        <v>15</v>
      </c>
      <c r="AK313" s="11" t="s">
        <v>4340</v>
      </c>
      <c r="AL313" s="37">
        <v>33225</v>
      </c>
      <c r="AM313" s="11">
        <v>0</v>
      </c>
      <c r="AN313" s="11">
        <f t="shared" si="51"/>
        <v>871</v>
      </c>
      <c r="AO313" s="11">
        <f t="shared" si="50"/>
        <v>28938975</v>
      </c>
      <c r="AP313" s="11"/>
    </row>
    <row r="314" spans="16:42">
      <c r="S314" s="11"/>
      <c r="T314" s="26"/>
      <c r="V314" s="19" t="s">
        <v>5285</v>
      </c>
      <c r="W314" s="19">
        <v>1983</v>
      </c>
      <c r="X314" s="37">
        <v>786.02973999999995</v>
      </c>
      <c r="Y314" s="37">
        <f t="shared" si="46"/>
        <v>1558696.9744199999</v>
      </c>
      <c r="Z314" s="206" t="s">
        <v>5059</v>
      </c>
      <c r="AJ314" s="109">
        <v>16</v>
      </c>
      <c r="AK314" s="109" t="s">
        <v>4340</v>
      </c>
      <c r="AL314" s="144">
        <v>4098523</v>
      </c>
      <c r="AM314" s="109">
        <v>2</v>
      </c>
      <c r="AN314" s="109">
        <f t="shared" si="51"/>
        <v>871</v>
      </c>
      <c r="AO314" s="109">
        <f t="shared" si="50"/>
        <v>3569813533</v>
      </c>
      <c r="AP314" s="109" t="s">
        <v>629</v>
      </c>
    </row>
    <row r="315" spans="16:42">
      <c r="S315" s="11"/>
      <c r="T315" s="26"/>
      <c r="V315" s="181" t="s">
        <v>5289</v>
      </c>
      <c r="W315" s="181">
        <v>-119753</v>
      </c>
      <c r="X315" s="182">
        <v>800.81560000000002</v>
      </c>
      <c r="Y315" s="182">
        <f t="shared" si="46"/>
        <v>-95900070.546800002</v>
      </c>
      <c r="Z315" s="214" t="s">
        <v>5287</v>
      </c>
      <c r="AJ315" s="109">
        <v>17</v>
      </c>
      <c r="AK315" s="109" t="s">
        <v>4350</v>
      </c>
      <c r="AL315" s="144">
        <v>-1000000</v>
      </c>
      <c r="AM315" s="109">
        <v>7</v>
      </c>
      <c r="AN315" s="109">
        <f t="shared" si="51"/>
        <v>869</v>
      </c>
      <c r="AO315" s="109">
        <f t="shared" si="50"/>
        <v>-869000000</v>
      </c>
      <c r="AP315" s="109" t="s">
        <v>629</v>
      </c>
    </row>
    <row r="316" spans="16:42">
      <c r="P316" t="s">
        <v>25</v>
      </c>
      <c r="S316" s="11" t="s">
        <v>25</v>
      </c>
      <c r="T316" s="26"/>
      <c r="V316" s="19" t="s">
        <v>5289</v>
      </c>
      <c r="W316" s="19">
        <v>-119753</v>
      </c>
      <c r="X316" s="37">
        <v>800.81560000000002</v>
      </c>
      <c r="Y316" s="37">
        <f t="shared" si="46"/>
        <v>-95900070.546800002</v>
      </c>
      <c r="Z316" s="206" t="s">
        <v>5288</v>
      </c>
      <c r="AJ316" s="109">
        <v>18</v>
      </c>
      <c r="AK316" s="109" t="s">
        <v>4370</v>
      </c>
      <c r="AL316" s="144">
        <v>750000</v>
      </c>
      <c r="AM316" s="109">
        <v>1</v>
      </c>
      <c r="AN316" s="109">
        <f t="shared" si="51"/>
        <v>862</v>
      </c>
      <c r="AO316" s="109">
        <f t="shared" si="50"/>
        <v>646500000</v>
      </c>
      <c r="AP316" s="109" t="s">
        <v>629</v>
      </c>
    </row>
    <row r="317" spans="16:42">
      <c r="S317" s="11"/>
      <c r="T317" s="26">
        <f>SUM(T244:T316)</f>
        <v>124345113.72729298</v>
      </c>
      <c r="V317" s="19" t="s">
        <v>5289</v>
      </c>
      <c r="W317" s="19">
        <v>11291</v>
      </c>
      <c r="X317" s="37">
        <v>800.81560000000002</v>
      </c>
      <c r="Y317" s="37">
        <f t="shared" si="46"/>
        <v>9042008.9396000002</v>
      </c>
      <c r="Z317" s="206" t="s">
        <v>433</v>
      </c>
      <c r="AC317" t="s">
        <v>25</v>
      </c>
      <c r="AJ317" s="148">
        <v>19</v>
      </c>
      <c r="AK317" s="148" t="s">
        <v>4371</v>
      </c>
      <c r="AL317" s="149">
        <v>-604152</v>
      </c>
      <c r="AM317" s="148">
        <v>0</v>
      </c>
      <c r="AN317" s="148">
        <f t="shared" si="51"/>
        <v>861</v>
      </c>
      <c r="AO317" s="148">
        <f t="shared" si="50"/>
        <v>-520174872</v>
      </c>
      <c r="AP317" s="148" t="s">
        <v>629</v>
      </c>
    </row>
    <row r="318" spans="16:42">
      <c r="T318" s="11" t="s">
        <v>6</v>
      </c>
      <c r="V318" s="145" t="s">
        <v>5290</v>
      </c>
      <c r="W318" s="145">
        <v>-35361</v>
      </c>
      <c r="X318" s="144">
        <v>818.697</v>
      </c>
      <c r="Y318" s="144">
        <f t="shared" si="46"/>
        <v>-28949944.616999999</v>
      </c>
      <c r="Z318" s="205" t="s">
        <v>5287</v>
      </c>
      <c r="AA318" t="s">
        <v>25</v>
      </c>
      <c r="AJ318" s="11">
        <v>20</v>
      </c>
      <c r="AK318" s="11" t="s">
        <v>4372</v>
      </c>
      <c r="AL318" s="37">
        <v>-587083</v>
      </c>
      <c r="AM318" s="11">
        <v>4</v>
      </c>
      <c r="AN318" s="11">
        <f t="shared" si="51"/>
        <v>861</v>
      </c>
      <c r="AO318" s="11">
        <f t="shared" si="50"/>
        <v>-505478463</v>
      </c>
      <c r="AP318" s="11"/>
    </row>
    <row r="319" spans="16:42">
      <c r="T319" t="s">
        <v>25</v>
      </c>
      <c r="U319" s="7"/>
      <c r="V319" s="19" t="s">
        <v>5290</v>
      </c>
      <c r="W319" s="19">
        <v>-35361</v>
      </c>
      <c r="X319" s="37">
        <v>818.697</v>
      </c>
      <c r="Y319" s="37">
        <f t="shared" si="46"/>
        <v>-28949944.616999999</v>
      </c>
      <c r="Z319" s="206" t="s">
        <v>5288</v>
      </c>
      <c r="AA319" t="s">
        <v>25</v>
      </c>
      <c r="AB319" t="s">
        <v>25</v>
      </c>
      <c r="AJ319" s="148">
        <v>21</v>
      </c>
      <c r="AK319" s="148" t="s">
        <v>4373</v>
      </c>
      <c r="AL319" s="149">
        <v>-754351</v>
      </c>
      <c r="AM319" s="148">
        <v>0</v>
      </c>
      <c r="AN319" s="109">
        <f t="shared" si="51"/>
        <v>857</v>
      </c>
      <c r="AO319" s="148">
        <f t="shared" si="50"/>
        <v>-646478807</v>
      </c>
      <c r="AP319" s="148" t="s">
        <v>629</v>
      </c>
    </row>
    <row r="320" spans="16:42">
      <c r="S320" s="11" t="s">
        <v>433</v>
      </c>
      <c r="V320" s="19" t="s">
        <v>5290</v>
      </c>
      <c r="W320" s="19">
        <v>116</v>
      </c>
      <c r="X320" s="37">
        <v>818.697</v>
      </c>
      <c r="Y320" s="37">
        <f t="shared" si="46"/>
        <v>94968.851999999999</v>
      </c>
      <c r="Z320" s="206" t="s">
        <v>5059</v>
      </c>
      <c r="AJ320" s="11">
        <v>22</v>
      </c>
      <c r="AK320" s="11" t="s">
        <v>4373</v>
      </c>
      <c r="AL320" s="37">
        <v>-189619</v>
      </c>
      <c r="AM320" s="11">
        <v>15</v>
      </c>
      <c r="AN320" s="11">
        <f t="shared" si="51"/>
        <v>857</v>
      </c>
      <c r="AO320" s="11">
        <f t="shared" si="50"/>
        <v>-162503483</v>
      </c>
      <c r="AP320" s="11"/>
    </row>
    <row r="321" spans="16:46">
      <c r="S321" s="11" t="s">
        <v>4373</v>
      </c>
      <c r="T321" s="11"/>
      <c r="V321" s="19" t="s">
        <v>5294</v>
      </c>
      <c r="W321" s="19">
        <v>48633</v>
      </c>
      <c r="X321" s="37">
        <v>822.47199999999998</v>
      </c>
      <c r="Y321" s="37">
        <f t="shared" si="46"/>
        <v>39999280.776000001</v>
      </c>
      <c r="Z321" s="206" t="s">
        <v>5297</v>
      </c>
      <c r="AC321" t="s">
        <v>25</v>
      </c>
      <c r="AJ321" s="148">
        <v>23</v>
      </c>
      <c r="AK321" s="148" t="s">
        <v>4431</v>
      </c>
      <c r="AL321" s="144">
        <v>7100</v>
      </c>
      <c r="AM321" s="148">
        <v>0</v>
      </c>
      <c r="AN321" s="109">
        <f t="shared" si="51"/>
        <v>842</v>
      </c>
      <c r="AO321" s="148">
        <f t="shared" si="50"/>
        <v>5978200</v>
      </c>
      <c r="AP321" s="148" t="s">
        <v>629</v>
      </c>
    </row>
    <row r="322" spans="16:46">
      <c r="S322" s="11" t="s">
        <v>4415</v>
      </c>
      <c r="T322" s="26">
        <v>63115000</v>
      </c>
      <c r="V322" s="19" t="s">
        <v>5294</v>
      </c>
      <c r="W322" s="19">
        <v>3412</v>
      </c>
      <c r="X322" s="37">
        <v>822.47199999999998</v>
      </c>
      <c r="Y322" s="37">
        <f t="shared" si="46"/>
        <v>2806274.4640000002</v>
      </c>
      <c r="Z322" s="206" t="s">
        <v>5299</v>
      </c>
      <c r="AJ322" s="20">
        <v>24</v>
      </c>
      <c r="AK322" s="20" t="s">
        <v>4431</v>
      </c>
      <c r="AL322" s="37">
        <v>-147902</v>
      </c>
      <c r="AM322" s="20">
        <v>3</v>
      </c>
      <c r="AN322" s="11">
        <f t="shared" si="51"/>
        <v>842</v>
      </c>
      <c r="AO322" s="20">
        <f t="shared" si="50"/>
        <v>-124533484</v>
      </c>
      <c r="AP322" s="20"/>
    </row>
    <row r="323" spans="16:46">
      <c r="S323" s="11" t="s">
        <v>4423</v>
      </c>
      <c r="T323" s="26">
        <v>13300000</v>
      </c>
      <c r="V323" s="19" t="s">
        <v>5295</v>
      </c>
      <c r="W323" s="19">
        <v>1531</v>
      </c>
      <c r="X323" s="37">
        <v>869.82500000000005</v>
      </c>
      <c r="Y323" s="37">
        <f t="shared" si="46"/>
        <v>1331702.075</v>
      </c>
      <c r="Z323" s="206" t="s">
        <v>5300</v>
      </c>
      <c r="AJ323" s="109">
        <v>25</v>
      </c>
      <c r="AK323" s="109" t="s">
        <v>4439</v>
      </c>
      <c r="AL323" s="144">
        <v>-37200</v>
      </c>
      <c r="AM323" s="109">
        <v>4</v>
      </c>
      <c r="AN323" s="109">
        <f t="shared" si="51"/>
        <v>839</v>
      </c>
      <c r="AO323" s="148">
        <f t="shared" si="50"/>
        <v>-31210800</v>
      </c>
      <c r="AP323" s="109" t="s">
        <v>629</v>
      </c>
    </row>
    <row r="324" spans="16:46">
      <c r="P324" t="s">
        <v>25</v>
      </c>
      <c r="S324" s="11" t="s">
        <v>4516</v>
      </c>
      <c r="T324" s="26">
        <v>2269000</v>
      </c>
      <c r="V324" s="19" t="s">
        <v>5303</v>
      </c>
      <c r="W324" s="19">
        <v>1019</v>
      </c>
      <c r="X324" s="37">
        <v>835.36580000000004</v>
      </c>
      <c r="Y324" s="37">
        <f t="shared" si="46"/>
        <v>851237.75020000001</v>
      </c>
      <c r="Z324" s="206" t="s">
        <v>433</v>
      </c>
      <c r="AJ324" s="11">
        <v>26</v>
      </c>
      <c r="AK324" s="11" t="s">
        <v>4463</v>
      </c>
      <c r="AL324" s="37">
        <v>-372326</v>
      </c>
      <c r="AM324" s="11">
        <v>21</v>
      </c>
      <c r="AN324" s="11">
        <f t="shared" si="51"/>
        <v>835</v>
      </c>
      <c r="AO324" s="20">
        <f t="shared" si="50"/>
        <v>-310892210</v>
      </c>
      <c r="AP324" s="11"/>
    </row>
    <row r="325" spans="16:46">
      <c r="S325" s="11" t="s">
        <v>4525</v>
      </c>
      <c r="T325" s="26">
        <v>25071612</v>
      </c>
      <c r="V325" s="145" t="s">
        <v>5307</v>
      </c>
      <c r="W325" s="145">
        <v>2316</v>
      </c>
      <c r="X325" s="144">
        <v>818.697</v>
      </c>
      <c r="Y325" s="144">
        <f t="shared" si="46"/>
        <v>1896102.2520000001</v>
      </c>
      <c r="Z325" s="205" t="s">
        <v>5310</v>
      </c>
      <c r="AJ325" s="11">
        <v>27</v>
      </c>
      <c r="AK325" s="11" t="s">
        <v>4508</v>
      </c>
      <c r="AL325" s="37">
        <v>235062</v>
      </c>
      <c r="AM325" s="11">
        <v>0</v>
      </c>
      <c r="AN325" s="11">
        <f t="shared" si="51"/>
        <v>814</v>
      </c>
      <c r="AO325" s="20">
        <f t="shared" si="50"/>
        <v>191340468</v>
      </c>
      <c r="AP325" s="11"/>
    </row>
    <row r="326" spans="16:46">
      <c r="S326" s="11" t="s">
        <v>4526</v>
      </c>
      <c r="T326" s="26">
        <v>42236984</v>
      </c>
      <c r="V326" s="19" t="s">
        <v>5313</v>
      </c>
      <c r="W326" s="19">
        <v>315</v>
      </c>
      <c r="X326" s="37">
        <v>680</v>
      </c>
      <c r="Y326" s="37">
        <f t="shared" si="46"/>
        <v>214200</v>
      </c>
      <c r="Z326" s="206" t="s">
        <v>5059</v>
      </c>
      <c r="AJ326" s="109">
        <v>28</v>
      </c>
      <c r="AK326" s="109" t="s">
        <v>4508</v>
      </c>
      <c r="AL326" s="144">
        <v>235062</v>
      </c>
      <c r="AM326" s="109">
        <v>9</v>
      </c>
      <c r="AN326" s="11">
        <f t="shared" si="51"/>
        <v>814</v>
      </c>
      <c r="AO326" s="109">
        <f t="shared" si="50"/>
        <v>191340468</v>
      </c>
      <c r="AP326" s="109" t="s">
        <v>629</v>
      </c>
    </row>
    <row r="327" spans="16:46">
      <c r="S327" s="11" t="s">
        <v>4547</v>
      </c>
      <c r="T327" s="26">
        <v>19663646</v>
      </c>
      <c r="V327" s="19" t="s">
        <v>5335</v>
      </c>
      <c r="W327" s="19">
        <v>832</v>
      </c>
      <c r="X327" s="37">
        <v>784.36500000000001</v>
      </c>
      <c r="Y327" s="37">
        <f t="shared" si="46"/>
        <v>652591.68000000005</v>
      </c>
      <c r="Z327" s="206" t="s">
        <v>5059</v>
      </c>
      <c r="AA327" t="s">
        <v>25</v>
      </c>
      <c r="AJ327" s="109">
        <v>29</v>
      </c>
      <c r="AK327" s="109" t="s">
        <v>4526</v>
      </c>
      <c r="AL327" s="144">
        <v>450000</v>
      </c>
      <c r="AM327" s="109">
        <v>0</v>
      </c>
      <c r="AN327" s="11">
        <f t="shared" si="51"/>
        <v>805</v>
      </c>
      <c r="AO327" s="109">
        <f t="shared" si="50"/>
        <v>362250000</v>
      </c>
      <c r="AP327" s="109" t="s">
        <v>629</v>
      </c>
    </row>
    <row r="328" spans="16:46">
      <c r="S328" s="11" t="s">
        <v>4558</v>
      </c>
      <c r="T328" s="26">
        <v>4374525</v>
      </c>
      <c r="V328" s="19" t="s">
        <v>5376</v>
      </c>
      <c r="W328" s="19">
        <v>382</v>
      </c>
      <c r="X328" s="37">
        <v>1450.6065000000001</v>
      </c>
      <c r="Y328" s="37">
        <f t="shared" si="46"/>
        <v>554131.68300000008</v>
      </c>
      <c r="Z328" s="206" t="s">
        <v>5059</v>
      </c>
      <c r="AA328" t="s">
        <v>25</v>
      </c>
      <c r="AJ328" s="20">
        <v>30</v>
      </c>
      <c r="AK328" s="20" t="s">
        <v>4526</v>
      </c>
      <c r="AL328" s="37">
        <v>450000</v>
      </c>
      <c r="AM328" s="20">
        <v>22</v>
      </c>
      <c r="AN328" s="11">
        <f>AM328+AN329</f>
        <v>805</v>
      </c>
      <c r="AO328" s="20">
        <f t="shared" si="50"/>
        <v>362250000</v>
      </c>
      <c r="AP328" s="20"/>
    </row>
    <row r="329" spans="16:46">
      <c r="S329" s="11" t="s">
        <v>4560</v>
      </c>
      <c r="T329" s="26">
        <v>6550580</v>
      </c>
      <c r="V329" s="19" t="s">
        <v>5377</v>
      </c>
      <c r="W329" s="19">
        <v>50047</v>
      </c>
      <c r="X329" s="37">
        <v>1406.14</v>
      </c>
      <c r="Y329" s="37">
        <f t="shared" si="46"/>
        <v>70373088.579999998</v>
      </c>
      <c r="Z329" s="206" t="s">
        <v>5059</v>
      </c>
      <c r="AB329" t="s">
        <v>25</v>
      </c>
      <c r="AJ329" s="109">
        <v>31</v>
      </c>
      <c r="AK329" s="109" t="s">
        <v>4585</v>
      </c>
      <c r="AL329" s="144">
        <v>300000</v>
      </c>
      <c r="AM329" s="109">
        <v>0</v>
      </c>
      <c r="AN329" s="109">
        <f t="shared" ref="AN329:AN344" si="52">AM329+AN330</f>
        <v>783</v>
      </c>
      <c r="AO329" s="109">
        <f t="shared" ref="AO329:AO338" si="53">AL329*AN329</f>
        <v>234900000</v>
      </c>
      <c r="AP329" s="109"/>
    </row>
    <row r="330" spans="16:46" ht="30">
      <c r="S330" s="11" t="s">
        <v>4573</v>
      </c>
      <c r="T330" s="26">
        <v>7054895</v>
      </c>
      <c r="V330" s="19" t="s">
        <v>5378</v>
      </c>
      <c r="W330" s="19">
        <v>846</v>
      </c>
      <c r="X330" s="37">
        <v>1441.6724569999999</v>
      </c>
      <c r="Y330" s="37">
        <f t="shared" si="46"/>
        <v>1219654.8986219999</v>
      </c>
      <c r="Z330" s="206" t="s">
        <v>5059</v>
      </c>
      <c r="AA330" t="s">
        <v>25</v>
      </c>
      <c r="AB330" t="s">
        <v>25</v>
      </c>
      <c r="AJ330" s="65">
        <v>32</v>
      </c>
      <c r="AK330" s="65" t="s">
        <v>4585</v>
      </c>
      <c r="AL330" s="66">
        <v>288936</v>
      </c>
      <c r="AM330" s="65">
        <v>3</v>
      </c>
      <c r="AN330" s="65">
        <f t="shared" si="52"/>
        <v>783</v>
      </c>
      <c r="AO330" s="65">
        <f t="shared" si="53"/>
        <v>226236888</v>
      </c>
      <c r="AP330" s="157" t="s">
        <v>4596</v>
      </c>
    </row>
    <row r="331" spans="16:46">
      <c r="S331" s="11" t="s">
        <v>4583</v>
      </c>
      <c r="T331" s="26">
        <v>2145814</v>
      </c>
      <c r="V331" s="19" t="s">
        <v>5379</v>
      </c>
      <c r="W331" s="19">
        <v>10573</v>
      </c>
      <c r="X331" s="37">
        <v>1451.825</v>
      </c>
      <c r="Y331" s="37">
        <f t="shared" si="46"/>
        <v>15350145.725</v>
      </c>
      <c r="Z331" s="206" t="s">
        <v>5059</v>
      </c>
      <c r="AA331" t="s">
        <v>25</v>
      </c>
      <c r="AJ331" s="65">
        <v>33</v>
      </c>
      <c r="AK331" s="65" t="s">
        <v>4594</v>
      </c>
      <c r="AL331" s="66">
        <v>17962491</v>
      </c>
      <c r="AM331" s="65">
        <v>1</v>
      </c>
      <c r="AN331" s="65">
        <f t="shared" si="52"/>
        <v>780</v>
      </c>
      <c r="AO331" s="65">
        <f t="shared" si="53"/>
        <v>14010742980</v>
      </c>
      <c r="AP331" s="65" t="s">
        <v>4600</v>
      </c>
    </row>
    <row r="332" spans="16:46" ht="30">
      <c r="P332" t="s">
        <v>25</v>
      </c>
      <c r="S332" s="11" t="s">
        <v>4585</v>
      </c>
      <c r="T332" s="26">
        <v>4369730</v>
      </c>
      <c r="V332" s="19" t="s">
        <v>5380</v>
      </c>
      <c r="W332" s="19">
        <v>85</v>
      </c>
      <c r="X332" s="37">
        <v>1423.74</v>
      </c>
      <c r="Y332" s="37">
        <f t="shared" si="46"/>
        <v>121017.9</v>
      </c>
      <c r="Z332" s="206" t="s">
        <v>5381</v>
      </c>
      <c r="AA332" t="s">
        <v>25</v>
      </c>
      <c r="AJ332" s="65">
        <v>34</v>
      </c>
      <c r="AK332" s="65" t="s">
        <v>3646</v>
      </c>
      <c r="AL332" s="66">
        <v>18363511</v>
      </c>
      <c r="AM332" s="65">
        <v>1</v>
      </c>
      <c r="AN332" s="65">
        <f t="shared" si="52"/>
        <v>779</v>
      </c>
      <c r="AO332" s="65">
        <f t="shared" si="53"/>
        <v>14305175069</v>
      </c>
      <c r="AP332" s="65" t="s">
        <v>4600</v>
      </c>
      <c r="AT332" t="s">
        <v>25</v>
      </c>
    </row>
    <row r="333" spans="16:46" ht="30">
      <c r="Q333" t="s">
        <v>25</v>
      </c>
      <c r="S333" s="11" t="s">
        <v>4594</v>
      </c>
      <c r="T333" s="26">
        <v>8739459</v>
      </c>
      <c r="V333" s="19" t="s">
        <v>5384</v>
      </c>
      <c r="W333" s="19">
        <v>738</v>
      </c>
      <c r="X333" s="37">
        <v>1388.87895</v>
      </c>
      <c r="Y333" s="37">
        <f t="shared" si="46"/>
        <v>1024992.6651</v>
      </c>
      <c r="Z333" s="206" t="s">
        <v>5388</v>
      </c>
      <c r="AA333" t="s">
        <v>25</v>
      </c>
      <c r="AJ333" s="65">
        <v>35</v>
      </c>
      <c r="AK333" s="65" t="s">
        <v>4605</v>
      </c>
      <c r="AL333" s="66">
        <v>23622417</v>
      </c>
      <c r="AM333" s="65">
        <v>5</v>
      </c>
      <c r="AN333" s="65">
        <f t="shared" si="52"/>
        <v>778</v>
      </c>
      <c r="AO333" s="65">
        <f t="shared" si="53"/>
        <v>18378240426</v>
      </c>
      <c r="AP333" s="65" t="s">
        <v>4607</v>
      </c>
    </row>
    <row r="334" spans="16:46">
      <c r="S334" s="11" t="s">
        <v>3646</v>
      </c>
      <c r="T334" s="26">
        <v>6667654</v>
      </c>
      <c r="V334" s="19" t="s">
        <v>5389</v>
      </c>
      <c r="W334" s="19">
        <v>1442</v>
      </c>
      <c r="X334" s="37">
        <v>1350.9547279999999</v>
      </c>
      <c r="Y334" s="37">
        <f t="shared" si="46"/>
        <v>1948076.7177759998</v>
      </c>
      <c r="Z334" s="206" t="s">
        <v>5059</v>
      </c>
      <c r="AC334" t="s">
        <v>25</v>
      </c>
      <c r="AJ334" s="65">
        <v>36</v>
      </c>
      <c r="AK334" s="65" t="s">
        <v>4618</v>
      </c>
      <c r="AL334" s="66">
        <v>82496108</v>
      </c>
      <c r="AM334" s="65">
        <v>1</v>
      </c>
      <c r="AN334" s="65">
        <f t="shared" si="52"/>
        <v>773</v>
      </c>
      <c r="AO334" s="65">
        <f t="shared" si="53"/>
        <v>63769491484</v>
      </c>
      <c r="AP334" s="65" t="s">
        <v>4621</v>
      </c>
    </row>
    <row r="335" spans="16:46">
      <c r="S335" s="11" t="s">
        <v>4605</v>
      </c>
      <c r="T335" s="26">
        <v>8981245</v>
      </c>
      <c r="V335" s="19" t="s">
        <v>5390</v>
      </c>
      <c r="W335" s="19">
        <v>36847</v>
      </c>
      <c r="X335" s="37">
        <v>1356.9658300000001</v>
      </c>
      <c r="Y335" s="37">
        <f t="shared" si="46"/>
        <v>50000119.938010007</v>
      </c>
      <c r="Z335" s="206" t="s">
        <v>5064</v>
      </c>
      <c r="AJ335" s="65">
        <v>37</v>
      </c>
      <c r="AK335" s="65" t="s">
        <v>4620</v>
      </c>
      <c r="AL335" s="66">
        <v>74657561</v>
      </c>
      <c r="AM335" s="65">
        <v>16</v>
      </c>
      <c r="AN335" s="65">
        <f t="shared" si="52"/>
        <v>772</v>
      </c>
      <c r="AO335" s="65">
        <f t="shared" si="53"/>
        <v>57635637092</v>
      </c>
      <c r="AP335" s="65" t="s">
        <v>4626</v>
      </c>
    </row>
    <row r="336" spans="16:46" ht="30">
      <c r="S336" s="11" t="s">
        <v>4608</v>
      </c>
      <c r="T336" s="26">
        <v>9181756</v>
      </c>
      <c r="V336" s="19" t="s">
        <v>5391</v>
      </c>
      <c r="W336" s="19">
        <v>13738</v>
      </c>
      <c r="X336" s="37">
        <v>1455.82</v>
      </c>
      <c r="Y336" s="37">
        <f t="shared" si="46"/>
        <v>20000055.16</v>
      </c>
      <c r="Z336" s="206" t="s">
        <v>5405</v>
      </c>
      <c r="AA336" t="s">
        <v>25</v>
      </c>
      <c r="AC336" t="s">
        <v>25</v>
      </c>
      <c r="AJ336" s="11">
        <v>38</v>
      </c>
      <c r="AK336" s="11" t="s">
        <v>4688</v>
      </c>
      <c r="AL336" s="37">
        <v>665000</v>
      </c>
      <c r="AM336" s="11">
        <v>0</v>
      </c>
      <c r="AN336" s="11">
        <f t="shared" si="52"/>
        <v>756</v>
      </c>
      <c r="AO336" s="20">
        <f t="shared" si="53"/>
        <v>502740000</v>
      </c>
      <c r="AP336" s="11"/>
      <c r="AT336" t="s">
        <v>25</v>
      </c>
    </row>
    <row r="337" spans="16:48">
      <c r="S337" s="11" t="s">
        <v>4620</v>
      </c>
      <c r="T337" s="26">
        <v>11811208</v>
      </c>
      <c r="V337" s="19" t="s">
        <v>5412</v>
      </c>
      <c r="W337" s="19">
        <v>3100</v>
      </c>
      <c r="X337" s="37">
        <v>1853.4507470000001</v>
      </c>
      <c r="Y337" s="37">
        <f t="shared" si="46"/>
        <v>5745697.3157000002</v>
      </c>
      <c r="Z337" s="206" t="s">
        <v>5059</v>
      </c>
      <c r="AA337" t="s">
        <v>25</v>
      </c>
      <c r="AJ337" s="109">
        <v>39</v>
      </c>
      <c r="AK337" s="109" t="s">
        <v>4688</v>
      </c>
      <c r="AL337" s="144">
        <v>665000</v>
      </c>
      <c r="AM337" s="109">
        <v>4</v>
      </c>
      <c r="AN337" s="148">
        <f t="shared" si="52"/>
        <v>756</v>
      </c>
      <c r="AO337" s="148">
        <f t="shared" si="53"/>
        <v>502740000</v>
      </c>
      <c r="AP337" s="148"/>
      <c r="AU337" t="s">
        <v>25</v>
      </c>
    </row>
    <row r="338" spans="16:48">
      <c r="S338" s="11" t="s">
        <v>4627</v>
      </c>
      <c r="T338" s="26">
        <v>41248054</v>
      </c>
      <c r="V338" s="19" t="s">
        <v>5413</v>
      </c>
      <c r="W338" s="19">
        <v>480</v>
      </c>
      <c r="X338" s="37">
        <v>1891.9962069999999</v>
      </c>
      <c r="Y338" s="37">
        <f t="shared" si="46"/>
        <v>908158.17935999995</v>
      </c>
      <c r="Z338" s="206" t="s">
        <v>5059</v>
      </c>
      <c r="AA338" t="s">
        <v>25</v>
      </c>
      <c r="AJ338" s="20">
        <v>40</v>
      </c>
      <c r="AK338" s="20" t="s">
        <v>4697</v>
      </c>
      <c r="AL338" s="37">
        <v>2000000</v>
      </c>
      <c r="AM338" s="20">
        <v>1</v>
      </c>
      <c r="AN338" s="11">
        <f t="shared" si="52"/>
        <v>752</v>
      </c>
      <c r="AO338" s="20">
        <f t="shared" si="53"/>
        <v>1504000000</v>
      </c>
      <c r="AP338" s="11"/>
      <c r="AT338" t="s">
        <v>25</v>
      </c>
      <c r="AV338" t="s">
        <v>25</v>
      </c>
    </row>
    <row r="339" spans="16:48">
      <c r="P339" t="s">
        <v>25</v>
      </c>
      <c r="S339" s="11" t="s">
        <v>4633</v>
      </c>
      <c r="T339" s="26">
        <v>37328780</v>
      </c>
      <c r="V339" s="19" t="s">
        <v>5414</v>
      </c>
      <c r="W339" s="19">
        <v>6522</v>
      </c>
      <c r="X339" s="37">
        <v>1938.4694340000001</v>
      </c>
      <c r="Y339" s="37">
        <f t="shared" si="46"/>
        <v>12642697.648548001</v>
      </c>
      <c r="Z339" s="206" t="s">
        <v>5059</v>
      </c>
      <c r="AJ339" s="20">
        <v>41</v>
      </c>
      <c r="AK339" s="20" t="s">
        <v>4702</v>
      </c>
      <c r="AL339" s="37">
        <v>-2060725</v>
      </c>
      <c r="AM339" s="20">
        <v>0</v>
      </c>
      <c r="AN339" s="11">
        <f t="shared" si="52"/>
        <v>751</v>
      </c>
      <c r="AO339" s="20">
        <f t="shared" ref="AO339:AO344" si="54">AL339*AN339</f>
        <v>-1547604475</v>
      </c>
      <c r="AP339" s="11" t="s">
        <v>4703</v>
      </c>
      <c r="AU339" t="s">
        <v>25</v>
      </c>
    </row>
    <row r="340" spans="16:48">
      <c r="S340" s="11" t="s">
        <v>4688</v>
      </c>
      <c r="T340" s="26">
        <v>50000000</v>
      </c>
      <c r="V340" s="19" t="s">
        <v>5415</v>
      </c>
      <c r="W340" s="19">
        <v>6197</v>
      </c>
      <c r="X340" s="37">
        <v>1984.3985499999999</v>
      </c>
      <c r="Y340" s="37">
        <f t="shared" si="46"/>
        <v>12297317.81435</v>
      </c>
      <c r="Z340" s="206" t="s">
        <v>5059</v>
      </c>
      <c r="AC340" t="s">
        <v>25</v>
      </c>
      <c r="AJ340" s="109">
        <v>42</v>
      </c>
      <c r="AK340" s="109" t="s">
        <v>4702</v>
      </c>
      <c r="AL340" s="144">
        <v>-433375</v>
      </c>
      <c r="AM340" s="109">
        <v>0</v>
      </c>
      <c r="AN340" s="109">
        <f t="shared" si="52"/>
        <v>751</v>
      </c>
      <c r="AO340" s="109">
        <f t="shared" si="54"/>
        <v>-325464625</v>
      </c>
      <c r="AP340" s="109" t="s">
        <v>4704</v>
      </c>
    </row>
    <row r="341" spans="16:48">
      <c r="S341" s="11" t="s">
        <v>4697</v>
      </c>
      <c r="T341" s="26">
        <v>68656</v>
      </c>
      <c r="V341" s="19" t="s">
        <v>5416</v>
      </c>
      <c r="W341" s="19">
        <v>4646</v>
      </c>
      <c r="X341" s="37">
        <v>1928.464023</v>
      </c>
      <c r="Y341" s="37">
        <f t="shared" si="46"/>
        <v>8959643.8508579992</v>
      </c>
      <c r="Z341" s="206" t="s">
        <v>5059</v>
      </c>
      <c r="AB341" t="s">
        <v>25</v>
      </c>
      <c r="AC341" t="s">
        <v>25</v>
      </c>
      <c r="AJ341" s="20">
        <v>43</v>
      </c>
      <c r="AK341" s="20" t="s">
        <v>4702</v>
      </c>
      <c r="AL341" s="37">
        <v>28000000</v>
      </c>
      <c r="AM341" s="20">
        <v>1</v>
      </c>
      <c r="AN341" s="11">
        <f t="shared" si="52"/>
        <v>751</v>
      </c>
      <c r="AO341" s="20">
        <f t="shared" si="54"/>
        <v>21028000000</v>
      </c>
      <c r="AP341" s="11" t="s">
        <v>3853</v>
      </c>
    </row>
    <row r="342" spans="16:48">
      <c r="S342" s="11" t="s">
        <v>4697</v>
      </c>
      <c r="T342" s="26">
        <v>4000236</v>
      </c>
      <c r="V342" s="19" t="s">
        <v>5417</v>
      </c>
      <c r="W342" s="19">
        <v>7668</v>
      </c>
      <c r="X342" s="37">
        <v>1976.2774959999999</v>
      </c>
      <c r="Y342" s="37">
        <f t="shared" si="46"/>
        <v>15154095.839328</v>
      </c>
      <c r="Z342" s="206" t="s">
        <v>5059</v>
      </c>
      <c r="AJ342" s="20">
        <v>44</v>
      </c>
      <c r="AK342" s="20" t="s">
        <v>4711</v>
      </c>
      <c r="AL342" s="37">
        <v>160000</v>
      </c>
      <c r="AM342" s="20">
        <v>0</v>
      </c>
      <c r="AN342" s="11">
        <f t="shared" si="52"/>
        <v>750</v>
      </c>
      <c r="AO342" s="20">
        <f t="shared" si="54"/>
        <v>120000000</v>
      </c>
      <c r="AP342" s="11"/>
    </row>
    <row r="343" spans="16:48" ht="30">
      <c r="Q343" t="s">
        <v>25</v>
      </c>
      <c r="S343" s="11" t="s">
        <v>4702</v>
      </c>
      <c r="T343" s="26">
        <v>2250000</v>
      </c>
      <c r="V343" s="19" t="s">
        <v>5424</v>
      </c>
      <c r="W343" s="19">
        <v>-43325</v>
      </c>
      <c r="X343" s="37">
        <v>2146.5548840000001</v>
      </c>
      <c r="Y343" s="37">
        <f t="shared" si="46"/>
        <v>-92999490.349300012</v>
      </c>
      <c r="Z343" s="206" t="s">
        <v>5425</v>
      </c>
      <c r="AA343" t="s">
        <v>25</v>
      </c>
      <c r="AJ343" s="109">
        <v>45</v>
      </c>
      <c r="AK343" s="109" t="s">
        <v>4711</v>
      </c>
      <c r="AL343" s="144">
        <v>70000</v>
      </c>
      <c r="AM343" s="109">
        <v>9</v>
      </c>
      <c r="AN343" s="109">
        <f t="shared" si="52"/>
        <v>750</v>
      </c>
      <c r="AO343" s="109">
        <f t="shared" si="54"/>
        <v>52500000</v>
      </c>
      <c r="AP343" s="109"/>
    </row>
    <row r="344" spans="16:48">
      <c r="Q344" t="s">
        <v>25</v>
      </c>
      <c r="S344" s="11" t="s">
        <v>4711</v>
      </c>
      <c r="T344" s="26">
        <v>-2512200</v>
      </c>
      <c r="V344" s="19" t="s">
        <v>5432</v>
      </c>
      <c r="W344" s="19">
        <v>20888</v>
      </c>
      <c r="X344" s="37">
        <v>2428.4521530000002</v>
      </c>
      <c r="Y344" s="37">
        <f t="shared" si="46"/>
        <v>50725508.571864001</v>
      </c>
      <c r="Z344" s="206" t="s">
        <v>5059</v>
      </c>
      <c r="AJ344" s="20">
        <v>46</v>
      </c>
      <c r="AK344" s="20" t="s">
        <v>4717</v>
      </c>
      <c r="AL344" s="37">
        <v>850000</v>
      </c>
      <c r="AM344" s="20">
        <v>0</v>
      </c>
      <c r="AN344" s="11">
        <f t="shared" si="52"/>
        <v>741</v>
      </c>
      <c r="AO344" s="20">
        <f t="shared" si="54"/>
        <v>629850000</v>
      </c>
      <c r="AP344" s="11"/>
    </row>
    <row r="345" spans="16:48">
      <c r="S345" s="11" t="s">
        <v>944</v>
      </c>
      <c r="T345" s="26">
        <v>300000</v>
      </c>
      <c r="V345" s="19" t="s">
        <v>5433</v>
      </c>
      <c r="W345" s="19">
        <v>21663</v>
      </c>
      <c r="X345" s="37">
        <v>2308.0067819999999</v>
      </c>
      <c r="Y345" s="37">
        <f t="shared" si="46"/>
        <v>49998350.918466002</v>
      </c>
      <c r="Z345" s="206" t="s">
        <v>5436</v>
      </c>
      <c r="AA345" t="s">
        <v>25</v>
      </c>
      <c r="AJ345" s="148">
        <v>47</v>
      </c>
      <c r="AK345" s="148" t="s">
        <v>4717</v>
      </c>
      <c r="AL345" s="149">
        <v>20000</v>
      </c>
      <c r="AM345" s="148">
        <v>4</v>
      </c>
      <c r="AN345" s="148">
        <f t="shared" ref="AN345:AN353" si="55">AM345+AN346</f>
        <v>741</v>
      </c>
      <c r="AO345" s="148">
        <f t="shared" ref="AO345:AO353" si="56">AL345*AN345</f>
        <v>14820000</v>
      </c>
      <c r="AP345" s="148"/>
    </row>
    <row r="346" spans="16:48">
      <c r="S346" s="11" t="s">
        <v>4717</v>
      </c>
      <c r="T346" s="26">
        <v>1100000</v>
      </c>
      <c r="U346" s="7"/>
      <c r="V346" s="19" t="s">
        <v>5433</v>
      </c>
      <c r="W346" s="19">
        <v>977</v>
      </c>
      <c r="X346" s="37">
        <v>2335.6821479999999</v>
      </c>
      <c r="Y346" s="37">
        <f t="shared" si="46"/>
        <v>2281961.458596</v>
      </c>
      <c r="Z346" s="206" t="s">
        <v>5059</v>
      </c>
      <c r="AJ346" s="148">
        <v>48</v>
      </c>
      <c r="AK346" s="148" t="s">
        <v>4730</v>
      </c>
      <c r="AL346" s="149">
        <v>30000000</v>
      </c>
      <c r="AM346" s="148">
        <v>27</v>
      </c>
      <c r="AN346" s="148">
        <f t="shared" si="55"/>
        <v>737</v>
      </c>
      <c r="AO346" s="148">
        <f t="shared" si="56"/>
        <v>22110000000</v>
      </c>
      <c r="AP346" s="148" t="s">
        <v>4731</v>
      </c>
    </row>
    <row r="347" spans="16:48">
      <c r="S347" s="11" t="s">
        <v>4737</v>
      </c>
      <c r="T347" s="26">
        <v>890000</v>
      </c>
      <c r="V347" s="19" t="s">
        <v>5440</v>
      </c>
      <c r="W347" s="19">
        <v>4155</v>
      </c>
      <c r="X347" s="37">
        <v>2647</v>
      </c>
      <c r="Y347" s="37">
        <f t="shared" si="46"/>
        <v>10998285</v>
      </c>
      <c r="Z347" s="206" t="s">
        <v>5059</v>
      </c>
      <c r="AJ347" s="20">
        <v>49</v>
      </c>
      <c r="AK347" s="20" t="s">
        <v>4797</v>
      </c>
      <c r="AL347" s="37">
        <v>1100000</v>
      </c>
      <c r="AM347" s="20">
        <v>1</v>
      </c>
      <c r="AN347" s="20">
        <f t="shared" si="55"/>
        <v>710</v>
      </c>
      <c r="AO347" s="20">
        <f t="shared" si="56"/>
        <v>781000000</v>
      </c>
      <c r="AP347" s="20"/>
    </row>
    <row r="348" spans="16:48">
      <c r="S348" s="11" t="s">
        <v>4738</v>
      </c>
      <c r="T348" s="26">
        <v>1000000</v>
      </c>
      <c r="V348" s="19" t="s">
        <v>5441</v>
      </c>
      <c r="W348" s="19">
        <v>351</v>
      </c>
      <c r="X348" s="37">
        <v>2800.6238229999999</v>
      </c>
      <c r="Y348" s="37">
        <f t="shared" si="46"/>
        <v>983018.96187300002</v>
      </c>
      <c r="Z348" s="206" t="s">
        <v>5059</v>
      </c>
      <c r="AA348" t="s">
        <v>25</v>
      </c>
      <c r="AJ348" s="20">
        <v>50</v>
      </c>
      <c r="AK348" s="20" t="s">
        <v>4798</v>
      </c>
      <c r="AL348" s="37">
        <v>450000</v>
      </c>
      <c r="AM348" s="20">
        <v>0</v>
      </c>
      <c r="AN348" s="20">
        <f t="shared" si="55"/>
        <v>709</v>
      </c>
      <c r="AO348" s="20">
        <f t="shared" si="56"/>
        <v>319050000</v>
      </c>
      <c r="AP348" s="20"/>
    </row>
    <row r="349" spans="16:48">
      <c r="S349" s="11" t="s">
        <v>4738</v>
      </c>
      <c r="T349" s="26">
        <v>45436311</v>
      </c>
      <c r="V349" s="19" t="s">
        <v>5443</v>
      </c>
      <c r="W349" s="19">
        <v>5877</v>
      </c>
      <c r="X349" s="37">
        <v>2901.0160000000001</v>
      </c>
      <c r="Y349" s="37">
        <f t="shared" si="46"/>
        <v>17049271.032000002</v>
      </c>
      <c r="Z349" s="206" t="s">
        <v>5059</v>
      </c>
      <c r="AA349" t="s">
        <v>25</v>
      </c>
      <c r="AJ349" s="109">
        <v>51</v>
      </c>
      <c r="AK349" s="109" t="s">
        <v>4798</v>
      </c>
      <c r="AL349" s="144">
        <v>550000</v>
      </c>
      <c r="AM349" s="109">
        <v>1</v>
      </c>
      <c r="AN349" s="109">
        <f t="shared" si="55"/>
        <v>709</v>
      </c>
      <c r="AO349" s="109">
        <f t="shared" si="56"/>
        <v>389950000</v>
      </c>
      <c r="AP349" s="109"/>
    </row>
    <row r="350" spans="16:48">
      <c r="S350" s="11" t="s">
        <v>4750</v>
      </c>
      <c r="T350" s="26">
        <v>-3500000</v>
      </c>
      <c r="V350" s="19" t="s">
        <v>5446</v>
      </c>
      <c r="W350" s="19">
        <v>2374</v>
      </c>
      <c r="X350" s="37">
        <v>2877</v>
      </c>
      <c r="Y350" s="37">
        <f t="shared" ref="Y350:Y387" si="57">W350*X350</f>
        <v>6829998</v>
      </c>
      <c r="Z350" s="206" t="s">
        <v>5059</v>
      </c>
      <c r="AJ350" s="109">
        <v>52</v>
      </c>
      <c r="AK350" s="109" t="s">
        <v>4800</v>
      </c>
      <c r="AL350" s="144">
        <v>1000000</v>
      </c>
      <c r="AM350" s="109">
        <v>8</v>
      </c>
      <c r="AN350" s="109">
        <f t="shared" si="55"/>
        <v>708</v>
      </c>
      <c r="AO350" s="109">
        <f t="shared" si="56"/>
        <v>708000000</v>
      </c>
      <c r="AP350" s="109"/>
    </row>
    <row r="351" spans="16:48">
      <c r="S351" s="11" t="s">
        <v>4785</v>
      </c>
      <c r="T351" s="26">
        <v>2520000</v>
      </c>
      <c r="V351" s="19" t="s">
        <v>4185</v>
      </c>
      <c r="W351" s="19">
        <v>2532</v>
      </c>
      <c r="X351" s="37">
        <v>2757.7444</v>
      </c>
      <c r="Y351" s="37">
        <f t="shared" si="57"/>
        <v>6982608.8207999999</v>
      </c>
      <c r="Z351" s="206" t="s">
        <v>5059</v>
      </c>
      <c r="AJ351" s="20">
        <v>53</v>
      </c>
      <c r="AK351" s="20" t="s">
        <v>4809</v>
      </c>
      <c r="AL351" s="37">
        <v>-2668880</v>
      </c>
      <c r="AM351" s="20">
        <v>0</v>
      </c>
      <c r="AN351" s="20">
        <f t="shared" si="55"/>
        <v>700</v>
      </c>
      <c r="AO351" s="20">
        <f t="shared" si="56"/>
        <v>-1868216000</v>
      </c>
      <c r="AP351" s="20" t="s">
        <v>4811</v>
      </c>
    </row>
    <row r="352" spans="16:48">
      <c r="S352" s="11" t="s">
        <v>4797</v>
      </c>
      <c r="T352" s="26">
        <v>4900000</v>
      </c>
      <c r="V352" s="19" t="s">
        <v>4185</v>
      </c>
      <c r="W352" s="19">
        <v>4987</v>
      </c>
      <c r="X352" s="37">
        <v>2757.7444</v>
      </c>
      <c r="Y352" s="37">
        <f t="shared" si="57"/>
        <v>13752871.322800001</v>
      </c>
      <c r="Z352" s="206" t="s">
        <v>5458</v>
      </c>
      <c r="AA352" t="s">
        <v>25</v>
      </c>
      <c r="AJ352" s="109">
        <v>54</v>
      </c>
      <c r="AK352" s="109" t="s">
        <v>4809</v>
      </c>
      <c r="AL352" s="144">
        <v>-1528620</v>
      </c>
      <c r="AM352" s="109">
        <v>0</v>
      </c>
      <c r="AN352" s="109">
        <f t="shared" si="55"/>
        <v>700</v>
      </c>
      <c r="AO352" s="109">
        <f t="shared" si="56"/>
        <v>-1070034000</v>
      </c>
      <c r="AP352" s="109" t="s">
        <v>4811</v>
      </c>
    </row>
    <row r="353" spans="19:47">
      <c r="S353" s="11" t="s">
        <v>4757</v>
      </c>
      <c r="T353" s="26">
        <v>1150000</v>
      </c>
      <c r="V353" s="19" t="s">
        <v>4185</v>
      </c>
      <c r="W353" s="19">
        <v>997</v>
      </c>
      <c r="X353" s="37">
        <v>2757.7444</v>
      </c>
      <c r="Y353" s="37">
        <f t="shared" si="57"/>
        <v>2749471.1668000002</v>
      </c>
      <c r="Z353" s="206" t="s">
        <v>5459</v>
      </c>
      <c r="AJ353" s="20">
        <v>55</v>
      </c>
      <c r="AK353" s="20" t="s">
        <v>4809</v>
      </c>
      <c r="AL353" s="37">
        <v>50000000</v>
      </c>
      <c r="AM353" s="20">
        <v>4</v>
      </c>
      <c r="AN353" s="20">
        <f t="shared" si="55"/>
        <v>700</v>
      </c>
      <c r="AO353" s="20">
        <f t="shared" si="56"/>
        <v>35000000000</v>
      </c>
      <c r="AP353" s="20"/>
    </row>
    <row r="354" spans="19:47">
      <c r="S354" s="11" t="s">
        <v>4831</v>
      </c>
      <c r="T354" s="26">
        <v>250000</v>
      </c>
      <c r="V354" s="19" t="s">
        <v>5463</v>
      </c>
      <c r="W354" s="19">
        <v>2874</v>
      </c>
      <c r="X354" s="37">
        <v>2613.1284000000001</v>
      </c>
      <c r="Y354" s="37">
        <f t="shared" si="57"/>
        <v>7510131.0216000006</v>
      </c>
      <c r="Z354" s="206" t="s">
        <v>5059</v>
      </c>
      <c r="AJ354" s="20">
        <v>56</v>
      </c>
      <c r="AK354" s="20" t="s">
        <v>4815</v>
      </c>
      <c r="AL354" s="37">
        <v>400000</v>
      </c>
      <c r="AM354" s="20">
        <v>4</v>
      </c>
      <c r="AN354" s="20">
        <f t="shared" ref="AN354:AN363" si="58">AM354+AN355</f>
        <v>696</v>
      </c>
      <c r="AO354" s="20">
        <f t="shared" ref="AO354:AO363" si="59">AL354*AN354</f>
        <v>278400000</v>
      </c>
      <c r="AP354" s="20"/>
    </row>
    <row r="355" spans="19:47">
      <c r="S355" s="11" t="s">
        <v>4834</v>
      </c>
      <c r="T355" s="26">
        <v>1403460</v>
      </c>
      <c r="U355" t="s">
        <v>25</v>
      </c>
      <c r="V355" s="19" t="s">
        <v>5469</v>
      </c>
      <c r="W355" s="19">
        <v>2847</v>
      </c>
      <c r="X355" s="37">
        <v>2556.3841000000002</v>
      </c>
      <c r="Y355" s="37">
        <f t="shared" si="57"/>
        <v>7278025.5327000003</v>
      </c>
      <c r="Z355" s="206" t="s">
        <v>5059</v>
      </c>
      <c r="AJ355" s="20">
        <v>57</v>
      </c>
      <c r="AK355" s="20" t="s">
        <v>4824</v>
      </c>
      <c r="AL355" s="37">
        <v>2000000</v>
      </c>
      <c r="AM355" s="20">
        <v>3</v>
      </c>
      <c r="AN355" s="20">
        <f t="shared" si="58"/>
        <v>692</v>
      </c>
      <c r="AO355" s="20">
        <f t="shared" si="59"/>
        <v>1384000000</v>
      </c>
      <c r="AP355" s="20"/>
    </row>
    <row r="356" spans="19:47">
      <c r="S356" s="11" t="s">
        <v>4839</v>
      </c>
      <c r="T356" s="26">
        <v>200000</v>
      </c>
      <c r="V356" s="19" t="s">
        <v>5469</v>
      </c>
      <c r="W356" s="19">
        <v>1222</v>
      </c>
      <c r="X356" s="37">
        <v>2556.3841000000002</v>
      </c>
      <c r="Y356" s="37">
        <f t="shared" si="57"/>
        <v>3123901.3702000002</v>
      </c>
      <c r="Z356" s="206" t="s">
        <v>5470</v>
      </c>
      <c r="AJ356" s="20">
        <v>58</v>
      </c>
      <c r="AK356" s="20" t="s">
        <v>4827</v>
      </c>
      <c r="AL356" s="37">
        <v>100000</v>
      </c>
      <c r="AM356" s="20">
        <v>4</v>
      </c>
      <c r="AN356" s="20">
        <f t="shared" si="58"/>
        <v>689</v>
      </c>
      <c r="AO356" s="20">
        <f t="shared" si="59"/>
        <v>68900000</v>
      </c>
      <c r="AP356" s="20" t="s">
        <v>3853</v>
      </c>
    </row>
    <row r="357" spans="19:47">
      <c r="S357" s="11" t="s">
        <v>4844</v>
      </c>
      <c r="T357" s="26">
        <v>345000</v>
      </c>
      <c r="V357" s="19" t="s">
        <v>5477</v>
      </c>
      <c r="W357" s="19">
        <v>73</v>
      </c>
      <c r="X357" s="37">
        <v>2672.0459999999998</v>
      </c>
      <c r="Y357" s="37">
        <f t="shared" si="57"/>
        <v>195059.35799999998</v>
      </c>
      <c r="Z357" s="206" t="s">
        <v>5059</v>
      </c>
      <c r="AJ357" s="20">
        <v>59</v>
      </c>
      <c r="AK357" s="20" t="s">
        <v>4834</v>
      </c>
      <c r="AL357" s="37">
        <v>100000</v>
      </c>
      <c r="AM357" s="20">
        <v>7</v>
      </c>
      <c r="AN357" s="20">
        <f t="shared" si="58"/>
        <v>685</v>
      </c>
      <c r="AO357" s="20">
        <f t="shared" si="59"/>
        <v>68500000</v>
      </c>
      <c r="AP357" s="20"/>
    </row>
    <row r="358" spans="19:47" ht="18" customHeight="1">
      <c r="S358" s="11" t="s">
        <v>4847</v>
      </c>
      <c r="T358" s="26">
        <v>900000</v>
      </c>
      <c r="V358" s="19" t="s">
        <v>5481</v>
      </c>
      <c r="W358" s="19">
        <v>332</v>
      </c>
      <c r="X358" s="37">
        <v>2598.1260000000002</v>
      </c>
      <c r="Y358" s="37">
        <f t="shared" si="57"/>
        <v>862577.83200000005</v>
      </c>
      <c r="Z358" s="206" t="s">
        <v>5482</v>
      </c>
      <c r="AA358" t="s">
        <v>25</v>
      </c>
      <c r="AB358" t="s">
        <v>25</v>
      </c>
      <c r="AJ358" s="20">
        <v>60</v>
      </c>
      <c r="AK358" s="20" t="s">
        <v>4847</v>
      </c>
      <c r="AL358" s="37">
        <v>50000</v>
      </c>
      <c r="AM358" s="20">
        <v>0</v>
      </c>
      <c r="AN358" s="20">
        <f t="shared" si="58"/>
        <v>678</v>
      </c>
      <c r="AO358" s="20">
        <f t="shared" si="59"/>
        <v>33900000</v>
      </c>
      <c r="AP358" s="20"/>
      <c r="AU358" t="s">
        <v>25</v>
      </c>
    </row>
    <row r="359" spans="19:47" ht="21" customHeight="1">
      <c r="S359" s="11" t="s">
        <v>4855</v>
      </c>
      <c r="T359" s="26">
        <v>372517</v>
      </c>
      <c r="V359" s="19" t="s">
        <v>5483</v>
      </c>
      <c r="W359" s="19">
        <v>346</v>
      </c>
      <c r="X359" s="37">
        <v>2659.8510000000001</v>
      </c>
      <c r="Y359" s="37">
        <f t="shared" si="57"/>
        <v>920308.446</v>
      </c>
      <c r="Z359" s="206" t="s">
        <v>5059</v>
      </c>
      <c r="AJ359" s="109">
        <v>61</v>
      </c>
      <c r="AK359" s="109" t="s">
        <v>4847</v>
      </c>
      <c r="AL359" s="144">
        <v>50000</v>
      </c>
      <c r="AM359" s="109">
        <v>3</v>
      </c>
      <c r="AN359" s="109">
        <f t="shared" si="58"/>
        <v>678</v>
      </c>
      <c r="AO359" s="109">
        <f t="shared" si="59"/>
        <v>33900000</v>
      </c>
      <c r="AP359" s="109"/>
    </row>
    <row r="360" spans="19:47">
      <c r="S360" s="11" t="s">
        <v>4887</v>
      </c>
      <c r="T360" s="26">
        <v>6489257</v>
      </c>
      <c r="V360" s="19" t="s">
        <v>5484</v>
      </c>
      <c r="W360" s="19">
        <v>1722</v>
      </c>
      <c r="X360" s="37">
        <v>2692.1079220000001</v>
      </c>
      <c r="Y360" s="37">
        <f t="shared" si="57"/>
        <v>4635809.8416840006</v>
      </c>
      <c r="Z360" s="206" t="s">
        <v>5059</v>
      </c>
      <c r="AA360" t="s">
        <v>25</v>
      </c>
      <c r="AJ360" s="20">
        <v>62</v>
      </c>
      <c r="AK360" s="20" t="s">
        <v>4850</v>
      </c>
      <c r="AL360" s="37">
        <v>50000</v>
      </c>
      <c r="AM360" s="20">
        <v>0</v>
      </c>
      <c r="AN360" s="20">
        <f t="shared" si="58"/>
        <v>675</v>
      </c>
      <c r="AO360" s="20">
        <f t="shared" si="59"/>
        <v>33750000</v>
      </c>
      <c r="AP360" s="20"/>
    </row>
    <row r="361" spans="19:47">
      <c r="S361" s="11" t="s">
        <v>4898</v>
      </c>
      <c r="T361" s="26">
        <v>618000</v>
      </c>
      <c r="V361" s="19" t="s">
        <v>5486</v>
      </c>
      <c r="W361" s="19">
        <v>106</v>
      </c>
      <c r="X361" s="37">
        <v>2725.4</v>
      </c>
      <c r="Y361" s="37">
        <f t="shared" si="57"/>
        <v>288892.40000000002</v>
      </c>
      <c r="Z361" s="206" t="s">
        <v>433</v>
      </c>
      <c r="AA361" t="s">
        <v>25</v>
      </c>
      <c r="AB361" t="s">
        <v>25</v>
      </c>
      <c r="AJ361" s="148">
        <v>63</v>
      </c>
      <c r="AK361" s="148" t="s">
        <v>4850</v>
      </c>
      <c r="AL361" s="149">
        <v>50000</v>
      </c>
      <c r="AM361" s="148">
        <v>2</v>
      </c>
      <c r="AN361" s="148">
        <f t="shared" si="58"/>
        <v>675</v>
      </c>
      <c r="AO361" s="148">
        <f t="shared" si="59"/>
        <v>33750000</v>
      </c>
      <c r="AP361" s="148"/>
    </row>
    <row r="362" spans="19:47" ht="18.75" customHeight="1">
      <c r="S362" s="11" t="s">
        <v>4902</v>
      </c>
      <c r="T362" s="26">
        <v>20105000</v>
      </c>
      <c r="V362" s="19" t="s">
        <v>5512</v>
      </c>
      <c r="W362" s="19">
        <v>25901</v>
      </c>
      <c r="X362" s="37">
        <v>2258.9090000000001</v>
      </c>
      <c r="Y362" s="37">
        <f t="shared" si="57"/>
        <v>58508002.009000003</v>
      </c>
      <c r="Z362" s="206" t="s">
        <v>5059</v>
      </c>
      <c r="AJ362" s="20">
        <v>64</v>
      </c>
      <c r="AK362" s="20" t="s">
        <v>4857</v>
      </c>
      <c r="AL362" s="37">
        <v>25000</v>
      </c>
      <c r="AM362" s="20">
        <v>0</v>
      </c>
      <c r="AN362" s="20">
        <f t="shared" si="58"/>
        <v>673</v>
      </c>
      <c r="AO362" s="20">
        <f t="shared" si="59"/>
        <v>16825000</v>
      </c>
      <c r="AP362" s="20"/>
    </row>
    <row r="363" spans="19:47">
      <c r="S363" s="11" t="s">
        <v>4903</v>
      </c>
      <c r="T363" s="26">
        <v>-21079990</v>
      </c>
      <c r="V363" s="19" t="s">
        <v>5514</v>
      </c>
      <c r="W363" s="19">
        <v>951</v>
      </c>
      <c r="X363" s="37">
        <v>2361.2150799999999</v>
      </c>
      <c r="Y363" s="37">
        <f t="shared" si="57"/>
        <v>2245515.5410799999</v>
      </c>
      <c r="Z363" s="206" t="s">
        <v>5059</v>
      </c>
      <c r="AJ363" s="109">
        <v>65</v>
      </c>
      <c r="AK363" s="109" t="s">
        <v>4857</v>
      </c>
      <c r="AL363" s="144">
        <v>35000</v>
      </c>
      <c r="AM363" s="109">
        <v>7</v>
      </c>
      <c r="AN363" s="109">
        <f t="shared" si="58"/>
        <v>673</v>
      </c>
      <c r="AO363" s="109">
        <f t="shared" si="59"/>
        <v>23555000</v>
      </c>
      <c r="AP363" s="109"/>
    </row>
    <row r="364" spans="19:47">
      <c r="S364" s="11" t="s">
        <v>4909</v>
      </c>
      <c r="T364" s="26">
        <v>-5949277</v>
      </c>
      <c r="V364" s="19" t="s">
        <v>5516</v>
      </c>
      <c r="W364" s="19">
        <v>7622</v>
      </c>
      <c r="X364" s="37">
        <v>2414.6810999999998</v>
      </c>
      <c r="Y364" s="37">
        <f t="shared" si="57"/>
        <v>18404699.3442</v>
      </c>
      <c r="Z364" s="206" t="s">
        <v>5059</v>
      </c>
      <c r="AJ364" s="109">
        <v>66</v>
      </c>
      <c r="AK364" s="109" t="s">
        <v>4865</v>
      </c>
      <c r="AL364" s="144">
        <v>30000000</v>
      </c>
      <c r="AM364" s="109">
        <v>0</v>
      </c>
      <c r="AN364" s="109">
        <f t="shared" ref="AN364:AN383" si="60">AM364+AN365</f>
        <v>666</v>
      </c>
      <c r="AO364" s="109">
        <f t="shared" ref="AO364:AO383" si="61">AL364*AN364</f>
        <v>19980000000</v>
      </c>
      <c r="AP364" s="109"/>
    </row>
    <row r="365" spans="19:47">
      <c r="S365" s="11" t="s">
        <v>4915</v>
      </c>
      <c r="T365" s="26">
        <v>-15370656</v>
      </c>
      <c r="V365" s="19" t="s">
        <v>5516</v>
      </c>
      <c r="W365" s="19">
        <v>-282</v>
      </c>
      <c r="X365" s="37">
        <v>2414.6810999999998</v>
      </c>
      <c r="Y365" s="37">
        <f t="shared" si="57"/>
        <v>-680940.07019999996</v>
      </c>
      <c r="Z365" s="206" t="s">
        <v>5517</v>
      </c>
      <c r="AJ365" s="20">
        <v>67</v>
      </c>
      <c r="AK365" s="20" t="s">
        <v>4865</v>
      </c>
      <c r="AL365" s="37">
        <v>6800000</v>
      </c>
      <c r="AM365" s="20">
        <v>1</v>
      </c>
      <c r="AN365" s="20">
        <f t="shared" si="60"/>
        <v>666</v>
      </c>
      <c r="AO365" s="20">
        <f t="shared" si="61"/>
        <v>4528800000</v>
      </c>
      <c r="AP365" s="20"/>
    </row>
    <row r="366" spans="19:47">
      <c r="S366" s="11" t="s">
        <v>4915</v>
      </c>
      <c r="T366" s="26">
        <v>4960000</v>
      </c>
      <c r="V366" s="19" t="s">
        <v>5516</v>
      </c>
      <c r="W366" s="19">
        <v>20162</v>
      </c>
      <c r="X366" s="37">
        <v>2414.6810999999998</v>
      </c>
      <c r="Y366" s="37">
        <f t="shared" si="57"/>
        <v>48684800.338199995</v>
      </c>
      <c r="Z366" s="206" t="s">
        <v>5518</v>
      </c>
      <c r="AJ366" s="20">
        <v>68</v>
      </c>
      <c r="AK366" s="20" t="s">
        <v>4868</v>
      </c>
      <c r="AL366" s="37">
        <v>500000</v>
      </c>
      <c r="AM366" s="20">
        <v>1</v>
      </c>
      <c r="AN366" s="20">
        <f t="shared" si="60"/>
        <v>665</v>
      </c>
      <c r="AO366" s="20">
        <f t="shared" si="61"/>
        <v>332500000</v>
      </c>
      <c r="AP366" s="20"/>
    </row>
    <row r="367" spans="19:47">
      <c r="S367" s="11" t="s">
        <v>4922</v>
      </c>
      <c r="T367" s="26">
        <v>10000000</v>
      </c>
      <c r="V367" s="19" t="s">
        <v>5516</v>
      </c>
      <c r="W367" s="19">
        <v>-20162</v>
      </c>
      <c r="X367" s="37">
        <v>2414.6810999999998</v>
      </c>
      <c r="Y367" s="37">
        <f t="shared" si="57"/>
        <v>-48684800.338199995</v>
      </c>
      <c r="Z367" s="206" t="s">
        <v>723</v>
      </c>
      <c r="AJ367" s="20">
        <v>69</v>
      </c>
      <c r="AK367" s="20" t="s">
        <v>4872</v>
      </c>
      <c r="AL367" s="37">
        <v>850000</v>
      </c>
      <c r="AM367" s="20">
        <v>5</v>
      </c>
      <c r="AN367" s="20">
        <f t="shared" si="60"/>
        <v>664</v>
      </c>
      <c r="AO367" s="20">
        <f t="shared" si="61"/>
        <v>564400000</v>
      </c>
      <c r="AP367" s="20"/>
    </row>
    <row r="368" spans="19:47">
      <c r="S368" s="11" t="s">
        <v>4931</v>
      </c>
      <c r="T368" s="26">
        <v>-40570100</v>
      </c>
      <c r="V368" s="19" t="s">
        <v>5519</v>
      </c>
      <c r="W368" s="19">
        <v>977</v>
      </c>
      <c r="X368" s="37">
        <v>2317.971947</v>
      </c>
      <c r="Y368" s="37">
        <f t="shared" si="57"/>
        <v>2264658.5922190002</v>
      </c>
      <c r="Z368" s="206" t="s">
        <v>5059</v>
      </c>
      <c r="AD368" t="s">
        <v>25</v>
      </c>
      <c r="AJ368" s="20">
        <v>70</v>
      </c>
      <c r="AK368" s="20" t="s">
        <v>4879</v>
      </c>
      <c r="AL368" s="37">
        <v>1130250</v>
      </c>
      <c r="AM368" s="20">
        <v>0</v>
      </c>
      <c r="AN368" s="20">
        <f t="shared" si="60"/>
        <v>659</v>
      </c>
      <c r="AO368" s="20">
        <f t="shared" si="61"/>
        <v>744834750</v>
      </c>
      <c r="AP368" s="20"/>
    </row>
    <row r="369" spans="19:47">
      <c r="S369" s="11" t="s">
        <v>4932</v>
      </c>
      <c r="T369" s="26">
        <v>1000000</v>
      </c>
      <c r="V369" s="19" t="s">
        <v>5521</v>
      </c>
      <c r="W369" s="19">
        <v>10280</v>
      </c>
      <c r="X369" s="37">
        <v>2225.429357</v>
      </c>
      <c r="Y369" s="37">
        <f t="shared" si="57"/>
        <v>22877413.789960001</v>
      </c>
      <c r="Z369" s="206" t="s">
        <v>5059</v>
      </c>
      <c r="AJ369" s="188">
        <v>71</v>
      </c>
      <c r="AK369" s="188" t="s">
        <v>4879</v>
      </c>
      <c r="AL369" s="182">
        <v>30000</v>
      </c>
      <c r="AM369" s="188">
        <v>5</v>
      </c>
      <c r="AN369" s="188">
        <f t="shared" si="60"/>
        <v>659</v>
      </c>
      <c r="AO369" s="188">
        <f t="shared" si="61"/>
        <v>19770000</v>
      </c>
      <c r="AP369" s="188"/>
    </row>
    <row r="370" spans="19:47">
      <c r="S370" s="11" t="s">
        <v>4939</v>
      </c>
      <c r="T370" s="26">
        <v>400000</v>
      </c>
      <c r="V370" s="19" t="s">
        <v>5524</v>
      </c>
      <c r="W370" s="19">
        <v>1022</v>
      </c>
      <c r="X370" s="37">
        <v>2311.6824240000001</v>
      </c>
      <c r="Y370" s="37">
        <f t="shared" si="57"/>
        <v>2362539.4373280001</v>
      </c>
      <c r="Z370" s="206" t="s">
        <v>5059</v>
      </c>
      <c r="AJ370" s="20">
        <v>72</v>
      </c>
      <c r="AK370" s="20" t="s">
        <v>4887</v>
      </c>
      <c r="AL370" s="37">
        <v>206000</v>
      </c>
      <c r="AM370" s="20">
        <v>0</v>
      </c>
      <c r="AN370" s="20">
        <f t="shared" si="60"/>
        <v>654</v>
      </c>
      <c r="AO370" s="20">
        <f t="shared" si="61"/>
        <v>134724000</v>
      </c>
      <c r="AP370" s="20"/>
    </row>
    <row r="371" spans="19:47">
      <c r="S371" s="11" t="s">
        <v>4953</v>
      </c>
      <c r="T371" s="26">
        <v>120000</v>
      </c>
      <c r="U371" t="s">
        <v>25</v>
      </c>
      <c r="V371" s="19" t="s">
        <v>5525</v>
      </c>
      <c r="W371" s="19">
        <v>6818</v>
      </c>
      <c r="X371" s="37">
        <v>2352.988656</v>
      </c>
      <c r="Y371" s="37">
        <f t="shared" si="57"/>
        <v>16042676.656608</v>
      </c>
      <c r="Z371" s="206" t="s">
        <v>5059</v>
      </c>
      <c r="AJ371" s="109">
        <v>73</v>
      </c>
      <c r="AK371" s="109" t="s">
        <v>4887</v>
      </c>
      <c r="AL371" s="144">
        <v>206000</v>
      </c>
      <c r="AM371" s="109">
        <v>2</v>
      </c>
      <c r="AN371" s="109">
        <f t="shared" si="60"/>
        <v>654</v>
      </c>
      <c r="AO371" s="109">
        <f t="shared" si="61"/>
        <v>134724000</v>
      </c>
      <c r="AP371" s="109"/>
    </row>
    <row r="372" spans="19:47">
      <c r="S372" s="11" t="s">
        <v>4944</v>
      </c>
      <c r="T372" s="26">
        <v>500000</v>
      </c>
      <c r="V372" s="19" t="s">
        <v>5526</v>
      </c>
      <c r="W372" s="19">
        <v>8023</v>
      </c>
      <c r="X372" s="37">
        <v>2293.8167079999998</v>
      </c>
      <c r="Y372" s="37">
        <f t="shared" si="57"/>
        <v>18403291.448284</v>
      </c>
      <c r="Z372" s="206" t="s">
        <v>5059</v>
      </c>
      <c r="AJ372" s="20">
        <v>74</v>
      </c>
      <c r="AK372" s="20" t="s">
        <v>4894</v>
      </c>
      <c r="AL372" s="37">
        <v>50000</v>
      </c>
      <c r="AM372" s="20">
        <v>0</v>
      </c>
      <c r="AN372" s="20">
        <f t="shared" si="60"/>
        <v>652</v>
      </c>
      <c r="AO372" s="20">
        <f t="shared" si="61"/>
        <v>32600000</v>
      </c>
      <c r="AP372" s="20"/>
      <c r="AT372" t="s">
        <v>25</v>
      </c>
    </row>
    <row r="373" spans="19:47">
      <c r="S373" s="11" t="s">
        <v>4969</v>
      </c>
      <c r="T373" s="26">
        <v>744000</v>
      </c>
      <c r="V373" s="19" t="s">
        <v>5529</v>
      </c>
      <c r="W373" s="19">
        <v>4666</v>
      </c>
      <c r="X373" s="37">
        <v>2263.4906230000001</v>
      </c>
      <c r="Y373" s="37">
        <f t="shared" si="57"/>
        <v>10561447.246918</v>
      </c>
      <c r="Z373" s="206" t="s">
        <v>5059</v>
      </c>
      <c r="AJ373" s="188">
        <v>75</v>
      </c>
      <c r="AK373" s="188" t="s">
        <v>4894</v>
      </c>
      <c r="AL373" s="182">
        <v>50000</v>
      </c>
      <c r="AM373" s="188">
        <v>2</v>
      </c>
      <c r="AN373" s="188">
        <f t="shared" si="60"/>
        <v>652</v>
      </c>
      <c r="AO373" s="188">
        <f t="shared" si="61"/>
        <v>32600000</v>
      </c>
      <c r="AP373" s="188"/>
    </row>
    <row r="374" spans="19:47">
      <c r="S374" s="11" t="s">
        <v>4974</v>
      </c>
      <c r="T374" s="26">
        <v>65000</v>
      </c>
      <c r="V374" s="19" t="s">
        <v>5530</v>
      </c>
      <c r="W374" s="19">
        <v>542</v>
      </c>
      <c r="X374" s="37">
        <v>2263.4906230000001</v>
      </c>
      <c r="Y374" s="37">
        <f t="shared" si="57"/>
        <v>1226811.9176660001</v>
      </c>
      <c r="Z374" s="206" t="s">
        <v>5059</v>
      </c>
      <c r="AJ374" s="20">
        <v>76</v>
      </c>
      <c r="AK374" s="20" t="s">
        <v>4898</v>
      </c>
      <c r="AL374" s="37">
        <v>20000000</v>
      </c>
      <c r="AM374" s="20">
        <v>7</v>
      </c>
      <c r="AN374" s="20">
        <f t="shared" si="60"/>
        <v>650</v>
      </c>
      <c r="AO374" s="20">
        <f t="shared" si="61"/>
        <v>13000000000</v>
      </c>
      <c r="AP374" s="20" t="s">
        <v>4899</v>
      </c>
      <c r="AU374" t="s">
        <v>25</v>
      </c>
    </row>
    <row r="375" spans="19:47">
      <c r="S375" s="11" t="s">
        <v>4945</v>
      </c>
      <c r="T375" s="26">
        <v>-14053702</v>
      </c>
      <c r="V375" s="19" t="s">
        <v>5531</v>
      </c>
      <c r="W375" s="19">
        <v>16629</v>
      </c>
      <c r="X375" s="37">
        <v>2367.7887540000002</v>
      </c>
      <c r="Y375" s="37">
        <f t="shared" si="57"/>
        <v>39373959.190266006</v>
      </c>
      <c r="Z375" s="206" t="s">
        <v>5059</v>
      </c>
      <c r="AJ375" s="20">
        <v>77</v>
      </c>
      <c r="AK375" s="20" t="s">
        <v>4909</v>
      </c>
      <c r="AL375" s="37">
        <v>50000</v>
      </c>
      <c r="AM375" s="20">
        <v>0</v>
      </c>
      <c r="AN375" s="20">
        <f t="shared" si="60"/>
        <v>643</v>
      </c>
      <c r="AO375" s="20">
        <f t="shared" si="61"/>
        <v>32150000</v>
      </c>
      <c r="AP375" s="20"/>
    </row>
    <row r="376" spans="19:47">
      <c r="S376" s="11" t="s">
        <v>5010</v>
      </c>
      <c r="T376" s="26">
        <v>3555678</v>
      </c>
      <c r="V376" s="19" t="s">
        <v>5536</v>
      </c>
      <c r="W376" s="19">
        <v>11765</v>
      </c>
      <c r="X376" s="37">
        <v>2354.7375320000001</v>
      </c>
      <c r="Y376" s="37">
        <f t="shared" si="57"/>
        <v>27703487.063980002</v>
      </c>
      <c r="Z376" s="206" t="s">
        <v>5059</v>
      </c>
      <c r="AJ376" s="109">
        <v>78</v>
      </c>
      <c r="AK376" s="109" t="s">
        <v>4909</v>
      </c>
      <c r="AL376" s="144">
        <v>50000</v>
      </c>
      <c r="AM376" s="109">
        <v>7</v>
      </c>
      <c r="AN376" s="109">
        <f t="shared" si="60"/>
        <v>643</v>
      </c>
      <c r="AO376" s="109">
        <f t="shared" si="61"/>
        <v>32150000</v>
      </c>
      <c r="AP376" s="109"/>
    </row>
    <row r="377" spans="19:47">
      <c r="S377" s="11" t="s">
        <v>5014</v>
      </c>
      <c r="T377" s="26">
        <v>3495</v>
      </c>
      <c r="V377" s="19" t="s">
        <v>5537</v>
      </c>
      <c r="W377" s="19">
        <v>3672</v>
      </c>
      <c r="X377" s="37">
        <v>2379.873826</v>
      </c>
      <c r="Y377" s="37">
        <f t="shared" si="57"/>
        <v>8738896.6890719999</v>
      </c>
      <c r="Z377" s="206" t="s">
        <v>5059</v>
      </c>
      <c r="AB377" t="s">
        <v>25</v>
      </c>
      <c r="AJ377" s="20">
        <v>79</v>
      </c>
      <c r="AK377" s="20" t="s">
        <v>4915</v>
      </c>
      <c r="AL377" s="37">
        <v>2480000</v>
      </c>
      <c r="AM377" s="20">
        <v>0</v>
      </c>
      <c r="AN377" s="20">
        <f t="shared" si="60"/>
        <v>636</v>
      </c>
      <c r="AO377" s="20">
        <f t="shared" si="61"/>
        <v>1577280000</v>
      </c>
      <c r="AP377" s="20"/>
      <c r="AT377" t="s">
        <v>25</v>
      </c>
    </row>
    <row r="378" spans="19:47">
      <c r="S378" s="11" t="s">
        <v>5016</v>
      </c>
      <c r="T378" s="26">
        <v>6000000</v>
      </c>
      <c r="V378" s="19" t="s">
        <v>4158</v>
      </c>
      <c r="W378" s="19">
        <v>140</v>
      </c>
      <c r="X378" s="37">
        <v>2487.154767</v>
      </c>
      <c r="Y378" s="37">
        <f t="shared" si="57"/>
        <v>348201.66738</v>
      </c>
      <c r="Z378" s="206" t="s">
        <v>5059</v>
      </c>
      <c r="AJ378" s="109">
        <v>80</v>
      </c>
      <c r="AK378" s="109" t="s">
        <v>4915</v>
      </c>
      <c r="AL378" s="144">
        <v>2480000</v>
      </c>
      <c r="AM378" s="109">
        <v>12</v>
      </c>
      <c r="AN378" s="109">
        <f t="shared" si="60"/>
        <v>636</v>
      </c>
      <c r="AO378" s="109">
        <f t="shared" si="61"/>
        <v>1577280000</v>
      </c>
      <c r="AP378" s="109"/>
    </row>
    <row r="379" spans="19:47">
      <c r="S379" s="11" t="s">
        <v>5017</v>
      </c>
      <c r="T379" s="26">
        <v>17220</v>
      </c>
      <c r="V379" s="19" t="s">
        <v>5539</v>
      </c>
      <c r="W379" s="19">
        <v>1616</v>
      </c>
      <c r="X379" s="37">
        <v>2573.0760479999999</v>
      </c>
      <c r="Y379" s="37">
        <f t="shared" si="57"/>
        <v>4158090.8935679998</v>
      </c>
      <c r="Z379" s="206" t="s">
        <v>5059</v>
      </c>
      <c r="AJ379" s="20">
        <v>81</v>
      </c>
      <c r="AK379" s="20" t="s">
        <v>4922</v>
      </c>
      <c r="AL379" s="37">
        <v>-24159500</v>
      </c>
      <c r="AM379" s="20">
        <v>4</v>
      </c>
      <c r="AN379" s="20">
        <f t="shared" si="60"/>
        <v>624</v>
      </c>
      <c r="AO379" s="20">
        <f t="shared" si="61"/>
        <v>-15075528000</v>
      </c>
      <c r="AP379" s="20" t="s">
        <v>4930</v>
      </c>
    </row>
    <row r="380" spans="19:47">
      <c r="S380" s="11" t="s">
        <v>5019</v>
      </c>
      <c r="T380" s="26">
        <v>8249</v>
      </c>
      <c r="V380" s="145" t="s">
        <v>5540</v>
      </c>
      <c r="W380" s="145">
        <v>5682</v>
      </c>
      <c r="X380" s="144">
        <v>2639.970566</v>
      </c>
      <c r="Y380" s="144">
        <f t="shared" si="57"/>
        <v>15000312.756012</v>
      </c>
      <c r="Z380" s="205" t="s">
        <v>5733</v>
      </c>
      <c r="AJ380" s="20">
        <v>82</v>
      </c>
      <c r="AK380" s="20" t="s">
        <v>4932</v>
      </c>
      <c r="AL380" s="37">
        <v>400000</v>
      </c>
      <c r="AM380" s="20">
        <v>3</v>
      </c>
      <c r="AN380" s="20">
        <f t="shared" si="60"/>
        <v>620</v>
      </c>
      <c r="AO380" s="20">
        <f t="shared" si="61"/>
        <v>248000000</v>
      </c>
      <c r="AP380" s="20"/>
    </row>
    <row r="381" spans="19:47" ht="30">
      <c r="S381" s="11" t="s">
        <v>5019</v>
      </c>
      <c r="T381" s="26">
        <v>6937</v>
      </c>
      <c r="V381" s="145" t="s">
        <v>5540</v>
      </c>
      <c r="W381" s="145">
        <v>-122</v>
      </c>
      <c r="X381" s="144">
        <v>2639.970566</v>
      </c>
      <c r="Y381" s="144">
        <f t="shared" si="57"/>
        <v>-322076.40905199997</v>
      </c>
      <c r="Z381" s="205" t="s">
        <v>5760</v>
      </c>
      <c r="AA381" t="s">
        <v>25</v>
      </c>
      <c r="AJ381" s="109">
        <v>83</v>
      </c>
      <c r="AK381" s="109" t="s">
        <v>4939</v>
      </c>
      <c r="AL381" s="144">
        <v>40000</v>
      </c>
      <c r="AM381" s="109">
        <v>0</v>
      </c>
      <c r="AN381" s="109">
        <f t="shared" si="60"/>
        <v>617</v>
      </c>
      <c r="AO381" s="109">
        <f t="shared" si="61"/>
        <v>24680000</v>
      </c>
      <c r="AP381" s="109"/>
      <c r="AR381" t="s">
        <v>25</v>
      </c>
    </row>
    <row r="382" spans="19:47">
      <c r="S382" s="11" t="s">
        <v>5022</v>
      </c>
      <c r="T382" s="26">
        <v>4046552</v>
      </c>
      <c r="V382" s="19" t="s">
        <v>5540</v>
      </c>
      <c r="W382" s="19">
        <v>2272</v>
      </c>
      <c r="X382" s="37">
        <v>2639.970566</v>
      </c>
      <c r="Y382" s="37">
        <f t="shared" si="57"/>
        <v>5998013.1259519998</v>
      </c>
      <c r="Z382" s="206" t="s">
        <v>5548</v>
      </c>
      <c r="AJ382" s="20">
        <v>84</v>
      </c>
      <c r="AK382" s="20" t="s">
        <v>4939</v>
      </c>
      <c r="AL382" s="37">
        <v>40000</v>
      </c>
      <c r="AM382" s="20">
        <v>5</v>
      </c>
      <c r="AN382" s="20">
        <f t="shared" si="60"/>
        <v>617</v>
      </c>
      <c r="AO382" s="20">
        <f t="shared" si="61"/>
        <v>24680000</v>
      </c>
      <c r="AP382" s="20"/>
    </row>
    <row r="383" spans="19:47" ht="30">
      <c r="S383" s="11" t="s">
        <v>5029</v>
      </c>
      <c r="T383" s="26">
        <v>-3884943</v>
      </c>
      <c r="V383" s="19" t="s">
        <v>5540</v>
      </c>
      <c r="W383" s="19">
        <v>4434</v>
      </c>
      <c r="X383" s="37">
        <v>2639.970566</v>
      </c>
      <c r="Y383" s="37">
        <f t="shared" si="57"/>
        <v>11705629.489644</v>
      </c>
      <c r="Z383" s="206" t="s">
        <v>5549</v>
      </c>
      <c r="AC383" t="s">
        <v>25</v>
      </c>
      <c r="AJ383" s="20">
        <v>85</v>
      </c>
      <c r="AK383" s="20" t="s">
        <v>4947</v>
      </c>
      <c r="AL383" s="37">
        <v>200000</v>
      </c>
      <c r="AM383" s="20">
        <v>1</v>
      </c>
      <c r="AN383" s="20">
        <f t="shared" si="60"/>
        <v>612</v>
      </c>
      <c r="AO383" s="20">
        <f t="shared" si="61"/>
        <v>122400000</v>
      </c>
      <c r="AP383" s="20"/>
    </row>
    <row r="384" spans="19:47">
      <c r="S384" s="11" t="s">
        <v>5055</v>
      </c>
      <c r="T384" s="26">
        <v>6022</v>
      </c>
      <c r="V384" s="19" t="s">
        <v>5540</v>
      </c>
      <c r="W384" s="19">
        <v>2349</v>
      </c>
      <c r="X384" s="37">
        <v>2639.970566</v>
      </c>
      <c r="Y384" s="37">
        <f t="shared" si="57"/>
        <v>6201290.859534</v>
      </c>
      <c r="Z384" s="206" t="s">
        <v>5550</v>
      </c>
      <c r="AJ384" s="20">
        <v>86</v>
      </c>
      <c r="AK384" s="20" t="s">
        <v>4951</v>
      </c>
      <c r="AL384" s="37">
        <v>500000</v>
      </c>
      <c r="AM384" s="20">
        <v>2</v>
      </c>
      <c r="AN384" s="20">
        <f t="shared" ref="AN384:AN413" si="62">AM384+AN385</f>
        <v>611</v>
      </c>
      <c r="AO384" s="20">
        <f t="shared" ref="AO384:AO413" si="63">AL384*AN384</f>
        <v>305500000</v>
      </c>
      <c r="AP384" s="20"/>
    </row>
    <row r="385" spans="19:47">
      <c r="S385" s="11" t="s">
        <v>5058</v>
      </c>
      <c r="T385" s="26">
        <v>400000</v>
      </c>
      <c r="V385" s="19" t="s">
        <v>5540</v>
      </c>
      <c r="W385" s="19">
        <v>-568</v>
      </c>
      <c r="X385" s="37">
        <v>2639.970566</v>
      </c>
      <c r="Y385" s="37">
        <f t="shared" si="57"/>
        <v>-1499503.2814879999</v>
      </c>
      <c r="Z385" s="206" t="s">
        <v>5551</v>
      </c>
      <c r="AA385" t="s">
        <v>25</v>
      </c>
      <c r="AJ385" s="20">
        <v>87</v>
      </c>
      <c r="AK385" s="20" t="s">
        <v>4953</v>
      </c>
      <c r="AL385" s="37">
        <v>500000</v>
      </c>
      <c r="AM385" s="20">
        <v>3</v>
      </c>
      <c r="AN385" s="20">
        <f t="shared" si="62"/>
        <v>609</v>
      </c>
      <c r="AO385" s="20">
        <f t="shared" si="63"/>
        <v>304500000</v>
      </c>
      <c r="AP385" s="20"/>
    </row>
    <row r="386" spans="19:47">
      <c r="S386" s="11" t="s">
        <v>5058</v>
      </c>
      <c r="T386" s="26">
        <v>92847</v>
      </c>
      <c r="V386" s="19" t="s">
        <v>5540</v>
      </c>
      <c r="W386" s="19">
        <v>568</v>
      </c>
      <c r="X386" s="37">
        <v>2639.970566</v>
      </c>
      <c r="Y386" s="37">
        <f t="shared" si="57"/>
        <v>1499503.2814879999</v>
      </c>
      <c r="Z386" s="206" t="s">
        <v>5551</v>
      </c>
      <c r="AJ386" s="20">
        <v>88</v>
      </c>
      <c r="AK386" s="20" t="s">
        <v>4944</v>
      </c>
      <c r="AL386" s="37">
        <v>250000</v>
      </c>
      <c r="AM386" s="20">
        <v>0</v>
      </c>
      <c r="AN386" s="20">
        <f t="shared" si="62"/>
        <v>606</v>
      </c>
      <c r="AO386" s="20">
        <f t="shared" si="63"/>
        <v>151500000</v>
      </c>
      <c r="AP386" s="20"/>
      <c r="AS386" t="s">
        <v>25</v>
      </c>
    </row>
    <row r="387" spans="19:47">
      <c r="S387" s="11" t="s">
        <v>5062</v>
      </c>
      <c r="T387" s="26">
        <v>-100000</v>
      </c>
      <c r="V387" s="19" t="s">
        <v>5543</v>
      </c>
      <c r="W387" s="19">
        <v>4589</v>
      </c>
      <c r="X387" s="37">
        <v>2639.970566</v>
      </c>
      <c r="Y387" s="37">
        <f t="shared" si="57"/>
        <v>12114824.927374</v>
      </c>
      <c r="Z387" s="206" t="s">
        <v>5552</v>
      </c>
      <c r="AA387" t="s">
        <v>25</v>
      </c>
      <c r="AH387" t="s">
        <v>25</v>
      </c>
      <c r="AJ387" s="188">
        <v>89</v>
      </c>
      <c r="AK387" s="188" t="s">
        <v>4944</v>
      </c>
      <c r="AL387" s="182">
        <v>245000</v>
      </c>
      <c r="AM387" s="188">
        <v>16</v>
      </c>
      <c r="AN387" s="188">
        <f t="shared" si="62"/>
        <v>606</v>
      </c>
      <c r="AO387" s="188">
        <f t="shared" si="63"/>
        <v>148470000</v>
      </c>
      <c r="AP387" s="188"/>
    </row>
    <row r="388" spans="19:47">
      <c r="S388" s="11" t="s">
        <v>5067</v>
      </c>
      <c r="T388" s="26">
        <v>10000000</v>
      </c>
      <c r="V388" s="19" t="s">
        <v>5543</v>
      </c>
      <c r="W388" s="19">
        <v>41959</v>
      </c>
      <c r="X388" s="37">
        <v>2639.970566</v>
      </c>
      <c r="Y388" s="37">
        <f t="shared" ref="Y388:Y610" si="64">W388*X388</f>
        <v>110770524.97879399</v>
      </c>
      <c r="Z388" s="206" t="s">
        <v>5059</v>
      </c>
      <c r="AJ388" s="20">
        <v>90</v>
      </c>
      <c r="AK388" s="20" t="s">
        <v>4978</v>
      </c>
      <c r="AL388" s="37">
        <v>312598</v>
      </c>
      <c r="AM388" s="20">
        <v>0</v>
      </c>
      <c r="AN388" s="20">
        <f t="shared" si="62"/>
        <v>590</v>
      </c>
      <c r="AO388" s="20">
        <f t="shared" si="63"/>
        <v>184432820</v>
      </c>
      <c r="AP388" s="20"/>
      <c r="AU388" t="s">
        <v>25</v>
      </c>
    </row>
    <row r="389" spans="19:47">
      <c r="S389" s="11" t="s">
        <v>5071</v>
      </c>
      <c r="T389" s="26">
        <v>-400000</v>
      </c>
      <c r="V389" s="19" t="s">
        <v>5554</v>
      </c>
      <c r="W389" s="19">
        <v>2486</v>
      </c>
      <c r="X389" s="37">
        <v>2688.7156100000002</v>
      </c>
      <c r="Y389" s="37">
        <f t="shared" si="64"/>
        <v>6684147.0064600008</v>
      </c>
      <c r="Z389" s="206" t="s">
        <v>5059</v>
      </c>
      <c r="AJ389" s="20">
        <v>91</v>
      </c>
      <c r="AK389" s="20" t="s">
        <v>4978</v>
      </c>
      <c r="AL389" s="37">
        <v>780000</v>
      </c>
      <c r="AM389" s="20">
        <v>0</v>
      </c>
      <c r="AN389" s="20">
        <f t="shared" si="62"/>
        <v>590</v>
      </c>
      <c r="AO389" s="20">
        <f t="shared" si="63"/>
        <v>460200000</v>
      </c>
      <c r="AP389" s="20"/>
    </row>
    <row r="390" spans="19:47">
      <c r="S390" s="11" t="s">
        <v>5073</v>
      </c>
      <c r="T390" s="26">
        <v>5649</v>
      </c>
      <c r="V390" s="19" t="s">
        <v>5557</v>
      </c>
      <c r="W390" s="19">
        <v>652</v>
      </c>
      <c r="X390" s="37">
        <v>2801.4344030000002</v>
      </c>
      <c r="Y390" s="37">
        <f t="shared" si="64"/>
        <v>1826535.2307560001</v>
      </c>
      <c r="Z390" s="206" t="s">
        <v>5059</v>
      </c>
      <c r="AJ390" s="148">
        <v>92</v>
      </c>
      <c r="AK390" s="148" t="s">
        <v>4978</v>
      </c>
      <c r="AL390" s="149">
        <v>-300000</v>
      </c>
      <c r="AM390" s="148">
        <v>1</v>
      </c>
      <c r="AN390" s="148">
        <f t="shared" si="62"/>
        <v>590</v>
      </c>
      <c r="AO390" s="148">
        <f t="shared" si="63"/>
        <v>-177000000</v>
      </c>
      <c r="AP390" s="148"/>
    </row>
    <row r="391" spans="19:47">
      <c r="S391" s="11" t="s">
        <v>5074</v>
      </c>
      <c r="T391" s="26">
        <v>460000</v>
      </c>
      <c r="V391" s="145" t="s">
        <v>5557</v>
      </c>
      <c r="W391" s="145">
        <v>-536</v>
      </c>
      <c r="X391" s="144">
        <v>2801.4344030000002</v>
      </c>
      <c r="Y391" s="144">
        <f t="shared" si="64"/>
        <v>-1501568.8400080001</v>
      </c>
      <c r="Z391" s="205" t="s">
        <v>5565</v>
      </c>
      <c r="AJ391" s="20">
        <v>93</v>
      </c>
      <c r="AK391" s="20" t="s">
        <v>4945</v>
      </c>
      <c r="AL391" s="37">
        <v>300000</v>
      </c>
      <c r="AM391" s="20">
        <v>0</v>
      </c>
      <c r="AN391" s="20">
        <f t="shared" si="62"/>
        <v>589</v>
      </c>
      <c r="AO391" s="20">
        <f t="shared" si="63"/>
        <v>176700000</v>
      </c>
      <c r="AP391" s="20"/>
    </row>
    <row r="392" spans="19:47">
      <c r="S392" s="11" t="s">
        <v>5074</v>
      </c>
      <c r="T392" s="26">
        <v>1300000</v>
      </c>
      <c r="V392" s="19" t="s">
        <v>5559</v>
      </c>
      <c r="W392" s="19">
        <v>1351</v>
      </c>
      <c r="X392" s="37">
        <v>2647.94</v>
      </c>
      <c r="Y392" s="37">
        <f t="shared" si="64"/>
        <v>3577366.94</v>
      </c>
      <c r="Z392" s="206" t="s">
        <v>5059</v>
      </c>
      <c r="AJ392" s="20">
        <v>94</v>
      </c>
      <c r="AK392" s="20" t="s">
        <v>4945</v>
      </c>
      <c r="AL392" s="37">
        <v>8660000</v>
      </c>
      <c r="AM392" s="20">
        <v>8</v>
      </c>
      <c r="AN392" s="20">
        <f t="shared" si="62"/>
        <v>589</v>
      </c>
      <c r="AO392" s="20">
        <f t="shared" si="63"/>
        <v>5100740000</v>
      </c>
      <c r="AP392" s="20"/>
    </row>
    <row r="393" spans="19:47">
      <c r="S393" s="11" t="s">
        <v>955</v>
      </c>
      <c r="T393" s="26">
        <v>7300000</v>
      </c>
      <c r="U393" t="s">
        <v>25</v>
      </c>
      <c r="V393" s="19" t="s">
        <v>5560</v>
      </c>
      <c r="W393" s="19">
        <v>8402</v>
      </c>
      <c r="X393" s="37">
        <v>2527.8539839999999</v>
      </c>
      <c r="Y393" s="37">
        <f t="shared" si="64"/>
        <v>21239029.173567999</v>
      </c>
      <c r="Z393" s="206" t="s">
        <v>5059</v>
      </c>
      <c r="AJ393" s="109">
        <v>95</v>
      </c>
      <c r="AK393" s="109" t="s">
        <v>4995</v>
      </c>
      <c r="AL393" s="144">
        <v>200000</v>
      </c>
      <c r="AM393" s="109">
        <v>3</v>
      </c>
      <c r="AN393" s="109">
        <f t="shared" si="62"/>
        <v>581</v>
      </c>
      <c r="AO393" s="109">
        <f t="shared" si="63"/>
        <v>116200000</v>
      </c>
      <c r="AP393" s="109"/>
      <c r="AT393" t="s">
        <v>25</v>
      </c>
    </row>
    <row r="394" spans="19:47">
      <c r="S394" s="11" t="s">
        <v>4229</v>
      </c>
      <c r="T394" s="26">
        <v>21203</v>
      </c>
      <c r="V394" s="19" t="s">
        <v>5562</v>
      </c>
      <c r="W394" s="19">
        <v>98141</v>
      </c>
      <c r="X394" s="37">
        <v>2475.593813</v>
      </c>
      <c r="Y394" s="37">
        <f t="shared" si="64"/>
        <v>242957252.40163299</v>
      </c>
      <c r="Z394" s="206" t="s">
        <v>5059</v>
      </c>
      <c r="AJ394" s="109">
        <v>96</v>
      </c>
      <c r="AK394" s="109" t="s">
        <v>4998</v>
      </c>
      <c r="AL394" s="144">
        <v>20000</v>
      </c>
      <c r="AM394" s="109">
        <v>1</v>
      </c>
      <c r="AN394" s="109">
        <f t="shared" si="62"/>
        <v>578</v>
      </c>
      <c r="AO394" s="109">
        <f t="shared" si="63"/>
        <v>11560000</v>
      </c>
      <c r="AP394" s="109"/>
    </row>
    <row r="395" spans="19:47">
      <c r="S395" s="11" t="s">
        <v>5072</v>
      </c>
      <c r="T395" s="26">
        <v>34550</v>
      </c>
      <c r="V395" s="19" t="s">
        <v>5566</v>
      </c>
      <c r="W395" s="19">
        <v>2910</v>
      </c>
      <c r="X395" s="37">
        <v>2528.240988</v>
      </c>
      <c r="Y395" s="37">
        <f t="shared" si="64"/>
        <v>7357181.2750800001</v>
      </c>
      <c r="Z395" s="206" t="s">
        <v>5059</v>
      </c>
      <c r="AB395" t="s">
        <v>25</v>
      </c>
      <c r="AJ395" s="20">
        <v>97</v>
      </c>
      <c r="AK395" s="20" t="s">
        <v>5008</v>
      </c>
      <c r="AL395" s="37">
        <v>14340000</v>
      </c>
      <c r="AM395" s="20">
        <v>7</v>
      </c>
      <c r="AN395" s="20">
        <f t="shared" si="62"/>
        <v>577</v>
      </c>
      <c r="AO395" s="20">
        <f t="shared" si="63"/>
        <v>8274180000</v>
      </c>
      <c r="AP395" s="20"/>
    </row>
    <row r="396" spans="19:47">
      <c r="S396" s="11" t="s">
        <v>5109</v>
      </c>
      <c r="T396" s="26">
        <v>-2134406</v>
      </c>
      <c r="V396" s="19" t="s">
        <v>5568</v>
      </c>
      <c r="W396" s="19">
        <v>5652</v>
      </c>
      <c r="X396" s="37">
        <v>2645.3312000000001</v>
      </c>
      <c r="Y396" s="37">
        <f t="shared" si="64"/>
        <v>14951411.942400001</v>
      </c>
      <c r="Z396" s="206" t="s">
        <v>5059</v>
      </c>
      <c r="AJ396" s="20">
        <v>98</v>
      </c>
      <c r="AK396" s="20" t="s">
        <v>5014</v>
      </c>
      <c r="AL396" s="37">
        <v>10000000</v>
      </c>
      <c r="AM396" s="20">
        <v>6</v>
      </c>
      <c r="AN396" s="20">
        <f t="shared" si="62"/>
        <v>570</v>
      </c>
      <c r="AO396" s="20">
        <f t="shared" si="63"/>
        <v>5700000000</v>
      </c>
      <c r="AP396" s="20" t="s">
        <v>4634</v>
      </c>
    </row>
    <row r="397" spans="19:47">
      <c r="S397" s="11" t="s">
        <v>5112</v>
      </c>
      <c r="T397" s="26">
        <v>-618906</v>
      </c>
      <c r="V397" s="19" t="s">
        <v>5570</v>
      </c>
      <c r="W397" s="19">
        <v>18764</v>
      </c>
      <c r="X397" s="37">
        <v>2554.2639829999998</v>
      </c>
      <c r="Y397" s="37">
        <f t="shared" si="64"/>
        <v>47928209.377011999</v>
      </c>
      <c r="Z397" s="206" t="s">
        <v>5059</v>
      </c>
      <c r="AJ397" s="20">
        <v>99</v>
      </c>
      <c r="AK397" s="20" t="s">
        <v>5019</v>
      </c>
      <c r="AL397" s="37">
        <v>4033949</v>
      </c>
      <c r="AM397" s="20">
        <v>2</v>
      </c>
      <c r="AN397" s="20">
        <f t="shared" si="62"/>
        <v>564</v>
      </c>
      <c r="AO397" s="20">
        <f t="shared" si="63"/>
        <v>2275147236</v>
      </c>
      <c r="AP397" s="20" t="s">
        <v>5021</v>
      </c>
    </row>
    <row r="398" spans="19:47" ht="21" customHeight="1">
      <c r="S398" s="11" t="s">
        <v>5154</v>
      </c>
      <c r="T398" s="26">
        <v>-54615</v>
      </c>
      <c r="V398" s="19" t="s">
        <v>5571</v>
      </c>
      <c r="W398" s="19">
        <v>930</v>
      </c>
      <c r="X398" s="37">
        <v>2453.3287089999999</v>
      </c>
      <c r="Y398" s="37">
        <f t="shared" si="64"/>
        <v>2281595.69937</v>
      </c>
      <c r="Z398" s="206" t="s">
        <v>5059</v>
      </c>
      <c r="AC398" t="s">
        <v>25</v>
      </c>
      <c r="AJ398" s="109">
        <v>100</v>
      </c>
      <c r="AK398" s="109" t="s">
        <v>5025</v>
      </c>
      <c r="AL398" s="144">
        <v>11500000</v>
      </c>
      <c r="AM398" s="109">
        <v>2</v>
      </c>
      <c r="AN398" s="109">
        <f t="shared" si="62"/>
        <v>562</v>
      </c>
      <c r="AO398" s="109">
        <f t="shared" si="63"/>
        <v>6463000000</v>
      </c>
      <c r="AP398" s="109" t="s">
        <v>5027</v>
      </c>
    </row>
    <row r="399" spans="19:47">
      <c r="S399" s="11" t="s">
        <v>5199</v>
      </c>
      <c r="T399" s="26">
        <v>18000000</v>
      </c>
      <c r="V399" s="19" t="s">
        <v>5572</v>
      </c>
      <c r="W399" s="19">
        <v>1167</v>
      </c>
      <c r="X399" s="37">
        <v>2540.6307069999998</v>
      </c>
      <c r="Y399" s="37">
        <f t="shared" si="64"/>
        <v>2964916.035069</v>
      </c>
      <c r="Z399" s="206" t="s">
        <v>5059</v>
      </c>
      <c r="AJ399" s="109">
        <v>101</v>
      </c>
      <c r="AK399" s="109" t="s">
        <v>5029</v>
      </c>
      <c r="AL399" s="144">
        <v>250000</v>
      </c>
      <c r="AM399" s="109">
        <v>3</v>
      </c>
      <c r="AN399" s="109">
        <f t="shared" si="62"/>
        <v>560</v>
      </c>
      <c r="AO399" s="109">
        <f t="shared" si="63"/>
        <v>140000000</v>
      </c>
      <c r="AP399" s="109"/>
    </row>
    <row r="400" spans="19:47" ht="18" customHeight="1">
      <c r="S400" s="11" t="s">
        <v>5206</v>
      </c>
      <c r="T400" s="26">
        <v>20000000</v>
      </c>
      <c r="V400" s="19" t="s">
        <v>5573</v>
      </c>
      <c r="W400" s="19">
        <v>2538</v>
      </c>
      <c r="X400" s="37">
        <v>2545.5277489999999</v>
      </c>
      <c r="Y400" s="37">
        <f t="shared" si="64"/>
        <v>6460549.4269619994</v>
      </c>
      <c r="Z400" s="206" t="s">
        <v>5059</v>
      </c>
      <c r="AB400" t="s">
        <v>25</v>
      </c>
      <c r="AC400" t="s">
        <v>25</v>
      </c>
      <c r="AJ400" s="109">
        <v>102</v>
      </c>
      <c r="AK400" s="109" t="s">
        <v>5054</v>
      </c>
      <c r="AL400" s="144">
        <v>6000000</v>
      </c>
      <c r="AM400" s="109">
        <v>1</v>
      </c>
      <c r="AN400" s="109">
        <f t="shared" si="62"/>
        <v>557</v>
      </c>
      <c r="AO400" s="109">
        <f t="shared" si="63"/>
        <v>3342000000</v>
      </c>
      <c r="AP400" s="109" t="s">
        <v>5027</v>
      </c>
    </row>
    <row r="401" spans="19:47" ht="21" customHeight="1">
      <c r="S401" s="11" t="s">
        <v>5280</v>
      </c>
      <c r="T401" s="26">
        <v>27694196</v>
      </c>
      <c r="V401" s="19" t="s">
        <v>5574</v>
      </c>
      <c r="W401" s="19">
        <v>2106</v>
      </c>
      <c r="X401" s="37">
        <v>2474.9857059999999</v>
      </c>
      <c r="Y401" s="37">
        <f t="shared" si="64"/>
        <v>5212319.8968359996</v>
      </c>
      <c r="Z401" s="206" t="s">
        <v>5059</v>
      </c>
      <c r="AC401" t="s">
        <v>25</v>
      </c>
      <c r="AF401" t="s">
        <v>25</v>
      </c>
      <c r="AJ401" s="109">
        <v>103</v>
      </c>
      <c r="AK401" s="109" t="s">
        <v>5055</v>
      </c>
      <c r="AL401" s="144">
        <v>1500000</v>
      </c>
      <c r="AM401" s="109">
        <v>6</v>
      </c>
      <c r="AN401" s="109">
        <f t="shared" si="62"/>
        <v>556</v>
      </c>
      <c r="AO401" s="109">
        <f t="shared" si="63"/>
        <v>834000000</v>
      </c>
      <c r="AP401" s="109" t="s">
        <v>5027</v>
      </c>
    </row>
    <row r="402" spans="19:47">
      <c r="S402" s="11" t="s">
        <v>5281</v>
      </c>
      <c r="T402" s="26">
        <v>7211722</v>
      </c>
      <c r="V402" s="19" t="s">
        <v>5576</v>
      </c>
      <c r="W402" s="19">
        <v>1801</v>
      </c>
      <c r="X402" s="37">
        <v>2512.2134809999998</v>
      </c>
      <c r="Y402" s="37">
        <f t="shared" si="64"/>
        <v>4524496.4792809999</v>
      </c>
      <c r="Z402" s="206" t="s">
        <v>5059</v>
      </c>
      <c r="AJ402" s="20">
        <v>104</v>
      </c>
      <c r="AK402" s="20" t="s">
        <v>938</v>
      </c>
      <c r="AL402" s="37">
        <v>-3960043</v>
      </c>
      <c r="AM402" s="20">
        <v>2</v>
      </c>
      <c r="AN402" s="20">
        <f t="shared" si="62"/>
        <v>550</v>
      </c>
      <c r="AO402" s="20">
        <f t="shared" si="63"/>
        <v>-2178023650</v>
      </c>
      <c r="AP402" s="20"/>
      <c r="AU402" t="s">
        <v>25</v>
      </c>
    </row>
    <row r="403" spans="19:47">
      <c r="S403" s="11" t="s">
        <v>5285</v>
      </c>
      <c r="T403" s="26">
        <v>8481864</v>
      </c>
      <c r="V403" s="19" t="s">
        <v>5577</v>
      </c>
      <c r="W403" s="19">
        <v>9184</v>
      </c>
      <c r="X403" s="37">
        <v>2489.76919</v>
      </c>
      <c r="Y403" s="37">
        <f t="shared" si="64"/>
        <v>22866040.240959998</v>
      </c>
      <c r="Z403" s="206" t="s">
        <v>5059</v>
      </c>
      <c r="AJ403" s="20">
        <v>105</v>
      </c>
      <c r="AK403" s="20" t="s">
        <v>5073</v>
      </c>
      <c r="AL403" s="37">
        <v>230000</v>
      </c>
      <c r="AM403" s="20">
        <v>0</v>
      </c>
      <c r="AN403" s="20">
        <f t="shared" si="62"/>
        <v>548</v>
      </c>
      <c r="AO403" s="20">
        <f t="shared" si="63"/>
        <v>126040000</v>
      </c>
      <c r="AP403" s="20"/>
    </row>
    <row r="404" spans="19:47">
      <c r="S404" s="11" t="s">
        <v>5289</v>
      </c>
      <c r="T404" s="26">
        <v>1558697</v>
      </c>
      <c r="V404" s="19" t="s">
        <v>5578</v>
      </c>
      <c r="W404" s="19">
        <v>6259</v>
      </c>
      <c r="X404" s="37">
        <v>2453.954988</v>
      </c>
      <c r="Y404" s="37">
        <f t="shared" si="64"/>
        <v>15359304.269892</v>
      </c>
      <c r="Z404" s="206" t="s">
        <v>5059</v>
      </c>
      <c r="AA404" t="s">
        <v>25</v>
      </c>
      <c r="AJ404" s="109">
        <v>106</v>
      </c>
      <c r="AK404" s="109" t="s">
        <v>5073</v>
      </c>
      <c r="AL404" s="144">
        <v>230000</v>
      </c>
      <c r="AM404" s="109">
        <v>1</v>
      </c>
      <c r="AN404" s="109">
        <f t="shared" si="62"/>
        <v>548</v>
      </c>
      <c r="AO404" s="109">
        <f t="shared" si="63"/>
        <v>126040000</v>
      </c>
      <c r="AP404" s="109"/>
    </row>
    <row r="405" spans="19:47">
      <c r="S405" s="11" t="s">
        <v>5290</v>
      </c>
      <c r="T405" s="26">
        <v>9042009</v>
      </c>
      <c r="V405" s="19" t="s">
        <v>5580</v>
      </c>
      <c r="W405" s="19">
        <v>1223</v>
      </c>
      <c r="X405" s="37">
        <v>2345.4686710000001</v>
      </c>
      <c r="Y405" s="37">
        <f t="shared" si="64"/>
        <v>2868508.1846330003</v>
      </c>
      <c r="Z405" s="206" t="s">
        <v>5059</v>
      </c>
      <c r="AJ405" s="109">
        <v>107</v>
      </c>
      <c r="AK405" s="109" t="s">
        <v>5074</v>
      </c>
      <c r="AL405" s="144">
        <v>500000</v>
      </c>
      <c r="AM405" s="109">
        <v>1</v>
      </c>
      <c r="AN405" s="109">
        <f t="shared" si="62"/>
        <v>547</v>
      </c>
      <c r="AO405" s="109">
        <f t="shared" si="63"/>
        <v>273500000</v>
      </c>
      <c r="AP405" s="109"/>
    </row>
    <row r="406" spans="19:47">
      <c r="S406" s="11" t="s">
        <v>5294</v>
      </c>
      <c r="T406" s="26">
        <v>94969</v>
      </c>
      <c r="V406" s="19" t="s">
        <v>5581</v>
      </c>
      <c r="W406" s="19">
        <v>7804</v>
      </c>
      <c r="X406" s="37">
        <v>2236.0831640000001</v>
      </c>
      <c r="Y406" s="37">
        <f t="shared" si="64"/>
        <v>17450393.011856001</v>
      </c>
      <c r="Z406" s="206" t="s">
        <v>5059</v>
      </c>
      <c r="AJ406" s="20">
        <v>108</v>
      </c>
      <c r="AK406" s="20" t="s">
        <v>5077</v>
      </c>
      <c r="AL406" s="37">
        <v>-880000</v>
      </c>
      <c r="AM406" s="20">
        <v>4</v>
      </c>
      <c r="AN406" s="20">
        <f t="shared" si="62"/>
        <v>546</v>
      </c>
      <c r="AO406" s="20">
        <f t="shared" si="63"/>
        <v>-480480000</v>
      </c>
      <c r="AP406" s="20"/>
    </row>
    <row r="407" spans="19:47">
      <c r="S407" s="11" t="s">
        <v>5294</v>
      </c>
      <c r="T407" s="26">
        <v>40000000</v>
      </c>
      <c r="V407" s="19" t="s">
        <v>5582</v>
      </c>
      <c r="W407" s="19">
        <v>14589</v>
      </c>
      <c r="X407" s="37">
        <v>2151.5486500000002</v>
      </c>
      <c r="Y407" s="37">
        <f t="shared" si="64"/>
        <v>31388943.254850004</v>
      </c>
      <c r="Z407" s="206" t="s">
        <v>5059</v>
      </c>
      <c r="AJ407" s="148">
        <v>109</v>
      </c>
      <c r="AK407" s="148" t="s">
        <v>5081</v>
      </c>
      <c r="AL407" s="149">
        <v>873000</v>
      </c>
      <c r="AM407" s="148">
        <v>0</v>
      </c>
      <c r="AN407" s="148">
        <f t="shared" si="62"/>
        <v>542</v>
      </c>
      <c r="AO407" s="148">
        <f t="shared" si="63"/>
        <v>473166000</v>
      </c>
      <c r="AP407" s="148" t="s">
        <v>5027</v>
      </c>
    </row>
    <row r="408" spans="19:47">
      <c r="S408" s="11" t="s">
        <v>5295</v>
      </c>
      <c r="T408" s="26">
        <v>2806274</v>
      </c>
      <c r="V408" s="19" t="s">
        <v>5583</v>
      </c>
      <c r="W408" s="19">
        <v>14741</v>
      </c>
      <c r="X408" s="37">
        <v>2097.0148140000001</v>
      </c>
      <c r="Y408" s="37">
        <f t="shared" si="64"/>
        <v>30912095.373174001</v>
      </c>
      <c r="Z408" s="206" t="s">
        <v>5059</v>
      </c>
      <c r="AA408" t="s">
        <v>25</v>
      </c>
      <c r="AJ408" s="20">
        <v>110</v>
      </c>
      <c r="AK408" s="20" t="s">
        <v>5081</v>
      </c>
      <c r="AL408" s="37">
        <v>127000</v>
      </c>
      <c r="AM408" s="20">
        <v>0</v>
      </c>
      <c r="AN408" s="20">
        <f t="shared" si="62"/>
        <v>542</v>
      </c>
      <c r="AO408" s="20">
        <f t="shared" si="63"/>
        <v>68834000</v>
      </c>
      <c r="AP408" s="20" t="s">
        <v>5027</v>
      </c>
    </row>
    <row r="409" spans="19:47">
      <c r="S409" s="11" t="s">
        <v>5303</v>
      </c>
      <c r="T409" s="26">
        <v>1331702</v>
      </c>
      <c r="V409" s="19" t="s">
        <v>5585</v>
      </c>
      <c r="W409" s="19">
        <v>10237</v>
      </c>
      <c r="X409" s="37">
        <v>1914.9092619999999</v>
      </c>
      <c r="Y409" s="37">
        <f t="shared" si="64"/>
        <v>19602926.115093999</v>
      </c>
      <c r="Z409" s="206" t="s">
        <v>5059</v>
      </c>
      <c r="AB409" t="s">
        <v>25</v>
      </c>
      <c r="AJ409" s="20">
        <v>111</v>
      </c>
      <c r="AK409" s="20" t="s">
        <v>5081</v>
      </c>
      <c r="AL409" s="37">
        <v>73000</v>
      </c>
      <c r="AM409" s="20">
        <v>1</v>
      </c>
      <c r="AN409" s="20">
        <f t="shared" si="62"/>
        <v>542</v>
      </c>
      <c r="AO409" s="20">
        <f t="shared" si="63"/>
        <v>39566000</v>
      </c>
      <c r="AP409" s="20"/>
    </row>
    <row r="410" spans="19:47">
      <c r="S410" s="11" t="s">
        <v>5335</v>
      </c>
      <c r="T410" s="26">
        <v>851238</v>
      </c>
      <c r="V410" s="19" t="s">
        <v>5586</v>
      </c>
      <c r="W410" s="19">
        <v>19211</v>
      </c>
      <c r="X410" s="37">
        <v>1793.6906100000001</v>
      </c>
      <c r="Y410" s="37">
        <f t="shared" si="64"/>
        <v>34458590.308710001</v>
      </c>
      <c r="Z410" s="206" t="s">
        <v>5059</v>
      </c>
      <c r="AB410" t="s">
        <v>25</v>
      </c>
      <c r="AJ410" s="20">
        <v>112</v>
      </c>
      <c r="AK410" s="20" t="s">
        <v>955</v>
      </c>
      <c r="AL410" s="37">
        <v>4300000</v>
      </c>
      <c r="AM410" s="20">
        <v>1</v>
      </c>
      <c r="AN410" s="20">
        <f t="shared" si="62"/>
        <v>541</v>
      </c>
      <c r="AO410" s="20">
        <f t="shared" si="63"/>
        <v>2326300000</v>
      </c>
      <c r="AP410" s="20"/>
    </row>
    <row r="411" spans="19:47">
      <c r="S411" s="11" t="s">
        <v>5376</v>
      </c>
      <c r="T411" s="26">
        <v>652592</v>
      </c>
      <c r="V411" s="19" t="s">
        <v>5587</v>
      </c>
      <c r="W411" s="19">
        <v>11599</v>
      </c>
      <c r="X411" s="37">
        <v>1870.667144</v>
      </c>
      <c r="Y411" s="37">
        <f t="shared" si="64"/>
        <v>21697868.203256</v>
      </c>
      <c r="Z411" s="206" t="s">
        <v>5059</v>
      </c>
      <c r="AA411" t="s">
        <v>25</v>
      </c>
      <c r="AJ411" s="20">
        <v>113</v>
      </c>
      <c r="AK411" s="20" t="s">
        <v>4957</v>
      </c>
      <c r="AL411" s="37">
        <v>1600000</v>
      </c>
      <c r="AM411" s="20">
        <v>0</v>
      </c>
      <c r="AN411" s="20">
        <f t="shared" si="62"/>
        <v>540</v>
      </c>
      <c r="AO411" s="20">
        <f t="shared" si="63"/>
        <v>864000000</v>
      </c>
      <c r="AP411" s="20"/>
    </row>
    <row r="412" spans="19:47">
      <c r="S412" s="11" t="s">
        <v>5377</v>
      </c>
      <c r="T412" s="26">
        <v>554139</v>
      </c>
      <c r="V412" s="19" t="s">
        <v>5588</v>
      </c>
      <c r="W412" s="19">
        <v>14098</v>
      </c>
      <c r="X412" s="37">
        <v>1797.423695</v>
      </c>
      <c r="Y412" s="37">
        <f t="shared" si="64"/>
        <v>25340079.252110001</v>
      </c>
      <c r="Z412" s="206" t="s">
        <v>5059</v>
      </c>
      <c r="AJ412" s="20">
        <v>114</v>
      </c>
      <c r="AK412" s="20" t="s">
        <v>4229</v>
      </c>
      <c r="AL412" s="37">
        <v>-10000000</v>
      </c>
      <c r="AM412" s="20">
        <v>1</v>
      </c>
      <c r="AN412" s="20">
        <f t="shared" si="62"/>
        <v>540</v>
      </c>
      <c r="AO412" s="20">
        <f t="shared" si="63"/>
        <v>-5400000000</v>
      </c>
      <c r="AP412" s="20" t="s">
        <v>5087</v>
      </c>
    </row>
    <row r="413" spans="19:47">
      <c r="S413" s="11" t="s">
        <v>5378</v>
      </c>
      <c r="T413" s="26">
        <v>70373089</v>
      </c>
      <c r="V413" s="19" t="s">
        <v>5589</v>
      </c>
      <c r="W413" s="19">
        <v>8497</v>
      </c>
      <c r="X413" s="37">
        <v>1739.5531579999999</v>
      </c>
      <c r="Y413" s="37">
        <f t="shared" si="64"/>
        <v>14780983.183526</v>
      </c>
      <c r="Z413" s="206" t="s">
        <v>5059</v>
      </c>
      <c r="AJ413" s="20">
        <v>115</v>
      </c>
      <c r="AK413" s="20" t="s">
        <v>5086</v>
      </c>
      <c r="AL413" s="37">
        <v>571000</v>
      </c>
      <c r="AM413" s="20">
        <v>4</v>
      </c>
      <c r="AN413" s="20">
        <f t="shared" si="62"/>
        <v>539</v>
      </c>
      <c r="AO413" s="20">
        <f t="shared" si="63"/>
        <v>307769000</v>
      </c>
      <c r="AP413" s="20"/>
      <c r="AT413" t="s">
        <v>25</v>
      </c>
    </row>
    <row r="414" spans="19:47" ht="30">
      <c r="S414" s="11" t="s">
        <v>5379</v>
      </c>
      <c r="T414" s="26">
        <v>1219655</v>
      </c>
      <c r="U414" t="s">
        <v>25</v>
      </c>
      <c r="V414" s="219" t="s">
        <v>5591</v>
      </c>
      <c r="W414" s="219">
        <v>163820</v>
      </c>
      <c r="X414" s="76">
        <v>1588.685326</v>
      </c>
      <c r="Y414" s="76">
        <f t="shared" si="64"/>
        <v>260258430.10532001</v>
      </c>
      <c r="Z414" s="224" t="s">
        <v>5593</v>
      </c>
      <c r="AJ414" s="20">
        <v>116</v>
      </c>
      <c r="AK414" s="20" t="s">
        <v>5088</v>
      </c>
      <c r="AL414" s="37">
        <v>200000</v>
      </c>
      <c r="AM414" s="20">
        <v>3</v>
      </c>
      <c r="AN414" s="20">
        <f t="shared" ref="AN414:AN425" si="65">AM414+AN415</f>
        <v>535</v>
      </c>
      <c r="AO414" s="20">
        <f t="shared" ref="AO414:AO425" si="66">AL414*AN414</f>
        <v>107000000</v>
      </c>
      <c r="AP414" s="20"/>
    </row>
    <row r="415" spans="19:47">
      <c r="S415" s="11" t="s">
        <v>5380</v>
      </c>
      <c r="T415" s="26">
        <v>15350146</v>
      </c>
      <c r="V415" s="19" t="s">
        <v>5591</v>
      </c>
      <c r="W415" s="19">
        <v>11207</v>
      </c>
      <c r="X415" s="37">
        <v>1588.685326</v>
      </c>
      <c r="Y415" s="37">
        <f t="shared" si="64"/>
        <v>17804396.448481999</v>
      </c>
      <c r="Z415" s="206" t="s">
        <v>5059</v>
      </c>
      <c r="AA415" t="s">
        <v>25</v>
      </c>
      <c r="AB415" t="s">
        <v>25</v>
      </c>
      <c r="AJ415" s="109">
        <v>117</v>
      </c>
      <c r="AK415" s="109" t="s">
        <v>5094</v>
      </c>
      <c r="AL415" s="144">
        <v>50000</v>
      </c>
      <c r="AM415" s="109">
        <v>7</v>
      </c>
      <c r="AN415" s="109">
        <f t="shared" si="65"/>
        <v>532</v>
      </c>
      <c r="AO415" s="109">
        <f t="shared" si="66"/>
        <v>26600000</v>
      </c>
      <c r="AP415" s="109"/>
      <c r="AU415" t="s">
        <v>25</v>
      </c>
    </row>
    <row r="416" spans="19:47">
      <c r="S416" s="11" t="s">
        <v>5384</v>
      </c>
      <c r="T416" s="26">
        <v>121018</v>
      </c>
      <c r="V416" s="19" t="s">
        <v>5594</v>
      </c>
      <c r="W416" s="19">
        <v>7198</v>
      </c>
      <c r="X416" s="37">
        <v>1602.9918909999999</v>
      </c>
      <c r="Y416" s="37">
        <f t="shared" si="64"/>
        <v>11538335.631417999</v>
      </c>
      <c r="Z416" s="206" t="s">
        <v>5059</v>
      </c>
      <c r="AA416" t="s">
        <v>25</v>
      </c>
      <c r="AJ416" s="20">
        <v>118</v>
      </c>
      <c r="AK416" s="20" t="s">
        <v>5102</v>
      </c>
      <c r="AL416" s="37">
        <v>-500000</v>
      </c>
      <c r="AM416" s="20">
        <v>12</v>
      </c>
      <c r="AN416" s="20">
        <f t="shared" si="65"/>
        <v>525</v>
      </c>
      <c r="AO416" s="20">
        <f t="shared" si="66"/>
        <v>-262500000</v>
      </c>
      <c r="AP416" s="20"/>
    </row>
    <row r="417" spans="17:47">
      <c r="S417" s="11" t="s">
        <v>5389</v>
      </c>
      <c r="T417" s="26">
        <v>1024993</v>
      </c>
      <c r="V417" s="19" t="s">
        <v>5595</v>
      </c>
      <c r="W417" s="19">
        <v>7804</v>
      </c>
      <c r="X417" s="37">
        <v>1592.7111440000001</v>
      </c>
      <c r="Y417" s="37">
        <f t="shared" si="64"/>
        <v>12429517.767776001</v>
      </c>
      <c r="Z417" s="206" t="s">
        <v>5059</v>
      </c>
      <c r="AB417" t="s">
        <v>25</v>
      </c>
      <c r="AJ417" s="109">
        <v>119</v>
      </c>
      <c r="AK417" s="109" t="s">
        <v>954</v>
      </c>
      <c r="AL417" s="144">
        <v>-50000</v>
      </c>
      <c r="AM417" s="109">
        <v>0</v>
      </c>
      <c r="AN417" s="109">
        <f t="shared" si="65"/>
        <v>513</v>
      </c>
      <c r="AO417" s="109">
        <f t="shared" si="66"/>
        <v>-25650000</v>
      </c>
      <c r="AP417" s="109"/>
      <c r="AT417" t="s">
        <v>25</v>
      </c>
      <c r="AU417" t="s">
        <v>25</v>
      </c>
    </row>
    <row r="418" spans="17:47">
      <c r="S418" s="11" t="s">
        <v>5390</v>
      </c>
      <c r="T418" s="26">
        <v>1948077</v>
      </c>
      <c r="U418" t="s">
        <v>25</v>
      </c>
      <c r="V418" s="19" t="s">
        <v>5603</v>
      </c>
      <c r="W418" s="19">
        <v>2827</v>
      </c>
      <c r="X418" s="37">
        <v>1779.6874809999999</v>
      </c>
      <c r="Y418" s="37">
        <f t="shared" si="64"/>
        <v>5031176.5087869996</v>
      </c>
      <c r="Z418" s="206" t="s">
        <v>5059</v>
      </c>
      <c r="AA418" t="s">
        <v>25</v>
      </c>
      <c r="AJ418" s="20">
        <v>120</v>
      </c>
      <c r="AK418" s="20" t="s">
        <v>954</v>
      </c>
      <c r="AL418" s="37">
        <v>-50000</v>
      </c>
      <c r="AM418" s="20">
        <v>28</v>
      </c>
      <c r="AN418" s="20">
        <f t="shared" si="65"/>
        <v>513</v>
      </c>
      <c r="AO418" s="20">
        <f t="shared" si="66"/>
        <v>-25650000</v>
      </c>
      <c r="AP418" s="20"/>
    </row>
    <row r="419" spans="17:47">
      <c r="S419" s="11" t="s">
        <v>5391</v>
      </c>
      <c r="T419" s="26">
        <v>50000120</v>
      </c>
      <c r="V419" s="19" t="s">
        <v>5605</v>
      </c>
      <c r="W419" s="19">
        <v>3385</v>
      </c>
      <c r="X419" s="37">
        <v>2015.5993820000001</v>
      </c>
      <c r="Y419" s="37">
        <f t="shared" si="64"/>
        <v>6822803.9080700008</v>
      </c>
      <c r="Z419" s="206" t="s">
        <v>5059</v>
      </c>
      <c r="AA419" t="s">
        <v>25</v>
      </c>
      <c r="AB419" t="s">
        <v>25</v>
      </c>
      <c r="AJ419" s="20">
        <v>121</v>
      </c>
      <c r="AK419" s="20" t="s">
        <v>5143</v>
      </c>
      <c r="AL419" s="37">
        <v>-3020625</v>
      </c>
      <c r="AM419" s="20">
        <v>18</v>
      </c>
      <c r="AN419" s="20">
        <f t="shared" si="65"/>
        <v>485</v>
      </c>
      <c r="AO419" s="20">
        <f t="shared" si="66"/>
        <v>-1465003125</v>
      </c>
      <c r="AP419" s="20"/>
    </row>
    <row r="420" spans="17:47">
      <c r="S420" s="11" t="s">
        <v>5412</v>
      </c>
      <c r="T420" s="26">
        <v>20000055</v>
      </c>
      <c r="V420" s="19" t="s">
        <v>5609</v>
      </c>
      <c r="W420" s="19">
        <v>158</v>
      </c>
      <c r="X420" s="37">
        <v>2094.2388179999998</v>
      </c>
      <c r="Y420" s="37">
        <f t="shared" si="64"/>
        <v>330889.73324399994</v>
      </c>
      <c r="Z420" s="206" t="s">
        <v>5059</v>
      </c>
      <c r="AA420" t="s">
        <v>25</v>
      </c>
      <c r="AJ420" s="20">
        <v>122</v>
      </c>
      <c r="AK420" s="20" t="s">
        <v>5154</v>
      </c>
      <c r="AL420" s="37">
        <v>18000000</v>
      </c>
      <c r="AM420" s="20">
        <v>19</v>
      </c>
      <c r="AN420" s="20">
        <f t="shared" si="65"/>
        <v>467</v>
      </c>
      <c r="AO420" s="20">
        <f t="shared" si="66"/>
        <v>8406000000</v>
      </c>
      <c r="AP420" s="20"/>
      <c r="AT420" t="s">
        <v>25</v>
      </c>
    </row>
    <row r="421" spans="17:47">
      <c r="S421" s="11" t="s">
        <v>5413</v>
      </c>
      <c r="T421" s="26">
        <v>5745697</v>
      </c>
      <c r="V421" s="19" t="s">
        <v>943</v>
      </c>
      <c r="W421" s="19">
        <v>5033</v>
      </c>
      <c r="X421" s="37">
        <v>2229.4976999999999</v>
      </c>
      <c r="Y421" s="37">
        <f t="shared" si="64"/>
        <v>11221061.924099999</v>
      </c>
      <c r="Z421" s="206" t="s">
        <v>5613</v>
      </c>
      <c r="AB421" t="s">
        <v>25</v>
      </c>
      <c r="AJ421" s="20">
        <v>123</v>
      </c>
      <c r="AK421" s="20" t="s">
        <v>5181</v>
      </c>
      <c r="AL421" s="37">
        <v>2000000</v>
      </c>
      <c r="AM421" s="20">
        <v>6</v>
      </c>
      <c r="AN421" s="20">
        <f t="shared" si="65"/>
        <v>448</v>
      </c>
      <c r="AO421" s="20">
        <f t="shared" si="66"/>
        <v>896000000</v>
      </c>
      <c r="AP421" s="20"/>
    </row>
    <row r="422" spans="17:47">
      <c r="S422" s="11" t="s">
        <v>5414</v>
      </c>
      <c r="T422" s="26">
        <v>908158</v>
      </c>
      <c r="V422" s="19" t="s">
        <v>5617</v>
      </c>
      <c r="W422" s="19">
        <v>2870</v>
      </c>
      <c r="X422" s="37">
        <v>2303.2467459999998</v>
      </c>
      <c r="Y422" s="37">
        <f t="shared" si="64"/>
        <v>6610318.1610199995</v>
      </c>
      <c r="Z422" s="206" t="s">
        <v>5059</v>
      </c>
      <c r="AJ422" s="109">
        <v>124</v>
      </c>
      <c r="AK422" s="109" t="s">
        <v>5190</v>
      </c>
      <c r="AL422" s="144">
        <v>40000000</v>
      </c>
      <c r="AM422" s="109">
        <v>6</v>
      </c>
      <c r="AN422" s="109">
        <f t="shared" si="65"/>
        <v>442</v>
      </c>
      <c r="AO422" s="109">
        <f t="shared" si="66"/>
        <v>17680000000</v>
      </c>
      <c r="AP422" s="109"/>
    </row>
    <row r="423" spans="17:47">
      <c r="Q423" t="s">
        <v>25</v>
      </c>
      <c r="S423" s="11" t="s">
        <v>5415</v>
      </c>
      <c r="T423" s="26">
        <v>12642697</v>
      </c>
      <c r="V423" s="19" t="s">
        <v>5618</v>
      </c>
      <c r="W423" s="19">
        <v>307</v>
      </c>
      <c r="X423" s="37">
        <v>2315.0266360000001</v>
      </c>
      <c r="Y423" s="37">
        <f t="shared" si="64"/>
        <v>710713.17725199996</v>
      </c>
      <c r="Z423" s="206" t="s">
        <v>5059</v>
      </c>
      <c r="AJ423" s="20">
        <v>125</v>
      </c>
      <c r="AK423" s="20" t="s">
        <v>5199</v>
      </c>
      <c r="AL423" s="37">
        <v>200000</v>
      </c>
      <c r="AM423" s="20">
        <v>0</v>
      </c>
      <c r="AN423" s="20">
        <f t="shared" si="65"/>
        <v>436</v>
      </c>
      <c r="AO423" s="20">
        <f t="shared" si="66"/>
        <v>87200000</v>
      </c>
      <c r="AP423" s="20"/>
    </row>
    <row r="424" spans="17:47">
      <c r="S424" s="11" t="s">
        <v>5416</v>
      </c>
      <c r="T424" s="26">
        <v>12297317.81435</v>
      </c>
      <c r="V424" s="19" t="s">
        <v>5619</v>
      </c>
      <c r="W424" s="19">
        <v>35</v>
      </c>
      <c r="X424" s="37">
        <v>2315</v>
      </c>
      <c r="Y424" s="37">
        <f t="shared" si="64"/>
        <v>81025</v>
      </c>
      <c r="Z424" s="206" t="s">
        <v>5621</v>
      </c>
      <c r="AA424" s="7"/>
      <c r="AJ424" s="109">
        <v>126</v>
      </c>
      <c r="AK424" s="109" t="s">
        <v>5199</v>
      </c>
      <c r="AL424" s="144">
        <v>200000</v>
      </c>
      <c r="AM424" s="109">
        <v>1</v>
      </c>
      <c r="AN424" s="109">
        <f t="shared" si="65"/>
        <v>436</v>
      </c>
      <c r="AO424" s="109">
        <f t="shared" si="66"/>
        <v>87200000</v>
      </c>
      <c r="AP424" s="109"/>
    </row>
    <row r="425" spans="17:47">
      <c r="S425" s="11" t="s">
        <v>5417</v>
      </c>
      <c r="T425" s="26">
        <v>8959643.8508579992</v>
      </c>
      <c r="V425" s="19" t="s">
        <v>5622</v>
      </c>
      <c r="W425" s="19">
        <v>94</v>
      </c>
      <c r="X425" s="37">
        <v>2337.1980119999998</v>
      </c>
      <c r="Y425" s="37">
        <f t="shared" si="64"/>
        <v>219696.613128</v>
      </c>
      <c r="Z425" s="206" t="s">
        <v>5059</v>
      </c>
      <c r="AA425" t="s">
        <v>25</v>
      </c>
      <c r="AB425" t="s">
        <v>25</v>
      </c>
      <c r="AJ425" s="20">
        <v>127</v>
      </c>
      <c r="AK425" s="20" t="s">
        <v>5202</v>
      </c>
      <c r="AL425" s="37">
        <v>50000</v>
      </c>
      <c r="AM425" s="20">
        <v>4</v>
      </c>
      <c r="AN425" s="20">
        <f t="shared" si="65"/>
        <v>435</v>
      </c>
      <c r="AO425" s="20">
        <f t="shared" si="66"/>
        <v>21750000</v>
      </c>
      <c r="AP425" s="20"/>
    </row>
    <row r="426" spans="17:47">
      <c r="S426" s="11" t="s">
        <v>5432</v>
      </c>
      <c r="T426" s="26">
        <v>15154095.839328</v>
      </c>
      <c r="V426" s="19" t="s">
        <v>5623</v>
      </c>
      <c r="W426" s="19">
        <v>2534</v>
      </c>
      <c r="X426" s="37">
        <v>2381.7965300000001</v>
      </c>
      <c r="Y426" s="37">
        <f t="shared" si="64"/>
        <v>6035472.4070199998</v>
      </c>
      <c r="Z426" s="206" t="s">
        <v>5059</v>
      </c>
      <c r="AJ426" s="20">
        <v>128</v>
      </c>
      <c r="AK426" s="20" t="s">
        <v>5204</v>
      </c>
      <c r="AL426" s="37">
        <v>100000</v>
      </c>
      <c r="AM426" s="20">
        <v>9</v>
      </c>
      <c r="AN426" s="20">
        <f t="shared" ref="AN426:AN436" si="67">AM426+AN427</f>
        <v>431</v>
      </c>
      <c r="AO426" s="20">
        <f t="shared" ref="AO426:AO436" si="68">AL426*AN426</f>
        <v>43100000</v>
      </c>
      <c r="AP426" s="20"/>
    </row>
    <row r="427" spans="17:47">
      <c r="S427" s="11" t="s">
        <v>5433</v>
      </c>
      <c r="T427" s="26">
        <v>50725508.571864001</v>
      </c>
      <c r="U427" t="s">
        <v>25</v>
      </c>
      <c r="V427" s="19" t="s">
        <v>5624</v>
      </c>
      <c r="W427" s="19">
        <v>424</v>
      </c>
      <c r="X427" s="37">
        <v>2321.9017680000002</v>
      </c>
      <c r="Y427" s="37">
        <f t="shared" si="64"/>
        <v>984486.34963200008</v>
      </c>
      <c r="Z427" s="206" t="s">
        <v>5059</v>
      </c>
      <c r="AB427" t="s">
        <v>25</v>
      </c>
      <c r="AJ427" s="20">
        <v>129</v>
      </c>
      <c r="AK427" s="20" t="s">
        <v>5220</v>
      </c>
      <c r="AL427" s="37">
        <v>-550000</v>
      </c>
      <c r="AM427" s="20">
        <v>5</v>
      </c>
      <c r="AN427" s="20">
        <f t="shared" si="67"/>
        <v>422</v>
      </c>
      <c r="AO427" s="20">
        <f t="shared" si="68"/>
        <v>-232100000</v>
      </c>
      <c r="AP427" s="20"/>
    </row>
    <row r="428" spans="17:47">
      <c r="S428" s="11" t="s">
        <v>5440</v>
      </c>
      <c r="T428" s="26">
        <v>2281961.458596</v>
      </c>
      <c r="V428" s="145" t="s">
        <v>5625</v>
      </c>
      <c r="W428" s="145">
        <v>-32</v>
      </c>
      <c r="X428" s="144">
        <v>2221.2123710000001</v>
      </c>
      <c r="Y428" s="144">
        <f t="shared" si="64"/>
        <v>-71078.795872000002</v>
      </c>
      <c r="Z428" s="205" t="s">
        <v>5628</v>
      </c>
      <c r="AJ428" s="20">
        <v>130</v>
      </c>
      <c r="AK428" s="20" t="s">
        <v>5225</v>
      </c>
      <c r="AL428" s="37">
        <v>-29686490</v>
      </c>
      <c r="AM428" s="20">
        <v>1</v>
      </c>
      <c r="AN428" s="20">
        <f t="shared" si="67"/>
        <v>417</v>
      </c>
      <c r="AO428" s="20">
        <f t="shared" si="68"/>
        <v>-12379266330</v>
      </c>
      <c r="AP428" s="20"/>
    </row>
    <row r="429" spans="17:47">
      <c r="S429" s="11" t="s">
        <v>5441</v>
      </c>
      <c r="T429" s="26">
        <v>10998285</v>
      </c>
      <c r="V429" s="19" t="s">
        <v>5625</v>
      </c>
      <c r="W429" s="19">
        <v>157</v>
      </c>
      <c r="X429" s="37">
        <v>2221.2123710000001</v>
      </c>
      <c r="Y429" s="37">
        <f t="shared" si="64"/>
        <v>348730.34224700002</v>
      </c>
      <c r="Z429" s="206" t="s">
        <v>5629</v>
      </c>
      <c r="AJ429" s="20">
        <v>131</v>
      </c>
      <c r="AK429" s="20" t="s">
        <v>5233</v>
      </c>
      <c r="AL429" s="37">
        <v>-9000000</v>
      </c>
      <c r="AM429" s="20">
        <v>8</v>
      </c>
      <c r="AN429" s="20">
        <f t="shared" si="67"/>
        <v>416</v>
      </c>
      <c r="AO429" s="20">
        <f t="shared" si="68"/>
        <v>-3744000000</v>
      </c>
      <c r="AP429" s="20"/>
    </row>
    <row r="430" spans="17:47">
      <c r="S430" s="11" t="s">
        <v>5443</v>
      </c>
      <c r="T430" s="26">
        <v>983018.96187300002</v>
      </c>
      <c r="V430" s="19" t="s">
        <v>5625</v>
      </c>
      <c r="W430" s="19">
        <v>965</v>
      </c>
      <c r="X430" s="37">
        <v>2221.2123710000001</v>
      </c>
      <c r="Y430" s="37">
        <f t="shared" si="64"/>
        <v>2143469.938015</v>
      </c>
      <c r="Z430" s="206" t="s">
        <v>5059</v>
      </c>
      <c r="AJ430" s="20">
        <v>132</v>
      </c>
      <c r="AK430" s="20" t="s">
        <v>5276</v>
      </c>
      <c r="AL430" s="37">
        <v>810000</v>
      </c>
      <c r="AM430" s="20">
        <v>2</v>
      </c>
      <c r="AN430" s="20">
        <f t="shared" si="67"/>
        <v>408</v>
      </c>
      <c r="AO430" s="20">
        <f t="shared" si="68"/>
        <v>330480000</v>
      </c>
      <c r="AP430" s="20"/>
    </row>
    <row r="431" spans="17:47">
      <c r="S431" s="11" t="s">
        <v>5446</v>
      </c>
      <c r="T431" s="26">
        <v>17049271.032000002</v>
      </c>
      <c r="V431" s="145" t="s">
        <v>5631</v>
      </c>
      <c r="W431" s="145">
        <v>596</v>
      </c>
      <c r="X431" s="144">
        <v>2180.6765719999999</v>
      </c>
      <c r="Y431" s="144">
        <f t="shared" si="64"/>
        <v>1299683.236912</v>
      </c>
      <c r="Z431" s="205" t="s">
        <v>1049</v>
      </c>
      <c r="AA431" t="s">
        <v>25</v>
      </c>
      <c r="AJ431" s="20">
        <v>133</v>
      </c>
      <c r="AK431" s="20" t="s">
        <v>5281</v>
      </c>
      <c r="AL431" s="37">
        <v>-5000000</v>
      </c>
      <c r="AM431" s="20">
        <v>3</v>
      </c>
      <c r="AN431" s="20">
        <f t="shared" si="67"/>
        <v>406</v>
      </c>
      <c r="AO431" s="20">
        <f t="shared" si="68"/>
        <v>-2030000000</v>
      </c>
      <c r="AP431" s="20"/>
    </row>
    <row r="432" spans="17:47">
      <c r="S432" s="11" t="s">
        <v>4185</v>
      </c>
      <c r="T432" s="26">
        <v>6829998</v>
      </c>
      <c r="U432" t="s">
        <v>25</v>
      </c>
      <c r="V432" s="19" t="s">
        <v>5635</v>
      </c>
      <c r="W432" s="19">
        <v>1355</v>
      </c>
      <c r="X432" s="37">
        <v>2277.0926330000002</v>
      </c>
      <c r="Y432" s="37">
        <f t="shared" si="64"/>
        <v>3085460.5177150001</v>
      </c>
      <c r="Z432" s="206" t="s">
        <v>5059</v>
      </c>
      <c r="AJ432" s="20">
        <v>134</v>
      </c>
      <c r="AK432" s="20" t="s">
        <v>5285</v>
      </c>
      <c r="AL432" s="37">
        <v>-26000000</v>
      </c>
      <c r="AM432" s="20">
        <v>0</v>
      </c>
      <c r="AN432" s="20">
        <f t="shared" si="67"/>
        <v>403</v>
      </c>
      <c r="AO432" s="20">
        <f t="shared" si="68"/>
        <v>-10478000000</v>
      </c>
      <c r="AP432" s="20"/>
    </row>
    <row r="433" spans="19:47">
      <c r="S433" s="11" t="s">
        <v>5463</v>
      </c>
      <c r="T433" s="26">
        <v>6982608.8207999999</v>
      </c>
      <c r="V433" s="19" t="s">
        <v>5636</v>
      </c>
      <c r="W433" s="19">
        <v>3742</v>
      </c>
      <c r="X433" s="37">
        <v>2207.7650429999999</v>
      </c>
      <c r="Y433" s="37">
        <f t="shared" si="64"/>
        <v>8261456.790906</v>
      </c>
      <c r="Z433" s="206" t="s">
        <v>5059</v>
      </c>
      <c r="AA433" t="s">
        <v>25</v>
      </c>
      <c r="AJ433" s="188">
        <v>135</v>
      </c>
      <c r="AK433" s="188" t="s">
        <v>5285</v>
      </c>
      <c r="AL433" s="182">
        <v>-26000000</v>
      </c>
      <c r="AM433" s="188">
        <v>1</v>
      </c>
      <c r="AN433" s="188">
        <f t="shared" si="67"/>
        <v>403</v>
      </c>
      <c r="AO433" s="188">
        <f t="shared" si="68"/>
        <v>-10478000000</v>
      </c>
      <c r="AP433" s="188"/>
    </row>
    <row r="434" spans="19:47">
      <c r="S434" s="11" t="s">
        <v>5469</v>
      </c>
      <c r="T434" s="26">
        <v>7510131.0216000006</v>
      </c>
      <c r="V434" s="19" t="s">
        <v>5637</v>
      </c>
      <c r="W434" s="19">
        <v>3216</v>
      </c>
      <c r="X434" s="37">
        <v>2043.648557</v>
      </c>
      <c r="Y434" s="37">
        <f t="shared" si="64"/>
        <v>6572373.7593120001</v>
      </c>
      <c r="Z434" s="206" t="s">
        <v>5059</v>
      </c>
      <c r="AJ434" s="20">
        <v>136</v>
      </c>
      <c r="AK434" s="20" t="s">
        <v>5289</v>
      </c>
      <c r="AL434" s="37">
        <v>-81800000</v>
      </c>
      <c r="AM434" s="20">
        <v>0</v>
      </c>
      <c r="AN434" s="20">
        <f t="shared" si="67"/>
        <v>402</v>
      </c>
      <c r="AO434" s="20">
        <f t="shared" si="68"/>
        <v>-32883600000</v>
      </c>
      <c r="AP434" s="20"/>
    </row>
    <row r="435" spans="19:47">
      <c r="S435" s="11" t="s">
        <v>5477</v>
      </c>
      <c r="T435" s="26">
        <v>7278025.5327000003</v>
      </c>
      <c r="V435" s="145" t="s">
        <v>5639</v>
      </c>
      <c r="W435" s="145">
        <v>42393</v>
      </c>
      <c r="X435" s="144">
        <v>2124.4852740000001</v>
      </c>
      <c r="Y435" s="144">
        <f t="shared" si="64"/>
        <v>90063304.22068201</v>
      </c>
      <c r="Z435" s="205" t="s">
        <v>5640</v>
      </c>
      <c r="AA435" t="s">
        <v>25</v>
      </c>
      <c r="AJ435" s="188">
        <v>137</v>
      </c>
      <c r="AK435" s="188" t="s">
        <v>5289</v>
      </c>
      <c r="AL435" s="182">
        <v>-110000000</v>
      </c>
      <c r="AM435" s="188">
        <v>1</v>
      </c>
      <c r="AN435" s="188">
        <f t="shared" si="67"/>
        <v>402</v>
      </c>
      <c r="AO435" s="188">
        <f t="shared" si="68"/>
        <v>-44220000000</v>
      </c>
      <c r="AP435" s="188"/>
      <c r="AS435" t="s">
        <v>25</v>
      </c>
    </row>
    <row r="436" spans="19:47">
      <c r="S436" s="11" t="s">
        <v>5481</v>
      </c>
      <c r="T436" s="26">
        <v>195059.35799999998</v>
      </c>
      <c r="V436" s="19" t="s">
        <v>5641</v>
      </c>
      <c r="W436" s="19">
        <v>1307</v>
      </c>
      <c r="X436" s="37">
        <v>2213.652313</v>
      </c>
      <c r="Y436" s="37">
        <f t="shared" si="64"/>
        <v>2893243.5730909999</v>
      </c>
      <c r="Z436" s="206" t="s">
        <v>5059</v>
      </c>
      <c r="AJ436" s="20">
        <v>138</v>
      </c>
      <c r="AK436" s="20" t="s">
        <v>5290</v>
      </c>
      <c r="AL436" s="37">
        <v>-34000000</v>
      </c>
      <c r="AM436" s="20">
        <v>0</v>
      </c>
      <c r="AN436" s="20">
        <f t="shared" si="67"/>
        <v>401</v>
      </c>
      <c r="AO436" s="20">
        <f t="shared" si="68"/>
        <v>-13634000000</v>
      </c>
      <c r="AP436" s="20"/>
    </row>
    <row r="437" spans="19:47">
      <c r="S437" s="11" t="s">
        <v>5483</v>
      </c>
      <c r="T437" s="26">
        <v>862577.83200000005</v>
      </c>
      <c r="V437" s="19" t="s">
        <v>5642</v>
      </c>
      <c r="W437" s="19">
        <v>44079</v>
      </c>
      <c r="X437" s="37">
        <v>2155.0411519999998</v>
      </c>
      <c r="Y437" s="37">
        <f t="shared" si="64"/>
        <v>94992058.939007998</v>
      </c>
      <c r="Z437" s="206" t="s">
        <v>5059</v>
      </c>
      <c r="AA437" t="s">
        <v>25</v>
      </c>
      <c r="AB437" t="s">
        <v>25</v>
      </c>
      <c r="AJ437" s="109">
        <v>139</v>
      </c>
      <c r="AK437" s="109" t="s">
        <v>5290</v>
      </c>
      <c r="AL437" s="144">
        <v>-23900000</v>
      </c>
      <c r="AM437" s="109">
        <v>5</v>
      </c>
      <c r="AN437" s="109">
        <f t="shared" ref="AN437:AN442" si="69">AM437+AN438</f>
        <v>401</v>
      </c>
      <c r="AO437" s="109">
        <f t="shared" ref="AO437:AO442" si="70">AL437*AN437</f>
        <v>-9583900000</v>
      </c>
      <c r="AP437" s="109"/>
    </row>
    <row r="438" spans="19:47">
      <c r="S438" s="11" t="s">
        <v>5484</v>
      </c>
      <c r="T438" s="26">
        <v>920308.446</v>
      </c>
      <c r="V438" s="19" t="s">
        <v>5645</v>
      </c>
      <c r="W438" s="19">
        <v>131</v>
      </c>
      <c r="X438" s="37">
        <v>2099.4040150000001</v>
      </c>
      <c r="Y438" s="37">
        <f t="shared" si="64"/>
        <v>275021.925965</v>
      </c>
      <c r="Z438" s="206" t="s">
        <v>5059</v>
      </c>
      <c r="AA438" t="s">
        <v>25</v>
      </c>
      <c r="AJ438" s="20">
        <v>140</v>
      </c>
      <c r="AK438" s="20" t="s">
        <v>5303</v>
      </c>
      <c r="AL438" s="37">
        <v>1000000</v>
      </c>
      <c r="AM438" s="20">
        <v>0</v>
      </c>
      <c r="AN438" s="20">
        <f t="shared" si="69"/>
        <v>396</v>
      </c>
      <c r="AO438" s="20">
        <f t="shared" si="70"/>
        <v>396000000</v>
      </c>
      <c r="AP438" s="20"/>
    </row>
    <row r="439" spans="19:47">
      <c r="S439" s="11" t="s">
        <v>5486</v>
      </c>
      <c r="T439" s="26">
        <v>4635809.8416840006</v>
      </c>
      <c r="V439" s="19" t="s">
        <v>5650</v>
      </c>
      <c r="W439" s="19">
        <v>162</v>
      </c>
      <c r="X439" s="37">
        <v>2021.3081500000001</v>
      </c>
      <c r="Y439" s="37">
        <f t="shared" si="64"/>
        <v>327451.9203</v>
      </c>
      <c r="Z439" s="206" t="s">
        <v>5059</v>
      </c>
      <c r="AB439" t="s">
        <v>25</v>
      </c>
      <c r="AJ439" s="109">
        <v>141</v>
      </c>
      <c r="AK439" s="109" t="s">
        <v>5303</v>
      </c>
      <c r="AL439" s="144">
        <v>1000000</v>
      </c>
      <c r="AM439" s="109">
        <v>4</v>
      </c>
      <c r="AN439" s="109">
        <f t="shared" si="69"/>
        <v>396</v>
      </c>
      <c r="AO439" s="109">
        <f t="shared" si="70"/>
        <v>396000000</v>
      </c>
      <c r="AP439" s="109"/>
      <c r="AU439" t="s">
        <v>25</v>
      </c>
    </row>
    <row r="440" spans="19:47">
      <c r="S440" s="11" t="s">
        <v>5513</v>
      </c>
      <c r="T440" s="26">
        <v>288892.40000000002</v>
      </c>
      <c r="V440" s="19" t="s">
        <v>5660</v>
      </c>
      <c r="W440" s="19">
        <v>131</v>
      </c>
      <c r="X440" s="37">
        <v>1985.358328</v>
      </c>
      <c r="Y440" s="37">
        <f t="shared" si="64"/>
        <v>260081.94096800001</v>
      </c>
      <c r="Z440" s="206" t="s">
        <v>5059</v>
      </c>
      <c r="AB440" t="s">
        <v>25</v>
      </c>
      <c r="AJ440" s="20">
        <v>142</v>
      </c>
      <c r="AK440" s="20" t="s">
        <v>5307</v>
      </c>
      <c r="AL440" s="37">
        <v>400000</v>
      </c>
      <c r="AM440" s="20">
        <v>0</v>
      </c>
      <c r="AN440" s="20">
        <f t="shared" si="69"/>
        <v>392</v>
      </c>
      <c r="AO440" s="20">
        <f t="shared" si="70"/>
        <v>156800000</v>
      </c>
      <c r="AP440" s="20"/>
    </row>
    <row r="441" spans="19:47">
      <c r="S441" s="11" t="s">
        <v>5514</v>
      </c>
      <c r="T441" s="26">
        <v>58508002.009000003</v>
      </c>
      <c r="V441" s="19" t="s">
        <v>5668</v>
      </c>
      <c r="W441" s="19">
        <v>1449</v>
      </c>
      <c r="X441" s="37">
        <v>2007.787806</v>
      </c>
      <c r="Y441" s="37">
        <f t="shared" si="64"/>
        <v>2909284.5308940001</v>
      </c>
      <c r="Z441" s="206" t="s">
        <v>5059</v>
      </c>
      <c r="AB441" t="s">
        <v>25</v>
      </c>
      <c r="AJ441" s="109">
        <v>143</v>
      </c>
      <c r="AK441" s="109" t="s">
        <v>5307</v>
      </c>
      <c r="AL441" s="144">
        <v>400000</v>
      </c>
      <c r="AM441" s="109">
        <v>35</v>
      </c>
      <c r="AN441" s="109">
        <f t="shared" si="69"/>
        <v>392</v>
      </c>
      <c r="AO441" s="109">
        <f t="shared" si="70"/>
        <v>156800000</v>
      </c>
      <c r="AP441" s="109"/>
    </row>
    <row r="442" spans="19:47">
      <c r="S442" s="11" t="s">
        <v>5516</v>
      </c>
      <c r="T442" s="26">
        <v>2245515.5410799999</v>
      </c>
      <c r="V442" s="19" t="s">
        <v>5669</v>
      </c>
      <c r="W442" s="19">
        <v>19028</v>
      </c>
      <c r="X442" s="37">
        <v>1982.5102529999999</v>
      </c>
      <c r="Y442" s="37">
        <f t="shared" si="64"/>
        <v>37723205.094084002</v>
      </c>
      <c r="Z442" s="206" t="s">
        <v>5059</v>
      </c>
      <c r="AA442" t="s">
        <v>25</v>
      </c>
      <c r="AB442" t="s">
        <v>25</v>
      </c>
      <c r="AJ442" s="20">
        <v>144</v>
      </c>
      <c r="AK442" s="20" t="s">
        <v>5341</v>
      </c>
      <c r="AL442" s="37">
        <v>3000000</v>
      </c>
      <c r="AM442" s="20">
        <v>0</v>
      </c>
      <c r="AN442" s="20">
        <f t="shared" si="69"/>
        <v>357</v>
      </c>
      <c r="AO442" s="20">
        <f t="shared" si="70"/>
        <v>1071000000</v>
      </c>
      <c r="AP442" s="20"/>
    </row>
    <row r="443" spans="19:47">
      <c r="S443" s="11" t="s">
        <v>5516</v>
      </c>
      <c r="T443" s="26">
        <v>18404699.3442</v>
      </c>
      <c r="V443" s="19" t="s">
        <v>5670</v>
      </c>
      <c r="W443" s="19">
        <v>848</v>
      </c>
      <c r="X443" s="37">
        <v>1768.97966</v>
      </c>
      <c r="Y443" s="37">
        <f t="shared" si="64"/>
        <v>1500094.75168</v>
      </c>
      <c r="Z443" s="206" t="s">
        <v>5059</v>
      </c>
      <c r="AJ443" s="109">
        <v>145</v>
      </c>
      <c r="AK443" s="109" t="s">
        <v>5341</v>
      </c>
      <c r="AL443" s="144">
        <v>2725000</v>
      </c>
      <c r="AM443" s="109">
        <v>19</v>
      </c>
      <c r="AN443" s="109">
        <f t="shared" ref="AN443:AN453" si="71">AM443+AN444</f>
        <v>357</v>
      </c>
      <c r="AO443" s="109">
        <f t="shared" ref="AO443:AO453" si="72">AL443*AN443</f>
        <v>972825000</v>
      </c>
      <c r="AP443" s="109"/>
    </row>
    <row r="444" spans="19:47">
      <c r="S444" s="11" t="s">
        <v>5519</v>
      </c>
      <c r="T444" s="26">
        <v>48684800</v>
      </c>
      <c r="V444" s="19" t="s">
        <v>5671</v>
      </c>
      <c r="W444" s="19">
        <v>3824</v>
      </c>
      <c r="X444" s="37">
        <v>1890.8547169999999</v>
      </c>
      <c r="Y444" s="37">
        <f t="shared" si="64"/>
        <v>7230628.4378079996</v>
      </c>
      <c r="Z444" s="206" t="s">
        <v>5059</v>
      </c>
      <c r="AJ444" s="109">
        <v>146</v>
      </c>
      <c r="AK444" s="109" t="s">
        <v>5242</v>
      </c>
      <c r="AL444" s="144">
        <v>-8644090</v>
      </c>
      <c r="AM444" s="109">
        <v>0</v>
      </c>
      <c r="AN444" s="109">
        <f t="shared" si="71"/>
        <v>338</v>
      </c>
      <c r="AO444" s="109">
        <f t="shared" si="72"/>
        <v>-2921702420</v>
      </c>
      <c r="AP444" s="109" t="s">
        <v>4690</v>
      </c>
      <c r="AT444" t="s">
        <v>25</v>
      </c>
    </row>
    <row r="445" spans="19:47">
      <c r="S445" s="11" t="s">
        <v>5521</v>
      </c>
      <c r="T445" s="26">
        <v>2264658.5922190002</v>
      </c>
      <c r="V445" s="19" t="s">
        <v>5673</v>
      </c>
      <c r="W445" s="19">
        <v>14010</v>
      </c>
      <c r="X445" s="37">
        <v>2124.7244390000001</v>
      </c>
      <c r="Y445" s="37">
        <f t="shared" si="64"/>
        <v>29767389.390390001</v>
      </c>
      <c r="Z445" s="206" t="s">
        <v>5059</v>
      </c>
      <c r="AJ445" s="20">
        <v>147</v>
      </c>
      <c r="AK445" s="20" t="s">
        <v>5242</v>
      </c>
      <c r="AL445" s="37">
        <v>-65461942</v>
      </c>
      <c r="AM445" s="20">
        <v>1</v>
      </c>
      <c r="AN445" s="20">
        <f t="shared" si="71"/>
        <v>338</v>
      </c>
      <c r="AO445" s="20">
        <f t="shared" si="72"/>
        <v>-22126136396</v>
      </c>
      <c r="AP445" s="20" t="s">
        <v>4690</v>
      </c>
    </row>
    <row r="446" spans="19:47">
      <c r="S446" s="11" t="s">
        <v>5524</v>
      </c>
      <c r="T446" s="26">
        <v>22877413.789960001</v>
      </c>
      <c r="V446" s="19" t="s">
        <v>5674</v>
      </c>
      <c r="W446" s="19">
        <v>73</v>
      </c>
      <c r="X446" s="37">
        <v>2076.1678900000002</v>
      </c>
      <c r="Y446" s="37">
        <f t="shared" si="64"/>
        <v>151560.25597</v>
      </c>
      <c r="Z446" s="206" t="s">
        <v>5059</v>
      </c>
      <c r="AC446" t="s">
        <v>25</v>
      </c>
      <c r="AJ446" s="20">
        <v>148</v>
      </c>
      <c r="AK446" s="20" t="s">
        <v>5363</v>
      </c>
      <c r="AL446" s="37">
        <v>35000000</v>
      </c>
      <c r="AM446" s="20">
        <v>15</v>
      </c>
      <c r="AN446" s="20">
        <f t="shared" si="71"/>
        <v>337</v>
      </c>
      <c r="AO446" s="20">
        <f t="shared" si="72"/>
        <v>11795000000</v>
      </c>
      <c r="AP446" s="20"/>
      <c r="AS446" t="s">
        <v>25</v>
      </c>
    </row>
    <row r="447" spans="19:47">
      <c r="S447" s="11" t="s">
        <v>5525</v>
      </c>
      <c r="T447" s="26">
        <v>2362539.4373280001</v>
      </c>
      <c r="V447" s="19" t="s">
        <v>5676</v>
      </c>
      <c r="W447" s="19">
        <v>236</v>
      </c>
      <c r="X447" s="37">
        <v>2039.4867830000001</v>
      </c>
      <c r="Y447" s="37">
        <f t="shared" si="64"/>
        <v>481318.88078800001</v>
      </c>
      <c r="Z447" s="206" t="s">
        <v>5059</v>
      </c>
      <c r="AJ447" s="109">
        <v>149</v>
      </c>
      <c r="AK447" s="109" t="s">
        <v>5380</v>
      </c>
      <c r="AL447" s="144">
        <v>1400000</v>
      </c>
      <c r="AM447" s="109">
        <v>0</v>
      </c>
      <c r="AN447" s="109">
        <f t="shared" si="71"/>
        <v>322</v>
      </c>
      <c r="AO447" s="109">
        <f t="shared" si="72"/>
        <v>450800000</v>
      </c>
      <c r="AP447" s="109"/>
    </row>
    <row r="448" spans="19:47">
      <c r="S448" s="11" t="s">
        <v>5526</v>
      </c>
      <c r="T448" s="26">
        <v>16042676.656608</v>
      </c>
      <c r="V448" s="19" t="s">
        <v>5678</v>
      </c>
      <c r="W448" s="19">
        <v>75</v>
      </c>
      <c r="X448" s="37">
        <v>1950.3675760000001</v>
      </c>
      <c r="Y448" s="37">
        <f t="shared" si="64"/>
        <v>146277.56820000001</v>
      </c>
      <c r="Z448" s="206" t="s">
        <v>5059</v>
      </c>
      <c r="AJ448" s="20">
        <v>150</v>
      </c>
      <c r="AK448" s="20" t="s">
        <v>5380</v>
      </c>
      <c r="AL448" s="37">
        <v>1600000</v>
      </c>
      <c r="AM448" s="20">
        <v>1</v>
      </c>
      <c r="AN448" s="20">
        <f t="shared" si="71"/>
        <v>322</v>
      </c>
      <c r="AO448" s="20">
        <f t="shared" si="72"/>
        <v>515200000</v>
      </c>
      <c r="AP448" s="20"/>
    </row>
    <row r="449" spans="19:46">
      <c r="S449" s="11" t="s">
        <v>5529</v>
      </c>
      <c r="T449" s="26">
        <v>18403291.448284</v>
      </c>
      <c r="V449" s="19" t="s">
        <v>5689</v>
      </c>
      <c r="W449" s="19">
        <v>232</v>
      </c>
      <c r="X449" s="37">
        <v>1830.5750069999999</v>
      </c>
      <c r="Y449" s="37">
        <f t="shared" si="64"/>
        <v>424693.40162399999</v>
      </c>
      <c r="Z449" s="206" t="s">
        <v>5059</v>
      </c>
      <c r="AA449" t="s">
        <v>25</v>
      </c>
      <c r="AJ449" s="109">
        <v>151</v>
      </c>
      <c r="AK449" s="109" t="s">
        <v>5383</v>
      </c>
      <c r="AL449" s="144">
        <v>600000</v>
      </c>
      <c r="AM449" s="109">
        <v>0</v>
      </c>
      <c r="AN449" s="109">
        <f t="shared" si="71"/>
        <v>321</v>
      </c>
      <c r="AO449" s="109">
        <f t="shared" si="72"/>
        <v>192600000</v>
      </c>
      <c r="AP449" s="109" t="s">
        <v>5385</v>
      </c>
      <c r="AT449" t="s">
        <v>25</v>
      </c>
    </row>
    <row r="450" spans="19:46">
      <c r="S450" s="11" t="s">
        <v>5530</v>
      </c>
      <c r="T450" s="26">
        <v>10561447.246918</v>
      </c>
      <c r="V450" s="19" t="s">
        <v>5692</v>
      </c>
      <c r="W450" s="19">
        <v>308</v>
      </c>
      <c r="X450" s="37">
        <v>1812.728578</v>
      </c>
      <c r="Y450" s="37">
        <f t="shared" si="64"/>
        <v>558320.40202399995</v>
      </c>
      <c r="Z450" s="206" t="s">
        <v>5059</v>
      </c>
      <c r="AA450" t="s">
        <v>25</v>
      </c>
      <c r="AJ450" s="20">
        <v>152</v>
      </c>
      <c r="AK450" s="20" t="s">
        <v>5383</v>
      </c>
      <c r="AL450" s="37">
        <v>600000</v>
      </c>
      <c r="AM450" s="20">
        <v>9</v>
      </c>
      <c r="AN450" s="20">
        <f t="shared" si="71"/>
        <v>321</v>
      </c>
      <c r="AO450" s="20">
        <f t="shared" si="72"/>
        <v>192600000</v>
      </c>
      <c r="AP450" s="20" t="s">
        <v>5385</v>
      </c>
    </row>
    <row r="451" spans="19:46">
      <c r="S451" s="11" t="s">
        <v>5531</v>
      </c>
      <c r="T451" s="26">
        <v>1226811.9176660001</v>
      </c>
      <c r="V451" s="19" t="s">
        <v>5694</v>
      </c>
      <c r="W451" s="19">
        <v>106</v>
      </c>
      <c r="X451" s="37">
        <v>1958.8888869</v>
      </c>
      <c r="Y451" s="37">
        <f t="shared" si="64"/>
        <v>207642.22201140001</v>
      </c>
      <c r="Z451" s="206" t="s">
        <v>5059</v>
      </c>
      <c r="AH451" t="s">
        <v>25</v>
      </c>
      <c r="AJ451" s="20">
        <v>153</v>
      </c>
      <c r="AK451" s="20" t="s">
        <v>5391</v>
      </c>
      <c r="AL451" s="37">
        <v>20000000</v>
      </c>
      <c r="AM451" s="20">
        <v>23</v>
      </c>
      <c r="AN451" s="20">
        <f t="shared" si="71"/>
        <v>312</v>
      </c>
      <c r="AO451" s="20">
        <f t="shared" si="72"/>
        <v>6240000000</v>
      </c>
      <c r="AP451" s="20" t="s">
        <v>5404</v>
      </c>
    </row>
    <row r="452" spans="19:46">
      <c r="S452" s="11" t="s">
        <v>5536</v>
      </c>
      <c r="T452" s="26">
        <v>39373959.190266006</v>
      </c>
      <c r="V452" s="19" t="s">
        <v>5716</v>
      </c>
      <c r="W452" s="19">
        <v>17050</v>
      </c>
      <c r="X452" s="37">
        <v>1984.311475</v>
      </c>
      <c r="Y452" s="37">
        <f t="shared" si="64"/>
        <v>33832510.64875</v>
      </c>
      <c r="Z452" s="206" t="s">
        <v>5718</v>
      </c>
      <c r="AA452" t="s">
        <v>25</v>
      </c>
      <c r="AC452" t="s">
        <v>25</v>
      </c>
      <c r="AJ452" s="20">
        <v>154</v>
      </c>
      <c r="AK452" s="20" t="s">
        <v>5424</v>
      </c>
      <c r="AL452" s="37">
        <v>-46183500</v>
      </c>
      <c r="AM452" s="20">
        <v>0</v>
      </c>
      <c r="AN452" s="20">
        <f t="shared" si="71"/>
        <v>289</v>
      </c>
      <c r="AO452" s="20">
        <f t="shared" si="72"/>
        <v>-13347031500</v>
      </c>
      <c r="AP452" s="20" t="s">
        <v>4811</v>
      </c>
    </row>
    <row r="453" spans="19:46">
      <c r="S453" s="11" t="s">
        <v>5537</v>
      </c>
      <c r="T453" s="26">
        <v>27703487.063980002</v>
      </c>
      <c r="V453" s="19" t="s">
        <v>5716</v>
      </c>
      <c r="W453" s="19">
        <v>17050</v>
      </c>
      <c r="X453" s="37">
        <v>1984.311475</v>
      </c>
      <c r="Y453" s="37">
        <f t="shared" si="64"/>
        <v>33832510.64875</v>
      </c>
      <c r="Z453" s="206" t="s">
        <v>5719</v>
      </c>
      <c r="AA453" t="s">
        <v>25</v>
      </c>
      <c r="AJ453" s="109">
        <v>155</v>
      </c>
      <c r="AK453" s="109" t="s">
        <v>5424</v>
      </c>
      <c r="AL453" s="144">
        <v>-1812800</v>
      </c>
      <c r="AM453" s="109">
        <v>2</v>
      </c>
      <c r="AN453" s="109">
        <f t="shared" si="71"/>
        <v>289</v>
      </c>
      <c r="AO453" s="109">
        <f t="shared" si="72"/>
        <v>-523899200</v>
      </c>
      <c r="AP453" s="109" t="s">
        <v>4811</v>
      </c>
    </row>
    <row r="454" spans="19:46">
      <c r="S454" s="11" t="s">
        <v>4158</v>
      </c>
      <c r="T454" s="26">
        <v>8738896.6890719999</v>
      </c>
      <c r="V454" s="19" t="s">
        <v>5721</v>
      </c>
      <c r="W454" s="19">
        <v>9659</v>
      </c>
      <c r="X454" s="37">
        <v>2073.8685089999999</v>
      </c>
      <c r="Y454" s="37">
        <f t="shared" si="64"/>
        <v>20031495.928431001</v>
      </c>
      <c r="Z454" s="206" t="s">
        <v>5722</v>
      </c>
      <c r="AA454" t="s">
        <v>25</v>
      </c>
      <c r="AJ454" s="20">
        <v>156</v>
      </c>
      <c r="AK454" s="20" t="s">
        <v>5428</v>
      </c>
      <c r="AL454" s="37">
        <v>90000</v>
      </c>
      <c r="AM454" s="20">
        <v>0</v>
      </c>
      <c r="AN454" s="20">
        <f t="shared" ref="AN454:AN468" si="73">AM454+AN455</f>
        <v>287</v>
      </c>
      <c r="AO454" s="20">
        <f t="shared" ref="AO454:AO468" si="74">AL454*AN454</f>
        <v>25830000</v>
      </c>
      <c r="AP454" s="20"/>
    </row>
    <row r="455" spans="19:46">
      <c r="S455" s="11" t="s">
        <v>5539</v>
      </c>
      <c r="T455" s="26">
        <v>348201.66738</v>
      </c>
      <c r="V455" s="19" t="s">
        <v>5725</v>
      </c>
      <c r="W455" s="19">
        <v>323</v>
      </c>
      <c r="X455" s="37">
        <v>1975.162028</v>
      </c>
      <c r="Y455" s="37">
        <f t="shared" si="64"/>
        <v>637977.33504399995</v>
      </c>
      <c r="Z455" s="206" t="s">
        <v>5059</v>
      </c>
      <c r="AJ455" s="109">
        <v>157</v>
      </c>
      <c r="AK455" s="109" t="s">
        <v>5428</v>
      </c>
      <c r="AL455" s="144">
        <v>60000</v>
      </c>
      <c r="AM455" s="109">
        <v>5</v>
      </c>
      <c r="AN455" s="109">
        <f t="shared" si="73"/>
        <v>287</v>
      </c>
      <c r="AO455" s="109">
        <f t="shared" si="74"/>
        <v>17220000</v>
      </c>
      <c r="AP455" s="109"/>
    </row>
    <row r="456" spans="19:46">
      <c r="S456" s="11" t="s">
        <v>5543</v>
      </c>
      <c r="T456" s="26">
        <v>4158090.8935679998</v>
      </c>
      <c r="V456" s="19" t="s">
        <v>5726</v>
      </c>
      <c r="W456" s="19">
        <v>238</v>
      </c>
      <c r="X456" s="37">
        <v>1960.303598</v>
      </c>
      <c r="Y456" s="37">
        <f t="shared" si="64"/>
        <v>466552.25632400002</v>
      </c>
      <c r="Z456" s="206" t="s">
        <v>5059</v>
      </c>
      <c r="AB456" t="s">
        <v>25</v>
      </c>
      <c r="AJ456" s="20">
        <v>158</v>
      </c>
      <c r="AK456" s="20" t="s">
        <v>5433</v>
      </c>
      <c r="AL456" s="37">
        <v>50000000</v>
      </c>
      <c r="AM456" s="20">
        <v>29</v>
      </c>
      <c r="AN456" s="20">
        <f t="shared" si="73"/>
        <v>282</v>
      </c>
      <c r="AO456" s="20">
        <f t="shared" si="74"/>
        <v>14100000000</v>
      </c>
      <c r="AP456" s="20" t="s">
        <v>5435</v>
      </c>
    </row>
    <row r="457" spans="19:46">
      <c r="S457" s="11" t="s">
        <v>5540</v>
      </c>
      <c r="T457" s="26">
        <v>110770524.97879399</v>
      </c>
      <c r="V457" s="19" t="s">
        <v>5727</v>
      </c>
      <c r="W457" s="19">
        <v>75</v>
      </c>
      <c r="X457" s="37">
        <v>1990.893174</v>
      </c>
      <c r="Y457" s="37">
        <f t="shared" si="64"/>
        <v>149316.98805000001</v>
      </c>
      <c r="Z457" s="206" t="s">
        <v>5728</v>
      </c>
      <c r="AB457" t="s">
        <v>25</v>
      </c>
      <c r="AJ457" s="20">
        <v>159</v>
      </c>
      <c r="AK457" s="20" t="s">
        <v>5486</v>
      </c>
      <c r="AL457" s="37">
        <v>100000</v>
      </c>
      <c r="AM457" s="20">
        <v>1</v>
      </c>
      <c r="AN457" s="20">
        <f t="shared" si="73"/>
        <v>253</v>
      </c>
      <c r="AO457" s="20">
        <f t="shared" si="74"/>
        <v>25300000</v>
      </c>
      <c r="AP457" s="20"/>
    </row>
    <row r="458" spans="19:46">
      <c r="S458" s="11" t="s">
        <v>5543</v>
      </c>
      <c r="T458" s="26">
        <v>17900000</v>
      </c>
      <c r="V458" s="19" t="s">
        <v>5727</v>
      </c>
      <c r="W458" s="19">
        <v>95</v>
      </c>
      <c r="X458" s="37">
        <v>1990.893174</v>
      </c>
      <c r="Y458" s="37">
        <f t="shared" si="64"/>
        <v>189134.85153000001</v>
      </c>
      <c r="Z458" s="206" t="s">
        <v>5059</v>
      </c>
      <c r="AB458" t="s">
        <v>25</v>
      </c>
      <c r="AJ458" s="109">
        <v>160</v>
      </c>
      <c r="AK458" s="109" t="s">
        <v>5476</v>
      </c>
      <c r="AL458" s="144">
        <v>150000</v>
      </c>
      <c r="AM458" s="109">
        <v>0</v>
      </c>
      <c r="AN458" s="109">
        <f t="shared" si="73"/>
        <v>252</v>
      </c>
      <c r="AO458" s="109">
        <f t="shared" si="74"/>
        <v>37800000</v>
      </c>
      <c r="AP458" s="109"/>
    </row>
    <row r="459" spans="19:46">
      <c r="S459" s="11" t="s">
        <v>5554</v>
      </c>
      <c r="T459" s="26">
        <v>12114824.927374</v>
      </c>
      <c r="V459" s="19" t="s">
        <v>5729</v>
      </c>
      <c r="W459" s="19">
        <v>284</v>
      </c>
      <c r="X459" s="37">
        <v>1989.045169</v>
      </c>
      <c r="Y459" s="37">
        <f t="shared" si="64"/>
        <v>564888.82799599995</v>
      </c>
      <c r="Z459" s="206" t="s">
        <v>5059</v>
      </c>
      <c r="AB459" t="s">
        <v>25</v>
      </c>
      <c r="AJ459" s="20">
        <v>161</v>
      </c>
      <c r="AK459" s="20" t="s">
        <v>5476</v>
      </c>
      <c r="AL459" s="37">
        <v>-683050</v>
      </c>
      <c r="AM459" s="20">
        <v>7</v>
      </c>
      <c r="AN459" s="20">
        <f t="shared" si="73"/>
        <v>252</v>
      </c>
      <c r="AO459" s="20">
        <f t="shared" si="74"/>
        <v>-172128600</v>
      </c>
      <c r="AP459" s="20" t="s">
        <v>5489</v>
      </c>
    </row>
    <row r="460" spans="19:46" ht="30">
      <c r="S460" s="11" t="s">
        <v>5557</v>
      </c>
      <c r="T460" s="26">
        <v>6684147.0064600008</v>
      </c>
      <c r="V460" s="145" t="s">
        <v>5732</v>
      </c>
      <c r="W460" s="145">
        <v>11034</v>
      </c>
      <c r="X460" s="144">
        <v>1960.6845390000001</v>
      </c>
      <c r="Y460" s="144">
        <f t="shared" si="64"/>
        <v>21634193.203326002</v>
      </c>
      <c r="Z460" s="205" t="s">
        <v>5735</v>
      </c>
      <c r="AB460" t="s">
        <v>25</v>
      </c>
      <c r="AJ460" s="109">
        <v>162</v>
      </c>
      <c r="AK460" s="109" t="s">
        <v>5497</v>
      </c>
      <c r="AL460" s="144">
        <v>200000</v>
      </c>
      <c r="AM460" s="109">
        <v>7</v>
      </c>
      <c r="AN460" s="109">
        <f t="shared" si="73"/>
        <v>245</v>
      </c>
      <c r="AO460" s="109">
        <f t="shared" si="74"/>
        <v>49000000</v>
      </c>
      <c r="AP460" s="109"/>
    </row>
    <row r="461" spans="19:46" ht="30">
      <c r="S461" s="11" t="s">
        <v>5559</v>
      </c>
      <c r="T461" s="26">
        <v>1826535.2307560001</v>
      </c>
      <c r="V461" s="19" t="s">
        <v>5732</v>
      </c>
      <c r="W461" s="19">
        <v>4469</v>
      </c>
      <c r="X461" s="37">
        <v>1960.6845390000001</v>
      </c>
      <c r="Y461" s="37">
        <f t="shared" si="64"/>
        <v>8762299.2047910001</v>
      </c>
      <c r="Z461" s="206" t="s">
        <v>5736</v>
      </c>
      <c r="AB461" t="s">
        <v>25</v>
      </c>
      <c r="AJ461" s="109">
        <v>163</v>
      </c>
      <c r="AK461" s="109" t="s">
        <v>5502</v>
      </c>
      <c r="AL461" s="144">
        <v>150000</v>
      </c>
      <c r="AM461" s="109">
        <v>5</v>
      </c>
      <c r="AN461" s="109">
        <f t="shared" si="73"/>
        <v>238</v>
      </c>
      <c r="AO461" s="109">
        <f t="shared" si="74"/>
        <v>35700000</v>
      </c>
      <c r="AP461" s="109"/>
    </row>
    <row r="462" spans="19:46">
      <c r="S462" s="11" t="s">
        <v>5560</v>
      </c>
      <c r="T462" s="26">
        <v>3577366.94</v>
      </c>
      <c r="V462" s="19" t="s">
        <v>5732</v>
      </c>
      <c r="W462" s="19">
        <v>-174834</v>
      </c>
      <c r="X462" s="37">
        <v>1955.271154</v>
      </c>
      <c r="Y462" s="37">
        <f t="shared" si="64"/>
        <v>-341847876.93843603</v>
      </c>
      <c r="Z462" s="206" t="s">
        <v>5737</v>
      </c>
      <c r="AJ462" s="20">
        <v>164</v>
      </c>
      <c r="AK462" s="20" t="s">
        <v>5505</v>
      </c>
      <c r="AL462" s="37">
        <v>320000</v>
      </c>
      <c r="AM462" s="20">
        <v>2</v>
      </c>
      <c r="AN462" s="20">
        <f t="shared" si="73"/>
        <v>233</v>
      </c>
      <c r="AO462" s="20">
        <f t="shared" si="74"/>
        <v>74560000</v>
      </c>
      <c r="AP462" s="20"/>
    </row>
    <row r="463" spans="19:46">
      <c r="S463" s="11" t="s">
        <v>5562</v>
      </c>
      <c r="T463" s="26">
        <v>21239029.173567999</v>
      </c>
      <c r="V463" s="19" t="s">
        <v>5732</v>
      </c>
      <c r="W463" s="19">
        <v>-78942</v>
      </c>
      <c r="X463" s="37">
        <v>1955.271154</v>
      </c>
      <c r="Y463" s="37">
        <f t="shared" si="64"/>
        <v>-154353015.43906799</v>
      </c>
      <c r="Z463" s="206" t="s">
        <v>5738</v>
      </c>
      <c r="AB463" t="s">
        <v>25</v>
      </c>
      <c r="AJ463" s="20">
        <v>165</v>
      </c>
      <c r="AK463" s="20" t="s">
        <v>5506</v>
      </c>
      <c r="AL463" s="37">
        <v>200000</v>
      </c>
      <c r="AM463" s="20">
        <v>29</v>
      </c>
      <c r="AN463" s="20">
        <f t="shared" si="73"/>
        <v>231</v>
      </c>
      <c r="AO463" s="20">
        <f t="shared" si="74"/>
        <v>46200000</v>
      </c>
      <c r="AP463" s="20"/>
    </row>
    <row r="464" spans="19:46">
      <c r="S464" s="11" t="s">
        <v>5567</v>
      </c>
      <c r="T464" s="26">
        <v>242957252.40163299</v>
      </c>
      <c r="V464" s="145" t="s">
        <v>5732</v>
      </c>
      <c r="W464" s="145">
        <v>-11518</v>
      </c>
      <c r="X464" s="144">
        <v>1955.271154</v>
      </c>
      <c r="Y464" s="144">
        <f t="shared" si="64"/>
        <v>-22520813.151772</v>
      </c>
      <c r="Z464" s="205" t="s">
        <v>5739</v>
      </c>
      <c r="AC464" t="s">
        <v>25</v>
      </c>
      <c r="AJ464" s="20">
        <v>166</v>
      </c>
      <c r="AK464" s="20" t="s">
        <v>5540</v>
      </c>
      <c r="AL464" s="37">
        <v>4200000</v>
      </c>
      <c r="AM464" s="20">
        <v>0</v>
      </c>
      <c r="AN464" s="20">
        <f t="shared" si="73"/>
        <v>202</v>
      </c>
      <c r="AO464" s="20">
        <f t="shared" si="74"/>
        <v>848400000</v>
      </c>
      <c r="AP464" s="20"/>
      <c r="AT464" t="s">
        <v>25</v>
      </c>
    </row>
    <row r="465" spans="19:47">
      <c r="S465" s="11" t="s">
        <v>5568</v>
      </c>
      <c r="T465" s="26">
        <v>7357181.2750800001</v>
      </c>
      <c r="V465" s="19" t="s">
        <v>5750</v>
      </c>
      <c r="W465" s="19">
        <v>8622</v>
      </c>
      <c r="X465" s="37">
        <v>1930.4022150000001</v>
      </c>
      <c r="Y465" s="37">
        <f t="shared" si="64"/>
        <v>16643927.89773</v>
      </c>
      <c r="Z465" s="206" t="s">
        <v>723</v>
      </c>
      <c r="AB465" t="s">
        <v>25</v>
      </c>
      <c r="AJ465" s="109">
        <v>167</v>
      </c>
      <c r="AK465" s="109" t="s">
        <v>5540</v>
      </c>
      <c r="AL465" s="144">
        <v>3300000</v>
      </c>
      <c r="AM465" s="109">
        <v>11</v>
      </c>
      <c r="AN465" s="109">
        <f t="shared" si="73"/>
        <v>202</v>
      </c>
      <c r="AO465" s="109">
        <f t="shared" si="74"/>
        <v>666600000</v>
      </c>
      <c r="AP465" s="109"/>
      <c r="AT465" t="s">
        <v>25</v>
      </c>
    </row>
    <row r="466" spans="19:47">
      <c r="S466" s="11" t="s">
        <v>5570</v>
      </c>
      <c r="T466" s="26">
        <v>14951411.942400001</v>
      </c>
      <c r="V466" s="19" t="s">
        <v>5751</v>
      </c>
      <c r="W466" s="19">
        <v>17384</v>
      </c>
      <c r="X466" s="37">
        <v>1918.745255</v>
      </c>
      <c r="Y466" s="37">
        <f t="shared" si="64"/>
        <v>33355467.51292</v>
      </c>
      <c r="Z466" s="206" t="s">
        <v>723</v>
      </c>
      <c r="AA466" t="s">
        <v>25</v>
      </c>
      <c r="AB466" t="s">
        <v>25</v>
      </c>
      <c r="AJ466" s="109">
        <v>168</v>
      </c>
      <c r="AK466" s="109" t="s">
        <v>5560</v>
      </c>
      <c r="AL466" s="144">
        <v>-1500000</v>
      </c>
      <c r="AM466" s="109">
        <v>42</v>
      </c>
      <c r="AN466" s="109">
        <f t="shared" si="73"/>
        <v>191</v>
      </c>
      <c r="AO466" s="109">
        <f t="shared" si="74"/>
        <v>-286500000</v>
      </c>
      <c r="AP466" s="109"/>
    </row>
    <row r="467" spans="19:47">
      <c r="S467" s="11" t="s">
        <v>5571</v>
      </c>
      <c r="T467" s="26">
        <v>47928209.377011999</v>
      </c>
      <c r="V467" s="19" t="s">
        <v>5754</v>
      </c>
      <c r="W467" s="19">
        <v>133</v>
      </c>
      <c r="X467" s="37">
        <v>1954.8389770000001</v>
      </c>
      <c r="Y467" s="37">
        <f t="shared" si="64"/>
        <v>259993.58394100002</v>
      </c>
      <c r="Z467" s="206" t="s">
        <v>5059</v>
      </c>
      <c r="AC467" t="s">
        <v>25</v>
      </c>
      <c r="AJ467" s="20">
        <v>169</v>
      </c>
      <c r="AK467" s="20" t="s">
        <v>5591</v>
      </c>
      <c r="AL467" s="37">
        <v>260000</v>
      </c>
      <c r="AM467" s="20">
        <v>22</v>
      </c>
      <c r="AN467" s="20">
        <f t="shared" si="73"/>
        <v>149</v>
      </c>
      <c r="AO467" s="20">
        <f t="shared" si="74"/>
        <v>38740000</v>
      </c>
      <c r="AP467" s="20"/>
      <c r="AU467" t="s">
        <v>25</v>
      </c>
    </row>
    <row r="468" spans="19:47">
      <c r="S468" s="11" t="s">
        <v>5572</v>
      </c>
      <c r="T468" s="26">
        <v>2281595.69937</v>
      </c>
      <c r="V468" s="19" t="s">
        <v>5755</v>
      </c>
      <c r="W468" s="19">
        <v>140</v>
      </c>
      <c r="X468" s="37">
        <v>1928.2522289999999</v>
      </c>
      <c r="Y468" s="37">
        <f t="shared" si="64"/>
        <v>269955.31205999997</v>
      </c>
      <c r="Z468" s="206" t="s">
        <v>5059</v>
      </c>
      <c r="AA468" t="s">
        <v>25</v>
      </c>
      <c r="AJ468" s="20">
        <v>170</v>
      </c>
      <c r="AK468" s="20" t="s">
        <v>5618</v>
      </c>
      <c r="AL468" s="37">
        <v>20000</v>
      </c>
      <c r="AM468" s="20">
        <v>0</v>
      </c>
      <c r="AN468" s="20">
        <f t="shared" si="73"/>
        <v>127</v>
      </c>
      <c r="AO468" s="20">
        <f t="shared" si="74"/>
        <v>2540000</v>
      </c>
      <c r="AP468" s="20"/>
    </row>
    <row r="469" spans="19:47">
      <c r="S469" s="11" t="s">
        <v>5573</v>
      </c>
      <c r="T469" s="26">
        <v>2964916.035069</v>
      </c>
      <c r="V469" s="19" t="s">
        <v>6101</v>
      </c>
      <c r="W469" s="19">
        <v>15839</v>
      </c>
      <c r="X469" s="37">
        <v>1893.9957079999999</v>
      </c>
      <c r="Y469" s="37">
        <f t="shared" si="64"/>
        <v>29998998.019012</v>
      </c>
      <c r="Z469" s="206" t="s">
        <v>6100</v>
      </c>
      <c r="AB469" t="s">
        <v>25</v>
      </c>
      <c r="AC469" t="s">
        <v>25</v>
      </c>
      <c r="AJ469" s="148">
        <v>171</v>
      </c>
      <c r="AK469" s="148" t="s">
        <v>5618</v>
      </c>
      <c r="AL469" s="149">
        <v>20000</v>
      </c>
      <c r="AM469" s="148">
        <v>7</v>
      </c>
      <c r="AN469" s="109">
        <f t="shared" ref="AN469:AN477" si="75">AM469+AN470</f>
        <v>127</v>
      </c>
      <c r="AO469" s="109">
        <f>AL469*AN469</f>
        <v>2540000</v>
      </c>
      <c r="AP469" s="148"/>
    </row>
    <row r="470" spans="19:47">
      <c r="S470" s="11" t="s">
        <v>5574</v>
      </c>
      <c r="T470" s="26">
        <v>6460549.4269619994</v>
      </c>
      <c r="V470" s="19" t="s">
        <v>6102</v>
      </c>
      <c r="W470" s="19">
        <v>26601</v>
      </c>
      <c r="X470" s="37">
        <v>1880.082026</v>
      </c>
      <c r="Y470" s="37">
        <f t="shared" si="64"/>
        <v>50012061.973626003</v>
      </c>
      <c r="Z470" s="206" t="s">
        <v>5297</v>
      </c>
      <c r="AJ470" s="109">
        <v>172</v>
      </c>
      <c r="AK470" s="109" t="s">
        <v>5625</v>
      </c>
      <c r="AL470" s="144">
        <v>70000</v>
      </c>
      <c r="AM470" s="109">
        <v>0</v>
      </c>
      <c r="AN470" s="109">
        <f t="shared" si="75"/>
        <v>120</v>
      </c>
      <c r="AO470" s="109">
        <f>AL470*AN470</f>
        <v>8400000</v>
      </c>
      <c r="AP470" s="109"/>
    </row>
    <row r="471" spans="19:47">
      <c r="S471" s="11" t="s">
        <v>5576</v>
      </c>
      <c r="T471" s="26">
        <v>5212319.8968359996</v>
      </c>
      <c r="V471" s="145" t="s">
        <v>6102</v>
      </c>
      <c r="W471" s="145">
        <v>10637</v>
      </c>
      <c r="X471" s="144">
        <v>1880.082026</v>
      </c>
      <c r="Y471" s="144">
        <f t="shared" si="64"/>
        <v>19998432.510561999</v>
      </c>
      <c r="Z471" s="205" t="s">
        <v>6103</v>
      </c>
      <c r="AA471" t="s">
        <v>25</v>
      </c>
      <c r="AJ471" s="20">
        <v>173</v>
      </c>
      <c r="AK471" s="20" t="s">
        <v>5625</v>
      </c>
      <c r="AL471" s="37">
        <v>70000</v>
      </c>
      <c r="AM471" s="20">
        <v>1</v>
      </c>
      <c r="AN471" s="20">
        <f t="shared" si="75"/>
        <v>120</v>
      </c>
      <c r="AO471" s="20">
        <f>AL471*AN471</f>
        <v>8400000</v>
      </c>
      <c r="AP471" s="20"/>
    </row>
    <row r="472" spans="19:47">
      <c r="S472" s="11" t="s">
        <v>5577</v>
      </c>
      <c r="T472" s="26">
        <v>4524496.4792809999</v>
      </c>
      <c r="V472" s="19" t="s">
        <v>6107</v>
      </c>
      <c r="W472" s="19">
        <v>306</v>
      </c>
      <c r="X472" s="37">
        <v>1831.8117119999999</v>
      </c>
      <c r="Y472" s="37">
        <f t="shared" si="64"/>
        <v>560534.38387200003</v>
      </c>
      <c r="Z472" s="206" t="s">
        <v>5059</v>
      </c>
      <c r="AA472" t="s">
        <v>25</v>
      </c>
      <c r="AJ472" s="20">
        <v>174</v>
      </c>
      <c r="AK472" s="20" t="s">
        <v>5631</v>
      </c>
      <c r="AL472" s="37">
        <v>330000</v>
      </c>
      <c r="AM472" s="20">
        <v>0</v>
      </c>
      <c r="AN472" s="20">
        <f t="shared" si="75"/>
        <v>119</v>
      </c>
      <c r="AO472" s="20">
        <f>AL472*AN472</f>
        <v>39270000</v>
      </c>
      <c r="AP472" s="20"/>
    </row>
    <row r="473" spans="19:47">
      <c r="S473" s="11" t="s">
        <v>5578</v>
      </c>
      <c r="T473" s="26">
        <v>22866040.240959998</v>
      </c>
      <c r="V473" s="19" t="s">
        <v>6109</v>
      </c>
      <c r="W473" s="19">
        <v>325</v>
      </c>
      <c r="X473" s="37">
        <v>1789.1845169999999</v>
      </c>
      <c r="Y473" s="37">
        <f t="shared" si="64"/>
        <v>581484.96802499995</v>
      </c>
      <c r="Z473" s="206" t="s">
        <v>5059</v>
      </c>
      <c r="AB473" t="s">
        <v>25</v>
      </c>
      <c r="AJ473" s="109">
        <v>175</v>
      </c>
      <c r="AK473" s="109" t="s">
        <v>5631</v>
      </c>
      <c r="AL473" s="144">
        <v>330000</v>
      </c>
      <c r="AM473" s="109">
        <v>10</v>
      </c>
      <c r="AN473" s="109">
        <f t="shared" si="75"/>
        <v>119</v>
      </c>
      <c r="AO473" s="109">
        <f t="shared" ref="AO473:AO478" si="76">AL473*AN473</f>
        <v>39270000</v>
      </c>
      <c r="AP473" s="109"/>
    </row>
    <row r="474" spans="19:47">
      <c r="S474" s="11" t="s">
        <v>5580</v>
      </c>
      <c r="T474" s="26">
        <v>15359304.269892</v>
      </c>
      <c r="V474" s="19" t="s">
        <v>6111</v>
      </c>
      <c r="W474" s="19">
        <v>1154</v>
      </c>
      <c r="X474" s="37">
        <v>1851.788857</v>
      </c>
      <c r="Y474" s="37">
        <f t="shared" si="64"/>
        <v>2136964.3409779998</v>
      </c>
      <c r="Z474" s="206" t="s">
        <v>5059</v>
      </c>
      <c r="AB474" t="s">
        <v>25</v>
      </c>
      <c r="AJ474" s="109">
        <v>176</v>
      </c>
      <c r="AK474" s="109" t="s">
        <v>5639</v>
      </c>
      <c r="AL474" s="144">
        <v>90000000</v>
      </c>
      <c r="AM474" s="109">
        <v>16</v>
      </c>
      <c r="AN474" s="109">
        <f t="shared" si="75"/>
        <v>109</v>
      </c>
      <c r="AO474" s="109">
        <f t="shared" si="76"/>
        <v>9810000000</v>
      </c>
      <c r="AP474" s="109"/>
    </row>
    <row r="475" spans="19:47" ht="30">
      <c r="S475" s="11" t="s">
        <v>5581</v>
      </c>
      <c r="T475" s="26">
        <v>2868508.1846330003</v>
      </c>
      <c r="V475" s="19" t="s">
        <v>6111</v>
      </c>
      <c r="W475" s="19">
        <v>3240</v>
      </c>
      <c r="X475" s="37">
        <v>1851.788857</v>
      </c>
      <c r="Y475" s="37">
        <f t="shared" si="64"/>
        <v>5999795.8966800002</v>
      </c>
      <c r="Z475" s="206" t="s">
        <v>6112</v>
      </c>
      <c r="AC475" t="s">
        <v>25</v>
      </c>
      <c r="AJ475" s="109">
        <v>177</v>
      </c>
      <c r="AK475" s="109" t="s">
        <v>5658</v>
      </c>
      <c r="AL475" s="144">
        <v>-15000000</v>
      </c>
      <c r="AM475" s="109">
        <v>65</v>
      </c>
      <c r="AN475" s="109">
        <f t="shared" si="75"/>
        <v>93</v>
      </c>
      <c r="AO475" s="109">
        <f t="shared" si="76"/>
        <v>-1395000000</v>
      </c>
      <c r="AP475" s="109" t="s">
        <v>5659</v>
      </c>
    </row>
    <row r="476" spans="19:47">
      <c r="S476" s="11" t="s">
        <v>5582</v>
      </c>
      <c r="T476" s="26">
        <v>17450393.011856001</v>
      </c>
      <c r="V476" s="19" t="s">
        <v>6111</v>
      </c>
      <c r="W476" s="19">
        <v>-3240</v>
      </c>
      <c r="X476" s="37">
        <v>1851.788857</v>
      </c>
      <c r="Y476" s="37">
        <f t="shared" si="64"/>
        <v>-5999795.8966800002</v>
      </c>
      <c r="Z476" s="206" t="s">
        <v>6113</v>
      </c>
      <c r="AB476" t="s">
        <v>25</v>
      </c>
      <c r="AJ476" s="109">
        <v>178</v>
      </c>
      <c r="AK476" s="109" t="s">
        <v>5716</v>
      </c>
      <c r="AL476" s="144">
        <v>33833075</v>
      </c>
      <c r="AM476" s="109">
        <v>0</v>
      </c>
      <c r="AN476" s="109">
        <f t="shared" si="75"/>
        <v>28</v>
      </c>
      <c r="AO476" s="109">
        <f t="shared" si="76"/>
        <v>947326100</v>
      </c>
      <c r="AP476" s="109" t="s">
        <v>5720</v>
      </c>
    </row>
    <row r="477" spans="19:47">
      <c r="S477" s="11" t="s">
        <v>5583</v>
      </c>
      <c r="T477" s="26">
        <v>31388943.254850004</v>
      </c>
      <c r="V477" s="19" t="s">
        <v>6114</v>
      </c>
      <c r="W477" s="19">
        <v>330</v>
      </c>
      <c r="X477" s="37">
        <v>1799.34311</v>
      </c>
      <c r="Y477" s="37">
        <f t="shared" si="64"/>
        <v>593783.22629999998</v>
      </c>
      <c r="Z477" s="206" t="s">
        <v>5059</v>
      </c>
      <c r="AC477" t="s">
        <v>25</v>
      </c>
      <c r="AJ477" s="20">
        <v>197</v>
      </c>
      <c r="AK477" s="20" t="s">
        <v>5716</v>
      </c>
      <c r="AL477" s="37">
        <v>20033075</v>
      </c>
      <c r="AM477" s="20">
        <v>28</v>
      </c>
      <c r="AN477" s="20">
        <f t="shared" si="75"/>
        <v>28</v>
      </c>
      <c r="AO477" s="20">
        <f t="shared" si="76"/>
        <v>560926100</v>
      </c>
      <c r="AP477" s="20" t="s">
        <v>5720</v>
      </c>
    </row>
    <row r="478" spans="19:47">
      <c r="S478" s="11" t="s">
        <v>5585</v>
      </c>
      <c r="T478" s="26">
        <v>30912095.373174001</v>
      </c>
      <c r="V478" s="19" t="s">
        <v>6118</v>
      </c>
      <c r="W478" s="19">
        <v>266</v>
      </c>
      <c r="X478" s="37">
        <v>1764.9246700000001</v>
      </c>
      <c r="Y478" s="37">
        <f t="shared" si="64"/>
        <v>469469.96222000004</v>
      </c>
      <c r="Z478" s="206" t="s">
        <v>5059</v>
      </c>
      <c r="AA478" t="s">
        <v>25</v>
      </c>
      <c r="AJ478" s="109">
        <v>198</v>
      </c>
      <c r="AK478" s="109" t="s">
        <v>5732</v>
      </c>
      <c r="AL478" s="144">
        <v>-22520813.151772</v>
      </c>
      <c r="AM478" s="109">
        <v>0</v>
      </c>
      <c r="AN478" s="109">
        <f>AM478+AN509</f>
        <v>0</v>
      </c>
      <c r="AO478" s="109">
        <f t="shared" si="76"/>
        <v>0</v>
      </c>
      <c r="AP478" s="109" t="s">
        <v>5739</v>
      </c>
      <c r="AU478" t="s">
        <v>25</v>
      </c>
    </row>
    <row r="479" spans="19:47">
      <c r="S479" s="11" t="s">
        <v>5586</v>
      </c>
      <c r="T479" s="26">
        <v>19602926.115093999</v>
      </c>
      <c r="V479" s="145" t="s">
        <v>6122</v>
      </c>
      <c r="W479" s="145">
        <v>-10637</v>
      </c>
      <c r="X479" s="144">
        <v>1739.5916549999999</v>
      </c>
      <c r="Y479" s="144">
        <f t="shared" si="64"/>
        <v>-18504036.434234999</v>
      </c>
      <c r="Z479" s="205" t="s">
        <v>6125</v>
      </c>
      <c r="AA479" t="s">
        <v>25</v>
      </c>
      <c r="AC479" t="s">
        <v>25</v>
      </c>
      <c r="AJ479" s="20">
        <v>199</v>
      </c>
      <c r="AK479" s="20" t="s">
        <v>5732</v>
      </c>
      <c r="AL479" s="37">
        <v>-204353015</v>
      </c>
      <c r="AM479" s="20">
        <v>0</v>
      </c>
      <c r="AN479" s="20">
        <f>AM479+AN480</f>
        <v>437</v>
      </c>
      <c r="AO479" s="20">
        <f>AL479*AN479</f>
        <v>-89302267555</v>
      </c>
      <c r="AP479" s="20" t="s">
        <v>5740</v>
      </c>
    </row>
    <row r="480" spans="19:47">
      <c r="S480" s="11" t="s">
        <v>5587</v>
      </c>
      <c r="T480" s="26">
        <v>34458590.308710001</v>
      </c>
      <c r="V480" s="19" t="s">
        <v>6122</v>
      </c>
      <c r="W480" s="19">
        <v>10637</v>
      </c>
      <c r="X480" s="37">
        <v>1739.5916549999999</v>
      </c>
      <c r="Y480" s="37">
        <f t="shared" si="64"/>
        <v>18504036.434234999</v>
      </c>
      <c r="Z480" s="206" t="s">
        <v>6126</v>
      </c>
      <c r="AC480" t="s">
        <v>25</v>
      </c>
      <c r="AJ480" s="20">
        <v>200</v>
      </c>
      <c r="AK480" s="20" t="s">
        <v>5732</v>
      </c>
      <c r="AL480" s="37">
        <v>50000000</v>
      </c>
      <c r="AM480" s="20">
        <v>1</v>
      </c>
      <c r="AN480" s="20">
        <f>AM480+AN481</f>
        <v>437</v>
      </c>
      <c r="AO480" s="20">
        <f>AL480*AN480</f>
        <v>21850000000</v>
      </c>
      <c r="AP480" s="20" t="s">
        <v>5741</v>
      </c>
    </row>
    <row r="481" spans="19:48" ht="30">
      <c r="S481" s="11" t="s">
        <v>5588</v>
      </c>
      <c r="T481" s="26">
        <v>21697868.203256</v>
      </c>
      <c r="V481" s="19" t="s">
        <v>6148</v>
      </c>
      <c r="W481" s="19">
        <v>39478</v>
      </c>
      <c r="X481" s="37">
        <v>1873.903047</v>
      </c>
      <c r="Y481" s="37">
        <f t="shared" si="64"/>
        <v>73977944.489465997</v>
      </c>
      <c r="Z481" s="206" t="s">
        <v>6149</v>
      </c>
      <c r="AJ481" s="20">
        <v>201</v>
      </c>
      <c r="AK481" s="20" t="s">
        <v>5747</v>
      </c>
      <c r="AL481" s="37">
        <v>50000000</v>
      </c>
      <c r="AM481" s="20">
        <v>8</v>
      </c>
      <c r="AN481" s="20">
        <f>AM481+AN482</f>
        <v>436</v>
      </c>
      <c r="AO481" s="20">
        <f>AL481*AN481</f>
        <v>21800000000</v>
      </c>
      <c r="AP481" s="20" t="s">
        <v>5741</v>
      </c>
    </row>
    <row r="482" spans="19:48">
      <c r="S482" s="11" t="s">
        <v>5589</v>
      </c>
      <c r="T482" s="26">
        <v>25340079.252110001</v>
      </c>
      <c r="V482" s="19" t="s">
        <v>6152</v>
      </c>
      <c r="W482" s="19">
        <v>283</v>
      </c>
      <c r="X482" s="37">
        <v>2014.7222959999999</v>
      </c>
      <c r="Y482" s="37">
        <f t="shared" si="64"/>
        <v>570166.40976800001</v>
      </c>
      <c r="Z482" s="206" t="s">
        <v>6153</v>
      </c>
      <c r="AA482" t="s">
        <v>25</v>
      </c>
      <c r="AC482" t="s">
        <v>25</v>
      </c>
      <c r="AJ482" s="20">
        <v>202</v>
      </c>
      <c r="AK482" s="20" t="s">
        <v>6099</v>
      </c>
      <c r="AL482" s="37">
        <v>30000000</v>
      </c>
      <c r="AM482" s="20">
        <v>2</v>
      </c>
      <c r="AN482" s="20">
        <f>AM482+AN483</f>
        <v>428</v>
      </c>
      <c r="AO482" s="20">
        <f>AL482*AN482</f>
        <v>12840000000</v>
      </c>
      <c r="AP482" s="20" t="s">
        <v>6100</v>
      </c>
    </row>
    <row r="483" spans="19:48">
      <c r="S483" s="11" t="s">
        <v>5591</v>
      </c>
      <c r="T483" s="26">
        <v>14780983.183526</v>
      </c>
      <c r="V483" s="19" t="s">
        <v>6155</v>
      </c>
      <c r="W483" s="19">
        <v>1704</v>
      </c>
      <c r="X483" s="37">
        <v>2104.0605820000001</v>
      </c>
      <c r="Y483" s="37">
        <f t="shared" si="64"/>
        <v>3585319.2317280001</v>
      </c>
      <c r="Z483" s="206" t="s">
        <v>5059</v>
      </c>
      <c r="AB483" t="s">
        <v>25</v>
      </c>
      <c r="AC483" t="s">
        <v>25</v>
      </c>
      <c r="AJ483" s="109">
        <v>203</v>
      </c>
      <c r="AK483" s="109" t="s">
        <v>6102</v>
      </c>
      <c r="AL483" s="144">
        <v>20000000</v>
      </c>
      <c r="AM483" s="109">
        <v>29</v>
      </c>
      <c r="AN483" s="109">
        <f t="shared" ref="AN483:AN492" si="77">AM483+AN484</f>
        <v>426</v>
      </c>
      <c r="AO483" s="109">
        <f t="shared" ref="AO483:AO492" si="78">AL483*AN483</f>
        <v>8520000000</v>
      </c>
      <c r="AP483" s="109" t="s">
        <v>6103</v>
      </c>
    </row>
    <row r="484" spans="19:48">
      <c r="S484" s="11" t="s">
        <v>5591</v>
      </c>
      <c r="T484" s="26">
        <v>17804396.448481999</v>
      </c>
      <c r="V484" s="19" t="s">
        <v>6158</v>
      </c>
      <c r="W484" s="19">
        <v>324</v>
      </c>
      <c r="X484" s="37">
        <v>2088.5824040000002</v>
      </c>
      <c r="Y484" s="37">
        <f t="shared" si="64"/>
        <v>676700.69889600005</v>
      </c>
      <c r="Z484" s="206" t="s">
        <v>5059</v>
      </c>
      <c r="AA484" t="s">
        <v>25</v>
      </c>
      <c r="AB484" t="s">
        <v>25</v>
      </c>
      <c r="AC484" t="s">
        <v>25</v>
      </c>
      <c r="AJ484" s="109">
        <v>204</v>
      </c>
      <c r="AK484" s="109" t="s">
        <v>6122</v>
      </c>
      <c r="AL484" s="144">
        <v>-20000000</v>
      </c>
      <c r="AM484" s="109">
        <v>0</v>
      </c>
      <c r="AN484" s="109">
        <f t="shared" si="77"/>
        <v>397</v>
      </c>
      <c r="AO484" s="109">
        <f t="shared" si="78"/>
        <v>-7940000000</v>
      </c>
      <c r="AP484" s="109" t="s">
        <v>6123</v>
      </c>
    </row>
    <row r="485" spans="19:48">
      <c r="S485" s="11" t="s">
        <v>5594</v>
      </c>
      <c r="T485" s="26">
        <v>260260000</v>
      </c>
      <c r="V485" s="19" t="s">
        <v>6166</v>
      </c>
      <c r="W485" s="19">
        <v>538</v>
      </c>
      <c r="X485" s="37">
        <v>2055.3485930000002</v>
      </c>
      <c r="Y485" s="37">
        <f t="shared" si="64"/>
        <v>1105777.5430340001</v>
      </c>
      <c r="Z485" s="206" t="s">
        <v>5059</v>
      </c>
      <c r="AA485" t="s">
        <v>25</v>
      </c>
      <c r="AJ485" s="109">
        <v>205</v>
      </c>
      <c r="AK485" s="109" t="s">
        <v>6122</v>
      </c>
      <c r="AL485" s="144">
        <v>2000000</v>
      </c>
      <c r="AM485" s="109">
        <v>110</v>
      </c>
      <c r="AN485" s="109">
        <f t="shared" si="77"/>
        <v>397</v>
      </c>
      <c r="AO485" s="109">
        <f t="shared" si="78"/>
        <v>794000000</v>
      </c>
      <c r="AP485" s="109" t="s">
        <v>6124</v>
      </c>
    </row>
    <row r="486" spans="19:48">
      <c r="S486" s="11" t="s">
        <v>5595</v>
      </c>
      <c r="T486" s="26">
        <v>11538335.631417999</v>
      </c>
      <c r="V486" s="19" t="s">
        <v>6168</v>
      </c>
      <c r="W486" s="19">
        <v>1031</v>
      </c>
      <c r="X486" s="37">
        <v>2245.620621</v>
      </c>
      <c r="Y486" s="37">
        <f t="shared" si="64"/>
        <v>2315234.8602510002</v>
      </c>
      <c r="Z486" s="206" t="s">
        <v>5059</v>
      </c>
      <c r="AA486" t="s">
        <v>25</v>
      </c>
      <c r="AC486" t="s">
        <v>25</v>
      </c>
      <c r="AJ486" s="109">
        <v>206</v>
      </c>
      <c r="AK486" s="109" t="s">
        <v>6304</v>
      </c>
      <c r="AL486" s="144">
        <v>5082711</v>
      </c>
      <c r="AM486" s="109">
        <v>89</v>
      </c>
      <c r="AN486" s="109">
        <f t="shared" si="77"/>
        <v>287</v>
      </c>
      <c r="AO486" s="109">
        <f t="shared" si="78"/>
        <v>1458738057</v>
      </c>
      <c r="AP486" s="109" t="s">
        <v>6305</v>
      </c>
      <c r="AT486" t="s">
        <v>25</v>
      </c>
    </row>
    <row r="487" spans="19:48">
      <c r="S487" s="11" t="s">
        <v>5603</v>
      </c>
      <c r="T487" s="26">
        <v>12429517.767776001</v>
      </c>
      <c r="V487" s="19" t="s">
        <v>6169</v>
      </c>
      <c r="W487" s="19">
        <v>1804</v>
      </c>
      <c r="X487" s="37">
        <v>2292.882846</v>
      </c>
      <c r="Y487" s="37">
        <f t="shared" si="64"/>
        <v>4136360.6541840001</v>
      </c>
      <c r="Z487" s="206" t="s">
        <v>5059</v>
      </c>
      <c r="AC487" t="s">
        <v>25</v>
      </c>
      <c r="AJ487" s="109">
        <v>207</v>
      </c>
      <c r="AK487" s="109" t="s">
        <v>6711</v>
      </c>
      <c r="AL487" s="144">
        <v>7300000</v>
      </c>
      <c r="AM487" s="109">
        <v>0</v>
      </c>
      <c r="AN487" s="109">
        <f t="shared" si="77"/>
        <v>198</v>
      </c>
      <c r="AO487" s="109">
        <f t="shared" si="78"/>
        <v>1445400000</v>
      </c>
      <c r="AP487" s="109" t="s">
        <v>6713</v>
      </c>
    </row>
    <row r="488" spans="19:48">
      <c r="S488" s="11" t="s">
        <v>5605</v>
      </c>
      <c r="T488" s="26">
        <v>5031176.5087869996</v>
      </c>
      <c r="V488" s="19" t="s">
        <v>6170</v>
      </c>
      <c r="W488" s="19">
        <v>1348</v>
      </c>
      <c r="X488" s="37">
        <v>2252.0137020000002</v>
      </c>
      <c r="Y488" s="37">
        <f t="shared" si="64"/>
        <v>3035714.4702960001</v>
      </c>
      <c r="Z488" s="206" t="s">
        <v>5059</v>
      </c>
      <c r="AJ488" s="20">
        <v>208</v>
      </c>
      <c r="AK488" s="20" t="s">
        <v>6711</v>
      </c>
      <c r="AL488" s="37">
        <v>7000000</v>
      </c>
      <c r="AM488" s="20">
        <v>135</v>
      </c>
      <c r="AN488" s="20">
        <f t="shared" si="77"/>
        <v>198</v>
      </c>
      <c r="AO488" s="20">
        <f t="shared" si="78"/>
        <v>1386000000</v>
      </c>
      <c r="AP488" s="20" t="s">
        <v>5741</v>
      </c>
    </row>
    <row r="489" spans="19:48">
      <c r="S489" s="11" t="s">
        <v>5609</v>
      </c>
      <c r="T489" s="26">
        <v>6822803.9080700008</v>
      </c>
      <c r="V489" s="19" t="s">
        <v>6177</v>
      </c>
      <c r="W489" s="19">
        <v>-76536</v>
      </c>
      <c r="X489" s="37">
        <v>2350.6086869999999</v>
      </c>
      <c r="Y489" s="37">
        <f t="shared" si="64"/>
        <v>-179906186.46823201</v>
      </c>
      <c r="Z489" s="206" t="s">
        <v>6178</v>
      </c>
      <c r="AJ489" s="109">
        <v>209</v>
      </c>
      <c r="AK489" s="109" t="s">
        <v>6784</v>
      </c>
      <c r="AL489" s="144">
        <v>-20000000</v>
      </c>
      <c r="AM489" s="109">
        <v>0</v>
      </c>
      <c r="AN489" s="109">
        <f t="shared" si="77"/>
        <v>63</v>
      </c>
      <c r="AO489" s="109">
        <f t="shared" si="78"/>
        <v>-1260000000</v>
      </c>
      <c r="AP489" s="109" t="s">
        <v>6788</v>
      </c>
    </row>
    <row r="490" spans="19:48">
      <c r="S490" s="11" t="s">
        <v>5617</v>
      </c>
      <c r="T490" s="26">
        <v>330889.73324399994</v>
      </c>
      <c r="V490" s="19" t="s">
        <v>6180</v>
      </c>
      <c r="W490" s="19">
        <v>145</v>
      </c>
      <c r="X490" s="37">
        <v>2379.7882030000001</v>
      </c>
      <c r="Y490" s="37">
        <f t="shared" si="64"/>
        <v>345069.28943499998</v>
      </c>
      <c r="Z490" s="206" t="s">
        <v>5059</v>
      </c>
      <c r="AA490" t="s">
        <v>25</v>
      </c>
      <c r="AC490" t="s">
        <v>25</v>
      </c>
      <c r="AD490" t="s">
        <v>25</v>
      </c>
      <c r="AJ490" s="109">
        <v>210</v>
      </c>
      <c r="AK490" s="109" t="s">
        <v>6784</v>
      </c>
      <c r="AL490" s="144">
        <v>-59825035</v>
      </c>
      <c r="AM490" s="109">
        <v>0</v>
      </c>
      <c r="AN490" s="109">
        <f t="shared" si="77"/>
        <v>63</v>
      </c>
      <c r="AO490" s="109">
        <f t="shared" si="78"/>
        <v>-3768977205</v>
      </c>
      <c r="AP490" s="109" t="s">
        <v>5739</v>
      </c>
    </row>
    <row r="491" spans="19:48">
      <c r="S491" s="11" t="s">
        <v>5618</v>
      </c>
      <c r="T491" s="26">
        <v>6610318.1610199995</v>
      </c>
      <c r="V491" s="145" t="s">
        <v>6180</v>
      </c>
      <c r="W491" s="145">
        <v>55</v>
      </c>
      <c r="X491" s="144">
        <v>2379.7882030000001</v>
      </c>
      <c r="Y491" s="144">
        <f t="shared" si="64"/>
        <v>130888.351165</v>
      </c>
      <c r="Z491" s="205" t="s">
        <v>6265</v>
      </c>
      <c r="AB491" t="s">
        <v>25</v>
      </c>
      <c r="AJ491" s="20">
        <v>211</v>
      </c>
      <c r="AK491" s="20" t="s">
        <v>6784</v>
      </c>
      <c r="AL491" s="37">
        <v>-450269000</v>
      </c>
      <c r="AM491" s="20">
        <v>1</v>
      </c>
      <c r="AN491" s="20">
        <f t="shared" si="77"/>
        <v>63</v>
      </c>
      <c r="AO491" s="20">
        <f t="shared" si="78"/>
        <v>-28366947000</v>
      </c>
      <c r="AP491" s="20" t="s">
        <v>5738</v>
      </c>
      <c r="AU491" t="s">
        <v>25</v>
      </c>
    </row>
    <row r="492" spans="19:48">
      <c r="S492" s="11" t="s">
        <v>5619</v>
      </c>
      <c r="T492" s="26">
        <v>710713.17725199996</v>
      </c>
      <c r="V492" s="19" t="s">
        <v>6180</v>
      </c>
      <c r="W492" s="19">
        <v>53</v>
      </c>
      <c r="X492" s="37">
        <v>2379.7882030000001</v>
      </c>
      <c r="Y492" s="37">
        <f t="shared" si="64"/>
        <v>126128.77475900001</v>
      </c>
      <c r="Z492" s="206" t="s">
        <v>6266</v>
      </c>
      <c r="AB492" t="s">
        <v>25</v>
      </c>
      <c r="AJ492" s="20">
        <v>212</v>
      </c>
      <c r="AK492" s="20" t="s">
        <v>6792</v>
      </c>
      <c r="AL492" s="37">
        <v>50000000</v>
      </c>
      <c r="AM492" s="20">
        <v>1</v>
      </c>
      <c r="AN492" s="20">
        <f t="shared" si="77"/>
        <v>62</v>
      </c>
      <c r="AO492" s="20">
        <f t="shared" si="78"/>
        <v>3100000000</v>
      </c>
      <c r="AP492" s="20" t="s">
        <v>5741</v>
      </c>
      <c r="AT492" t="s">
        <v>25</v>
      </c>
      <c r="AU492" t="s">
        <v>25</v>
      </c>
    </row>
    <row r="493" spans="19:48">
      <c r="S493" s="11" t="s">
        <v>5622</v>
      </c>
      <c r="T493" s="26">
        <v>81025</v>
      </c>
      <c r="V493" s="19" t="s">
        <v>6269</v>
      </c>
      <c r="W493" s="19">
        <v>243</v>
      </c>
      <c r="X493" s="37">
        <v>2336.5653440000001</v>
      </c>
      <c r="Y493" s="37">
        <f t="shared" si="64"/>
        <v>567785.37859199999</v>
      </c>
      <c r="Z493" s="206" t="s">
        <v>5059</v>
      </c>
      <c r="AJ493" s="20">
        <v>213</v>
      </c>
      <c r="AK493" s="20" t="s">
        <v>6798</v>
      </c>
      <c r="AL493" s="37">
        <v>50000000</v>
      </c>
      <c r="AM493" s="20">
        <v>1</v>
      </c>
      <c r="AN493" s="20">
        <f t="shared" ref="AN493:AN509" si="79">AM493+AN494</f>
        <v>61</v>
      </c>
      <c r="AO493" s="20">
        <f t="shared" ref="AO493:AO509" si="80">AL493*AN493</f>
        <v>3050000000</v>
      </c>
      <c r="AP493" s="20" t="s">
        <v>5741</v>
      </c>
      <c r="AT493" t="s">
        <v>25</v>
      </c>
      <c r="AU493" t="s">
        <v>25</v>
      </c>
      <c r="AV493" t="s">
        <v>25</v>
      </c>
    </row>
    <row r="494" spans="19:48">
      <c r="S494" s="11" t="s">
        <v>5623</v>
      </c>
      <c r="T494" s="26">
        <v>219696.613128</v>
      </c>
      <c r="V494" s="19" t="s">
        <v>6275</v>
      </c>
      <c r="W494" s="19">
        <v>81</v>
      </c>
      <c r="X494" s="37">
        <v>2341.77675</v>
      </c>
      <c r="Y494" s="37">
        <f t="shared" si="64"/>
        <v>189683.91675</v>
      </c>
      <c r="Z494" s="206" t="s">
        <v>5059</v>
      </c>
      <c r="AA494" t="s">
        <v>25</v>
      </c>
      <c r="AJ494" s="20">
        <v>214</v>
      </c>
      <c r="AK494" s="20" t="s">
        <v>6799</v>
      </c>
      <c r="AL494" s="37">
        <v>50000000</v>
      </c>
      <c r="AM494" s="20">
        <v>1</v>
      </c>
      <c r="AN494" s="20">
        <f t="shared" si="79"/>
        <v>60</v>
      </c>
      <c r="AO494" s="20">
        <f t="shared" si="80"/>
        <v>3000000000</v>
      </c>
      <c r="AP494" s="20" t="s">
        <v>5741</v>
      </c>
      <c r="AS494" t="s">
        <v>25</v>
      </c>
    </row>
    <row r="495" spans="19:48">
      <c r="S495" s="11" t="s">
        <v>5624</v>
      </c>
      <c r="T495" s="26">
        <v>6035472.4070199998</v>
      </c>
      <c r="V495" s="145" t="s">
        <v>6276</v>
      </c>
      <c r="W495" s="145">
        <v>21767</v>
      </c>
      <c r="X495" s="144">
        <v>2297.060872</v>
      </c>
      <c r="Y495" s="144">
        <f t="shared" si="64"/>
        <v>50000124.000823997</v>
      </c>
      <c r="Z495" s="205" t="s">
        <v>6278</v>
      </c>
      <c r="AJ495" s="20">
        <v>215</v>
      </c>
      <c r="AK495" s="20" t="s">
        <v>6800</v>
      </c>
      <c r="AL495" s="37">
        <v>50000000</v>
      </c>
      <c r="AM495" s="20">
        <v>1</v>
      </c>
      <c r="AN495" s="20">
        <f t="shared" si="79"/>
        <v>59</v>
      </c>
      <c r="AO495" s="20">
        <f t="shared" si="80"/>
        <v>2950000000</v>
      </c>
      <c r="AP495" s="20" t="s">
        <v>5741</v>
      </c>
    </row>
    <row r="496" spans="19:48">
      <c r="S496" s="11" t="s">
        <v>5625</v>
      </c>
      <c r="T496" s="26">
        <v>984486.34963200008</v>
      </c>
      <c r="V496" s="19" t="s">
        <v>6276</v>
      </c>
      <c r="W496" s="19">
        <v>4353</v>
      </c>
      <c r="X496" s="37">
        <v>2297.060872</v>
      </c>
      <c r="Y496" s="37">
        <f t="shared" si="64"/>
        <v>9999105.9758160003</v>
      </c>
      <c r="Z496" s="206" t="s">
        <v>6279</v>
      </c>
      <c r="AB496" t="s">
        <v>25</v>
      </c>
      <c r="AD496" t="s">
        <v>25</v>
      </c>
      <c r="AJ496" s="20">
        <v>216</v>
      </c>
      <c r="AK496" s="20" t="s">
        <v>6801</v>
      </c>
      <c r="AL496" s="37">
        <v>100000000</v>
      </c>
      <c r="AM496" s="20">
        <v>1</v>
      </c>
      <c r="AN496" s="20">
        <f t="shared" si="79"/>
        <v>58</v>
      </c>
      <c r="AO496" s="20">
        <f t="shared" si="80"/>
        <v>5800000000</v>
      </c>
      <c r="AP496" s="20" t="s">
        <v>5741</v>
      </c>
    </row>
    <row r="497" spans="19:46">
      <c r="S497" s="11" t="s">
        <v>5635</v>
      </c>
      <c r="T497" s="26">
        <v>2143469.938015</v>
      </c>
      <c r="V497" s="19" t="s">
        <v>6276</v>
      </c>
      <c r="W497" s="19">
        <v>226</v>
      </c>
      <c r="X497" s="37">
        <v>2297.060872</v>
      </c>
      <c r="Y497" s="37">
        <f t="shared" si="64"/>
        <v>519135.75707200001</v>
      </c>
      <c r="Z497" s="206" t="s">
        <v>5059</v>
      </c>
      <c r="AC497" t="s">
        <v>25</v>
      </c>
      <c r="AJ497" s="20">
        <v>217</v>
      </c>
      <c r="AK497" s="20" t="s">
        <v>6803</v>
      </c>
      <c r="AL497" s="37">
        <v>50000000</v>
      </c>
      <c r="AM497" s="20">
        <v>1</v>
      </c>
      <c r="AN497" s="20">
        <f t="shared" si="79"/>
        <v>57</v>
      </c>
      <c r="AO497" s="20">
        <f t="shared" si="80"/>
        <v>2850000000</v>
      </c>
      <c r="AP497" s="20" t="s">
        <v>5741</v>
      </c>
    </row>
    <row r="498" spans="19:46">
      <c r="S498" s="11" t="s">
        <v>5636</v>
      </c>
      <c r="T498" s="26">
        <v>3085460.5177150001</v>
      </c>
      <c r="V498" s="19" t="s">
        <v>6282</v>
      </c>
      <c r="W498" s="19">
        <v>1416</v>
      </c>
      <c r="X498" s="37">
        <v>2405.6595360000001</v>
      </c>
      <c r="Y498" s="37">
        <f t="shared" si="64"/>
        <v>3406413.9029760002</v>
      </c>
      <c r="Z498" s="206" t="s">
        <v>5059</v>
      </c>
      <c r="AB498" t="s">
        <v>25</v>
      </c>
      <c r="AJ498" s="20">
        <v>218</v>
      </c>
      <c r="AK498" s="20" t="s">
        <v>6805</v>
      </c>
      <c r="AL498" s="37">
        <v>65511600</v>
      </c>
      <c r="AM498" s="20">
        <v>1</v>
      </c>
      <c r="AN498" s="20">
        <f t="shared" si="79"/>
        <v>56</v>
      </c>
      <c r="AO498" s="20">
        <f t="shared" si="80"/>
        <v>3668649600</v>
      </c>
      <c r="AP498" s="20" t="s">
        <v>5741</v>
      </c>
      <c r="AT498" t="s">
        <v>25</v>
      </c>
    </row>
    <row r="499" spans="19:46">
      <c r="S499" s="11" t="s">
        <v>5637</v>
      </c>
      <c r="T499" s="26">
        <v>8261456.790906</v>
      </c>
      <c r="V499" s="19" t="s">
        <v>6283</v>
      </c>
      <c r="W499" s="19">
        <v>172</v>
      </c>
      <c r="X499" s="37">
        <v>2529.2810939999999</v>
      </c>
      <c r="Y499" s="37">
        <f t="shared" si="64"/>
        <v>435036.348168</v>
      </c>
      <c r="Z499" s="206" t="s">
        <v>5059</v>
      </c>
      <c r="AB499" t="s">
        <v>25</v>
      </c>
      <c r="AD499" t="s">
        <v>25</v>
      </c>
      <c r="AJ499" s="20">
        <v>219</v>
      </c>
      <c r="AK499" s="20" t="s">
        <v>6809</v>
      </c>
      <c r="AL499" s="37">
        <v>25000000</v>
      </c>
      <c r="AM499" s="20">
        <v>25</v>
      </c>
      <c r="AN499" s="20">
        <f t="shared" si="79"/>
        <v>55</v>
      </c>
      <c r="AO499" s="20">
        <f t="shared" si="80"/>
        <v>1375000000</v>
      </c>
      <c r="AP499" s="20" t="s">
        <v>5741</v>
      </c>
    </row>
    <row r="500" spans="19:46">
      <c r="S500" s="11" t="s">
        <v>5641</v>
      </c>
      <c r="T500" s="26">
        <v>6572373.7593120001</v>
      </c>
      <c r="V500" s="19" t="s">
        <v>6287</v>
      </c>
      <c r="W500" s="19">
        <v>-3909</v>
      </c>
      <c r="X500" s="37">
        <v>2881.8852230000002</v>
      </c>
      <c r="Y500" s="37">
        <f>W500*X500</f>
        <v>-11265289.336707002</v>
      </c>
      <c r="Z500" s="206" t="s">
        <v>6288</v>
      </c>
      <c r="AJ500" s="109">
        <v>220</v>
      </c>
      <c r="AK500" s="109" t="s">
        <v>6824</v>
      </c>
      <c r="AL500" s="144">
        <v>-15162600</v>
      </c>
      <c r="AM500" s="109">
        <v>7</v>
      </c>
      <c r="AN500" s="20">
        <f t="shared" si="79"/>
        <v>30</v>
      </c>
      <c r="AO500" s="20">
        <f t="shared" si="80"/>
        <v>-454878000</v>
      </c>
      <c r="AP500" s="109" t="s">
        <v>6851</v>
      </c>
      <c r="AR500" t="s">
        <v>25</v>
      </c>
    </row>
    <row r="501" spans="19:46">
      <c r="S501" s="11" t="s">
        <v>5642</v>
      </c>
      <c r="T501" s="26">
        <v>2893243.5730909999</v>
      </c>
      <c r="V501" s="145" t="s">
        <v>6287</v>
      </c>
      <c r="W501" s="145">
        <v>-932</v>
      </c>
      <c r="X501" s="144">
        <v>2881.8852230000002</v>
      </c>
      <c r="Y501" s="144">
        <f t="shared" si="64"/>
        <v>-2685917.0278360001</v>
      </c>
      <c r="Z501" s="205" t="s">
        <v>6289</v>
      </c>
      <c r="AC501" t="s">
        <v>25</v>
      </c>
      <c r="AD501" t="s">
        <v>25</v>
      </c>
      <c r="AJ501" s="109">
        <v>221</v>
      </c>
      <c r="AK501" s="109" t="s">
        <v>6829</v>
      </c>
      <c r="AL501" s="144">
        <v>-10216551.764954999</v>
      </c>
      <c r="AM501" s="109">
        <v>4</v>
      </c>
      <c r="AN501" s="20">
        <f t="shared" si="79"/>
        <v>23</v>
      </c>
      <c r="AO501" s="20">
        <f t="shared" si="80"/>
        <v>-234980690.59396499</v>
      </c>
      <c r="AP501" s="109" t="s">
        <v>6851</v>
      </c>
    </row>
    <row r="502" spans="19:46">
      <c r="S502" s="11" t="s">
        <v>5645</v>
      </c>
      <c r="T502" s="26">
        <v>94992058.939007998</v>
      </c>
      <c r="V502" s="19" t="s">
        <v>6296</v>
      </c>
      <c r="W502" s="19">
        <v>33</v>
      </c>
      <c r="X502" s="37">
        <v>2905.0202519999998</v>
      </c>
      <c r="Y502" s="37">
        <f t="shared" si="64"/>
        <v>95865.668315999996</v>
      </c>
      <c r="Z502" s="206" t="s">
        <v>4380</v>
      </c>
      <c r="AJ502" s="109">
        <v>222</v>
      </c>
      <c r="AK502" s="109" t="s">
        <v>6834</v>
      </c>
      <c r="AL502" s="144">
        <v>-5095614.0723999999</v>
      </c>
      <c r="AM502" s="109">
        <v>18</v>
      </c>
      <c r="AN502" s="20">
        <f t="shared" si="79"/>
        <v>19</v>
      </c>
      <c r="AO502" s="20">
        <f t="shared" si="80"/>
        <v>-96816667.375599995</v>
      </c>
      <c r="AP502" s="109" t="s">
        <v>6851</v>
      </c>
    </row>
    <row r="503" spans="19:46">
      <c r="S503" s="11" t="s">
        <v>5650</v>
      </c>
      <c r="T503" s="26">
        <v>275021.925965</v>
      </c>
      <c r="V503" s="145" t="s">
        <v>6304</v>
      </c>
      <c r="W503" s="145">
        <v>10421</v>
      </c>
      <c r="X503" s="144">
        <v>2780.2819920000002</v>
      </c>
      <c r="Y503" s="144">
        <f t="shared" si="64"/>
        <v>28973318.638632003</v>
      </c>
      <c r="Z503" s="205" t="s">
        <v>6306</v>
      </c>
      <c r="AJ503" s="109">
        <v>223</v>
      </c>
      <c r="AK503" s="109" t="s">
        <v>6843</v>
      </c>
      <c r="AL503" s="144">
        <v>-5464072.8466919996</v>
      </c>
      <c r="AM503" s="109">
        <v>0</v>
      </c>
      <c r="AN503" s="20">
        <f t="shared" si="79"/>
        <v>1</v>
      </c>
      <c r="AO503" s="20">
        <f t="shared" si="80"/>
        <v>-5464072.8466919996</v>
      </c>
      <c r="AP503" s="109" t="s">
        <v>6289</v>
      </c>
    </row>
    <row r="504" spans="19:46">
      <c r="S504" s="11" t="s">
        <v>5660</v>
      </c>
      <c r="T504" s="26">
        <v>327451.9203</v>
      </c>
      <c r="V504" s="19" t="s">
        <v>6304</v>
      </c>
      <c r="W504" s="19">
        <v>835</v>
      </c>
      <c r="X504" s="37">
        <v>2780.2819920000002</v>
      </c>
      <c r="Y504" s="37">
        <f t="shared" si="64"/>
        <v>2321535.4633200001</v>
      </c>
      <c r="Z504" s="206" t="s">
        <v>5059</v>
      </c>
      <c r="AJ504" s="20">
        <v>224</v>
      </c>
      <c r="AK504" s="20" t="s">
        <v>6852</v>
      </c>
      <c r="AL504" s="37">
        <v>-35642178</v>
      </c>
      <c r="AM504" s="20">
        <v>1</v>
      </c>
      <c r="AN504" s="20">
        <f t="shared" si="79"/>
        <v>1</v>
      </c>
      <c r="AO504" s="20">
        <f t="shared" si="80"/>
        <v>-35642178</v>
      </c>
      <c r="AP504" s="20" t="s">
        <v>6846</v>
      </c>
    </row>
    <row r="505" spans="19:46">
      <c r="S505" s="11" t="s">
        <v>5668</v>
      </c>
      <c r="T505" s="26">
        <v>260081.94096800001</v>
      </c>
      <c r="V505" s="19" t="s">
        <v>6585</v>
      </c>
      <c r="W505" s="19">
        <v>410</v>
      </c>
      <c r="X505" s="37">
        <v>2678.4068379999999</v>
      </c>
      <c r="Y505" s="37">
        <f t="shared" si="64"/>
        <v>1098146.8035800001</v>
      </c>
      <c r="Z505" s="206" t="s">
        <v>5059</v>
      </c>
      <c r="AJ505" s="20"/>
      <c r="AK505" s="20"/>
      <c r="AL505" s="37"/>
      <c r="AM505" s="20"/>
      <c r="AN505" s="20">
        <f t="shared" si="79"/>
        <v>0</v>
      </c>
      <c r="AO505" s="20">
        <f t="shared" si="80"/>
        <v>0</v>
      </c>
      <c r="AP505" s="20"/>
    </row>
    <row r="506" spans="19:46">
      <c r="S506" s="11" t="s">
        <v>5669</v>
      </c>
      <c r="T506" s="26">
        <v>2909284.5308940001</v>
      </c>
      <c r="V506" s="19" t="s">
        <v>6590</v>
      </c>
      <c r="W506" s="19">
        <v>201</v>
      </c>
      <c r="X506" s="37">
        <v>2688.6794049999999</v>
      </c>
      <c r="Y506" s="37">
        <f t="shared" si="64"/>
        <v>540424.560405</v>
      </c>
      <c r="Z506" s="206" t="s">
        <v>5059</v>
      </c>
      <c r="AB506" t="s">
        <v>25</v>
      </c>
      <c r="AJ506" s="20"/>
      <c r="AK506" s="20"/>
      <c r="AL506" s="37"/>
      <c r="AM506" s="20"/>
      <c r="AN506" s="20">
        <f t="shared" si="79"/>
        <v>0</v>
      </c>
      <c r="AO506" s="20">
        <f t="shared" si="80"/>
        <v>0</v>
      </c>
      <c r="AP506" s="20"/>
    </row>
    <row r="507" spans="19:46">
      <c r="S507" s="11" t="s">
        <v>5670</v>
      </c>
      <c r="T507" s="26">
        <v>37723205.094084002</v>
      </c>
      <c r="V507" s="19" t="s">
        <v>6591</v>
      </c>
      <c r="W507" s="19">
        <v>1133</v>
      </c>
      <c r="X507" s="37">
        <v>2455.1740869999999</v>
      </c>
      <c r="Y507" s="37">
        <f t="shared" si="64"/>
        <v>2781712.2405709997</v>
      </c>
      <c r="Z507" s="206" t="s">
        <v>5059</v>
      </c>
      <c r="AB507" t="s">
        <v>25</v>
      </c>
      <c r="AC507" t="s">
        <v>25</v>
      </c>
      <c r="AJ507" s="20"/>
      <c r="AK507" s="20"/>
      <c r="AL507" s="37"/>
      <c r="AM507" s="20"/>
      <c r="AN507" s="20">
        <f t="shared" si="79"/>
        <v>0</v>
      </c>
      <c r="AO507" s="20">
        <f t="shared" si="80"/>
        <v>0</v>
      </c>
      <c r="AP507" s="20"/>
    </row>
    <row r="508" spans="19:46">
      <c r="S508" s="11" t="s">
        <v>5671</v>
      </c>
      <c r="T508" s="26">
        <v>1500094.75168</v>
      </c>
      <c r="V508" s="19" t="s">
        <v>6594</v>
      </c>
      <c r="W508" s="19">
        <v>59</v>
      </c>
      <c r="X508" s="37">
        <v>2706.4553110000002</v>
      </c>
      <c r="Y508" s="37">
        <f t="shared" si="64"/>
        <v>159680.86334900002</v>
      </c>
      <c r="Z508" s="206" t="s">
        <v>6595</v>
      </c>
      <c r="AA508" t="s">
        <v>25</v>
      </c>
      <c r="AB508" t="s">
        <v>25</v>
      </c>
      <c r="AC508" t="s">
        <v>25</v>
      </c>
      <c r="AJ508" s="20"/>
      <c r="AK508" s="20"/>
      <c r="AL508" s="37"/>
      <c r="AM508" s="20"/>
      <c r="AN508" s="20">
        <f t="shared" si="79"/>
        <v>0</v>
      </c>
      <c r="AO508" s="20">
        <f t="shared" si="80"/>
        <v>0</v>
      </c>
      <c r="AP508" s="20"/>
    </row>
    <row r="509" spans="19:46">
      <c r="S509" s="11" t="s">
        <v>5673</v>
      </c>
      <c r="T509" s="26">
        <v>7230628.4378079996</v>
      </c>
      <c r="V509" s="19" t="s">
        <v>6614</v>
      </c>
      <c r="W509" s="19">
        <v>4795</v>
      </c>
      <c r="X509" s="37">
        <v>2908.4025580000002</v>
      </c>
      <c r="Y509" s="37">
        <f t="shared" si="64"/>
        <v>13945790.265610002</v>
      </c>
      <c r="Z509" s="206" t="s">
        <v>5299</v>
      </c>
      <c r="AJ509" s="11"/>
      <c r="AK509" s="11"/>
      <c r="AL509" s="37"/>
      <c r="AM509" s="11"/>
      <c r="AN509" s="20">
        <f t="shared" si="79"/>
        <v>0</v>
      </c>
      <c r="AO509" s="20">
        <f t="shared" si="80"/>
        <v>0</v>
      </c>
      <c r="AP509" s="20"/>
    </row>
    <row r="510" spans="19:46">
      <c r="S510" s="11" t="s">
        <v>5674</v>
      </c>
      <c r="T510" s="26">
        <v>29767389.390390001</v>
      </c>
      <c r="V510" s="19" t="s">
        <v>6616</v>
      </c>
      <c r="W510" s="19">
        <v>164</v>
      </c>
      <c r="X510" s="37">
        <v>2792.1636870000002</v>
      </c>
      <c r="Y510" s="37">
        <f t="shared" si="64"/>
        <v>457914.84466800001</v>
      </c>
      <c r="Z510" s="206" t="s">
        <v>5299</v>
      </c>
      <c r="AJ510" s="11"/>
      <c r="AK510" s="11"/>
      <c r="AL510" s="37"/>
      <c r="AM510" s="11"/>
      <c r="AN510" s="20">
        <f>AM510+AN511</f>
        <v>0</v>
      </c>
      <c r="AO510" s="20">
        <f>AL510*AN510</f>
        <v>0</v>
      </c>
      <c r="AP510" s="11"/>
    </row>
    <row r="511" spans="19:46">
      <c r="S511" s="11" t="s">
        <v>5676</v>
      </c>
      <c r="T511" s="26">
        <v>151560.25597</v>
      </c>
      <c r="V511" s="19" t="s">
        <v>6617</v>
      </c>
      <c r="W511" s="19">
        <v>352</v>
      </c>
      <c r="X511" s="37">
        <v>2768.6657369999998</v>
      </c>
      <c r="Y511" s="37">
        <f t="shared" si="64"/>
        <v>974570.33942399989</v>
      </c>
      <c r="Z511" s="206" t="s">
        <v>5299</v>
      </c>
      <c r="AJ511" s="11"/>
      <c r="AK511" s="11"/>
      <c r="AL511" s="26">
        <f>SUM(AL299:AL510)</f>
        <v>60011936.164180979</v>
      </c>
      <c r="AM511" s="11"/>
      <c r="AN511" s="11"/>
      <c r="AO511" s="11">
        <f>SUM(AO299:AO510)</f>
        <v>194101499872.18375</v>
      </c>
      <c r="AP511" s="26">
        <f>AO511*AP285/31</f>
        <v>104357732.20547377</v>
      </c>
    </row>
    <row r="512" spans="19:46">
      <c r="S512" s="11" t="s">
        <v>5678</v>
      </c>
      <c r="T512" s="26">
        <v>481318.88078800001</v>
      </c>
      <c r="V512" s="19" t="s">
        <v>6618</v>
      </c>
      <c r="W512" s="19">
        <v>283</v>
      </c>
      <c r="X512" s="37">
        <v>2636.7439079999999</v>
      </c>
      <c r="Y512" s="37">
        <f t="shared" si="64"/>
        <v>746198.52596400003</v>
      </c>
      <c r="Z512" s="206" t="s">
        <v>5299</v>
      </c>
      <c r="AA512" t="s">
        <v>25</v>
      </c>
      <c r="AL512" t="s">
        <v>4021</v>
      </c>
      <c r="AO512" t="s">
        <v>284</v>
      </c>
      <c r="AP512" t="s">
        <v>906</v>
      </c>
    </row>
    <row r="513" spans="19:42">
      <c r="S513" s="11" t="s">
        <v>5689</v>
      </c>
      <c r="T513" s="26">
        <v>146277.56820000001</v>
      </c>
      <c r="V513" s="19" t="s">
        <v>6620</v>
      </c>
      <c r="W513" s="19">
        <v>154</v>
      </c>
      <c r="X513" s="37">
        <v>2702</v>
      </c>
      <c r="Y513" s="37">
        <f t="shared" si="64"/>
        <v>416108</v>
      </c>
      <c r="Z513" s="206" t="s">
        <v>5299</v>
      </c>
      <c r="AA513" t="s">
        <v>25</v>
      </c>
      <c r="AB513" t="s">
        <v>25</v>
      </c>
    </row>
    <row r="514" spans="19:42">
      <c r="S514" s="11" t="s">
        <v>5692</v>
      </c>
      <c r="T514" s="26">
        <v>424693.40162399999</v>
      </c>
      <c r="V514" s="19" t="s">
        <v>6631</v>
      </c>
      <c r="W514" s="19">
        <v>135</v>
      </c>
      <c r="X514" s="37">
        <v>2678.6709300000002</v>
      </c>
      <c r="Y514" s="37">
        <f t="shared" si="64"/>
        <v>361620.57555000001</v>
      </c>
      <c r="Z514" s="206" t="s">
        <v>5299</v>
      </c>
      <c r="AB514" t="s">
        <v>25</v>
      </c>
      <c r="AK514" t="s">
        <v>4023</v>
      </c>
      <c r="AL514" s="7">
        <f>AL511+AP511</f>
        <v>164369668.36965474</v>
      </c>
      <c r="AO514" t="s">
        <v>25</v>
      </c>
    </row>
    <row r="515" spans="19:42">
      <c r="S515" s="11" t="s">
        <v>5694</v>
      </c>
      <c r="T515" s="26">
        <v>558320.40202399995</v>
      </c>
      <c r="V515" s="19" t="s">
        <v>6632</v>
      </c>
      <c r="W515" s="19">
        <v>291</v>
      </c>
      <c r="X515" s="37">
        <v>2616.1873500000002</v>
      </c>
      <c r="Y515" s="37">
        <f t="shared" si="64"/>
        <v>761310.51884999999</v>
      </c>
      <c r="Z515" s="206" t="s">
        <v>5299</v>
      </c>
      <c r="AB515" t="s">
        <v>25</v>
      </c>
      <c r="AK515" t="s">
        <v>4026</v>
      </c>
      <c r="AL515" s="7">
        <f>SUM(N30:N38)</f>
        <v>6328991795</v>
      </c>
    </row>
    <row r="516" spans="19:42">
      <c r="S516" s="11" t="s">
        <v>5716</v>
      </c>
      <c r="T516" s="26">
        <v>207642.22201140001</v>
      </c>
      <c r="V516" s="19" t="s">
        <v>6633</v>
      </c>
      <c r="W516" s="19">
        <v>1194</v>
      </c>
      <c r="X516" s="37">
        <v>2552.0103049999998</v>
      </c>
      <c r="Y516" s="37">
        <f t="shared" si="64"/>
        <v>3047100.3041699999</v>
      </c>
      <c r="Z516" s="206" t="s">
        <v>5299</v>
      </c>
      <c r="AA516" t="s">
        <v>25</v>
      </c>
      <c r="AB516" t="s">
        <v>25</v>
      </c>
      <c r="AK516" t="s">
        <v>4092</v>
      </c>
      <c r="AL516" s="7">
        <f>AL515-AL511</f>
        <v>6268979858.8358192</v>
      </c>
    </row>
    <row r="517" spans="19:42">
      <c r="S517" s="11" t="s">
        <v>5716</v>
      </c>
      <c r="T517" s="26">
        <v>33832510.64875</v>
      </c>
      <c r="V517" s="19" t="s">
        <v>6635</v>
      </c>
      <c r="W517" s="19">
        <v>928</v>
      </c>
      <c r="X517" s="37">
        <v>2626.1621239999999</v>
      </c>
      <c r="Y517" s="37">
        <f t="shared" si="64"/>
        <v>2437078.451072</v>
      </c>
      <c r="Z517" s="206" t="s">
        <v>5299</v>
      </c>
      <c r="AK517" t="s">
        <v>906</v>
      </c>
      <c r="AL517" s="7">
        <f>AP511</f>
        <v>104357732.20547377</v>
      </c>
    </row>
    <row r="518" spans="19:42">
      <c r="S518" s="11" t="s">
        <v>5725</v>
      </c>
      <c r="T518" s="26">
        <v>637977.33504399995</v>
      </c>
      <c r="V518" s="145" t="s">
        <v>6689</v>
      </c>
      <c r="W518" s="145">
        <v>-15181</v>
      </c>
      <c r="X518" s="144">
        <v>2675.3319820000002</v>
      </c>
      <c r="Y518" s="144">
        <f t="shared" si="64"/>
        <v>-40614214.818742</v>
      </c>
      <c r="Z518" s="205" t="s">
        <v>6690</v>
      </c>
      <c r="AC518" t="s">
        <v>25</v>
      </c>
      <c r="AK518" t="s">
        <v>4027</v>
      </c>
      <c r="AL518" s="7">
        <f>AL516-AL517</f>
        <v>6164622126.6303453</v>
      </c>
      <c r="AO518" t="s">
        <v>25</v>
      </c>
      <c r="AP518" t="s">
        <v>25</v>
      </c>
    </row>
    <row r="519" spans="19:42">
      <c r="S519" s="11" t="s">
        <v>5726</v>
      </c>
      <c r="T519" s="26">
        <v>466552.25632400002</v>
      </c>
      <c r="V519" s="19" t="s">
        <v>6709</v>
      </c>
      <c r="W519" s="19">
        <v>3122</v>
      </c>
      <c r="X519" s="37">
        <v>2481.626972</v>
      </c>
      <c r="Y519" s="37">
        <f t="shared" si="64"/>
        <v>7747639.4065840002</v>
      </c>
      <c r="Z519" s="206" t="s">
        <v>5299</v>
      </c>
      <c r="AN519" t="s">
        <v>25</v>
      </c>
      <c r="AO519" t="s">
        <v>25</v>
      </c>
      <c r="AP519" t="s">
        <v>25</v>
      </c>
    </row>
    <row r="520" spans="19:42">
      <c r="S520" s="11" t="s">
        <v>5727</v>
      </c>
      <c r="T520" s="26">
        <v>149316.98805000001</v>
      </c>
      <c r="V520" s="19" t="s">
        <v>6710</v>
      </c>
      <c r="W520" s="19">
        <v>2209</v>
      </c>
      <c r="X520" s="37">
        <v>2528.2563839999998</v>
      </c>
      <c r="Y520" s="37">
        <f t="shared" si="64"/>
        <v>5584918.3522559991</v>
      </c>
      <c r="Z520" s="206" t="s">
        <v>5299</v>
      </c>
      <c r="AA520" t="s">
        <v>25</v>
      </c>
    </row>
    <row r="521" spans="19:42">
      <c r="S521" s="11" t="s">
        <v>5727</v>
      </c>
      <c r="T521" s="26">
        <v>189134.85153000001</v>
      </c>
      <c r="V521" s="145" t="s">
        <v>6711</v>
      </c>
      <c r="W521" s="145">
        <v>2977</v>
      </c>
      <c r="X521" s="144">
        <v>2451.5674020000001</v>
      </c>
      <c r="Y521" s="144">
        <f t="shared" si="64"/>
        <v>7298316.1557539999</v>
      </c>
      <c r="Z521" s="205" t="s">
        <v>1049</v>
      </c>
      <c r="AA521" t="s">
        <v>25</v>
      </c>
    </row>
    <row r="522" spans="19:42">
      <c r="S522" s="11" t="s">
        <v>5729</v>
      </c>
      <c r="T522" s="26">
        <v>564888.82799599995</v>
      </c>
      <c r="V522" s="19" t="s">
        <v>6711</v>
      </c>
      <c r="W522" s="19">
        <v>2857</v>
      </c>
      <c r="X522" s="37">
        <v>2451.5674020000001</v>
      </c>
      <c r="Y522" s="37">
        <f t="shared" si="64"/>
        <v>7004128.0675140005</v>
      </c>
      <c r="Z522" s="206" t="s">
        <v>723</v>
      </c>
      <c r="AP522" t="s">
        <v>25</v>
      </c>
    </row>
    <row r="523" spans="19:42">
      <c r="S523" s="11" t="s">
        <v>5732</v>
      </c>
      <c r="T523" s="26">
        <v>8762299.2047910001</v>
      </c>
      <c r="V523" s="19" t="s">
        <v>6711</v>
      </c>
      <c r="W523" s="19">
        <v>234</v>
      </c>
      <c r="X523" s="37">
        <v>2451.5674020000001</v>
      </c>
      <c r="Y523" s="37">
        <f t="shared" si="64"/>
        <v>573666.77206800005</v>
      </c>
      <c r="Z523" s="206" t="s">
        <v>5059</v>
      </c>
      <c r="AA523" t="s">
        <v>25</v>
      </c>
      <c r="AP523" t="s">
        <v>25</v>
      </c>
    </row>
    <row r="524" spans="19:42">
      <c r="S524" s="11" t="s">
        <v>5732</v>
      </c>
      <c r="T524" s="26">
        <v>-341847876.93843603</v>
      </c>
      <c r="V524" s="19" t="s">
        <v>6715</v>
      </c>
      <c r="W524" s="19">
        <v>751</v>
      </c>
      <c r="X524" s="37">
        <v>2490.0381539999998</v>
      </c>
      <c r="Y524" s="37">
        <f t="shared" si="64"/>
        <v>1870018.6536539998</v>
      </c>
      <c r="Z524" s="206" t="s">
        <v>5059</v>
      </c>
      <c r="AB524" t="s">
        <v>25</v>
      </c>
    </row>
    <row r="525" spans="19:42">
      <c r="S525" s="11" t="s">
        <v>5754</v>
      </c>
      <c r="T525" s="26">
        <v>259993.58394100002</v>
      </c>
      <c r="V525" s="19" t="s">
        <v>6719</v>
      </c>
      <c r="W525" s="19">
        <v>44</v>
      </c>
      <c r="X525" s="37">
        <v>2664.1462569999999</v>
      </c>
      <c r="Y525" s="37">
        <f t="shared" si="64"/>
        <v>117222.435308</v>
      </c>
      <c r="Z525" s="206" t="s">
        <v>5059</v>
      </c>
      <c r="AB525" t="s">
        <v>25</v>
      </c>
    </row>
    <row r="526" spans="19:42">
      <c r="S526" s="11" t="s">
        <v>5755</v>
      </c>
      <c r="T526" s="26">
        <v>269955.31205999997</v>
      </c>
      <c r="V526" s="19" t="s">
        <v>6720</v>
      </c>
      <c r="W526" s="19">
        <v>717</v>
      </c>
      <c r="X526" s="37">
        <v>2706.9144700000002</v>
      </c>
      <c r="Y526" s="37">
        <f t="shared" si="64"/>
        <v>1940857.6749900002</v>
      </c>
      <c r="Z526" s="206" t="s">
        <v>5059</v>
      </c>
    </row>
    <row r="527" spans="19:42">
      <c r="S527" s="11" t="s">
        <v>6107</v>
      </c>
      <c r="T527" s="26">
        <v>560534.38387200003</v>
      </c>
      <c r="V527" s="19" t="s">
        <v>6733</v>
      </c>
      <c r="W527" s="19">
        <v>86686</v>
      </c>
      <c r="X527" s="37">
        <v>2307.1718759999999</v>
      </c>
      <c r="Y527" s="37">
        <f t="shared" si="64"/>
        <v>199999501.24293599</v>
      </c>
      <c r="Z527" s="20" t="s">
        <v>6736</v>
      </c>
      <c r="AA527" t="s">
        <v>25</v>
      </c>
    </row>
    <row r="528" spans="19:42">
      <c r="S528" s="11" t="s">
        <v>6109</v>
      </c>
      <c r="T528" s="26">
        <v>581484.96802499995</v>
      </c>
      <c r="V528" s="19" t="s">
        <v>6739</v>
      </c>
      <c r="W528" s="19">
        <v>81</v>
      </c>
      <c r="X528" s="37">
        <v>2411.414808</v>
      </c>
      <c r="Y528" s="37">
        <f t="shared" si="64"/>
        <v>195324.59944799999</v>
      </c>
      <c r="Z528" s="206" t="s">
        <v>5059</v>
      </c>
      <c r="AB528" t="s">
        <v>25</v>
      </c>
      <c r="AC528" t="s">
        <v>25</v>
      </c>
    </row>
    <row r="529" spans="19:28">
      <c r="S529" s="11" t="s">
        <v>6111</v>
      </c>
      <c r="T529" s="26">
        <v>2136964.3409779998</v>
      </c>
      <c r="V529" s="19" t="s">
        <v>6739</v>
      </c>
      <c r="W529" s="19">
        <v>8426</v>
      </c>
      <c r="X529" s="37">
        <v>2411.414808</v>
      </c>
      <c r="Y529" s="37">
        <f t="shared" si="64"/>
        <v>20318581.172208</v>
      </c>
      <c r="Z529" s="20" t="s">
        <v>6740</v>
      </c>
    </row>
    <row r="530" spans="19:28">
      <c r="S530" s="11" t="s">
        <v>6114</v>
      </c>
      <c r="T530" s="26">
        <v>593783.22629999998</v>
      </c>
      <c r="V530" s="19" t="s">
        <v>6741</v>
      </c>
      <c r="W530" s="19">
        <v>1242</v>
      </c>
      <c r="X530" s="37">
        <v>2330.0938919999999</v>
      </c>
      <c r="Y530" s="37">
        <f t="shared" si="64"/>
        <v>2893976.613864</v>
      </c>
      <c r="Z530" s="206" t="s">
        <v>5059</v>
      </c>
    </row>
    <row r="531" spans="19:28">
      <c r="S531" s="11" t="s">
        <v>6118</v>
      </c>
      <c r="T531" s="26">
        <v>469469.96222000004</v>
      </c>
      <c r="V531" s="19" t="s">
        <v>6742</v>
      </c>
      <c r="W531" s="19">
        <v>149</v>
      </c>
      <c r="X531" s="37">
        <v>2336.750747</v>
      </c>
      <c r="Y531" s="37">
        <f t="shared" si="64"/>
        <v>348175.86130300001</v>
      </c>
      <c r="Z531" s="206" t="s">
        <v>5059</v>
      </c>
    </row>
    <row r="532" spans="19:28">
      <c r="S532" s="11" t="s">
        <v>6148</v>
      </c>
      <c r="T532" s="26">
        <v>73977944.489465997</v>
      </c>
      <c r="V532" s="19" t="s">
        <v>6744</v>
      </c>
      <c r="W532" s="19">
        <v>125</v>
      </c>
      <c r="X532" s="37">
        <v>2522.243884</v>
      </c>
      <c r="Y532" s="37">
        <f t="shared" si="64"/>
        <v>315280.48550000001</v>
      </c>
      <c r="Z532" s="206" t="s">
        <v>5059</v>
      </c>
    </row>
    <row r="533" spans="19:28" ht="30">
      <c r="S533" s="11" t="s">
        <v>6152</v>
      </c>
      <c r="T533" s="26">
        <v>570166.40976800001</v>
      </c>
      <c r="V533" s="19" t="s">
        <v>6744</v>
      </c>
      <c r="W533" s="19">
        <v>2429</v>
      </c>
      <c r="X533" s="37">
        <v>2522.243884</v>
      </c>
      <c r="Y533" s="37">
        <f t="shared" si="64"/>
        <v>6126530.3942360003</v>
      </c>
      <c r="Z533" s="206" t="s">
        <v>6745</v>
      </c>
    </row>
    <row r="534" spans="19:28">
      <c r="S534" s="11" t="s">
        <v>6155</v>
      </c>
      <c r="T534" s="26">
        <v>3585319.2317280001</v>
      </c>
      <c r="V534" s="19" t="s">
        <v>6744</v>
      </c>
      <c r="W534" s="19">
        <v>-2429</v>
      </c>
      <c r="X534" s="37">
        <v>2522.243884</v>
      </c>
      <c r="Y534" s="37">
        <f t="shared" si="64"/>
        <v>-6126530.3942360003</v>
      </c>
      <c r="Z534" s="20" t="s">
        <v>6746</v>
      </c>
    </row>
    <row r="535" spans="19:28">
      <c r="S535" s="11" t="s">
        <v>6158</v>
      </c>
      <c r="T535" s="26">
        <v>676700.69889600005</v>
      </c>
      <c r="V535" s="19" t="s">
        <v>6748</v>
      </c>
      <c r="W535" s="19">
        <v>73</v>
      </c>
      <c r="X535" s="37">
        <v>2521.1733559999998</v>
      </c>
      <c r="Y535" s="37">
        <f t="shared" si="64"/>
        <v>184045.65498799999</v>
      </c>
      <c r="Z535" s="20" t="s">
        <v>5059</v>
      </c>
      <c r="AB535" t="s">
        <v>25</v>
      </c>
    </row>
    <row r="536" spans="19:28">
      <c r="S536" s="11" t="s">
        <v>6166</v>
      </c>
      <c r="T536" s="26">
        <v>1105777.5430340001</v>
      </c>
      <c r="V536" s="19" t="s">
        <v>6760</v>
      </c>
      <c r="W536" s="19">
        <v>1275</v>
      </c>
      <c r="X536" s="37">
        <v>2528.6778709999999</v>
      </c>
      <c r="Y536" s="37">
        <f t="shared" si="64"/>
        <v>3224064.2855249997</v>
      </c>
      <c r="Z536" s="20" t="s">
        <v>5059</v>
      </c>
      <c r="AB536" t="s">
        <v>25</v>
      </c>
    </row>
    <row r="537" spans="19:28">
      <c r="S537" s="11" t="s">
        <v>6168</v>
      </c>
      <c r="T537" s="26">
        <v>2315234.8602510002</v>
      </c>
      <c r="V537" s="19" t="s">
        <v>6761</v>
      </c>
      <c r="W537" s="19">
        <v>57</v>
      </c>
      <c r="X537" s="37">
        <v>2549.1635460000002</v>
      </c>
      <c r="Y537" s="37">
        <f t="shared" si="64"/>
        <v>145302.32212200001</v>
      </c>
      <c r="Z537" s="20" t="s">
        <v>5059</v>
      </c>
      <c r="AA537" t="s">
        <v>25</v>
      </c>
    </row>
    <row r="538" spans="19:28">
      <c r="S538" s="11" t="s">
        <v>6169</v>
      </c>
      <c r="T538" s="26">
        <v>4136360.6541840001</v>
      </c>
      <c r="V538" s="19" t="s">
        <v>6762</v>
      </c>
      <c r="W538" s="19">
        <v>2730</v>
      </c>
      <c r="X538" s="37">
        <v>2631.5477879999999</v>
      </c>
      <c r="Y538" s="37">
        <f t="shared" si="64"/>
        <v>7184125.4612399992</v>
      </c>
      <c r="Z538" s="20" t="s">
        <v>5059</v>
      </c>
    </row>
    <row r="539" spans="19:28">
      <c r="S539" s="11" t="s">
        <v>6170</v>
      </c>
      <c r="T539" s="26">
        <v>3035714.4702960001</v>
      </c>
      <c r="V539" s="19" t="s">
        <v>6764</v>
      </c>
      <c r="W539" s="19">
        <v>3150</v>
      </c>
      <c r="X539" s="37">
        <v>2622.3760240000001</v>
      </c>
      <c r="Y539" s="37">
        <f t="shared" si="64"/>
        <v>8260484.4756000005</v>
      </c>
      <c r="Z539" s="20" t="s">
        <v>5059</v>
      </c>
      <c r="AA539" t="s">
        <v>25</v>
      </c>
      <c r="AB539" t="s">
        <v>25</v>
      </c>
    </row>
    <row r="540" spans="19:28">
      <c r="S540" s="11" t="s">
        <v>6177</v>
      </c>
      <c r="T540" s="26">
        <v>-179906186.46823201</v>
      </c>
      <c r="V540" s="19" t="s">
        <v>6765</v>
      </c>
      <c r="W540" s="19">
        <v>1044</v>
      </c>
      <c r="X540" s="37">
        <v>2673.5657609999998</v>
      </c>
      <c r="Y540" s="37">
        <f t="shared" si="64"/>
        <v>2791202.6544840001</v>
      </c>
      <c r="Z540" s="20" t="s">
        <v>5059</v>
      </c>
    </row>
    <row r="541" spans="19:28">
      <c r="S541" s="11" t="s">
        <v>6180</v>
      </c>
      <c r="T541" s="26">
        <v>345069.28943499998</v>
      </c>
      <c r="V541" s="19" t="s">
        <v>6766</v>
      </c>
      <c r="W541" s="19">
        <v>90</v>
      </c>
      <c r="X541" s="37">
        <v>2757.13409</v>
      </c>
      <c r="Y541" s="37">
        <f t="shared" si="64"/>
        <v>248142.0681</v>
      </c>
      <c r="Z541" s="20" t="s">
        <v>5059</v>
      </c>
      <c r="AA541" t="s">
        <v>25</v>
      </c>
    </row>
    <row r="542" spans="19:28">
      <c r="S542" s="11" t="s">
        <v>6269</v>
      </c>
      <c r="T542" s="26">
        <v>567785.37859199999</v>
      </c>
      <c r="V542" s="145" t="s">
        <v>6784</v>
      </c>
      <c r="W542" s="145">
        <v>-20619</v>
      </c>
      <c r="X542" s="144">
        <v>2901.357</v>
      </c>
      <c r="Y542" s="144">
        <f t="shared" si="64"/>
        <v>-59823079.983000003</v>
      </c>
      <c r="Z542" s="109" t="s">
        <v>5739</v>
      </c>
      <c r="AA542" t="s">
        <v>25</v>
      </c>
    </row>
    <row r="543" spans="19:28">
      <c r="S543" s="11" t="s">
        <v>6275</v>
      </c>
      <c r="T543" s="26">
        <v>189683.91675</v>
      </c>
      <c r="V543" s="145" t="s">
        <v>6784</v>
      </c>
      <c r="W543" s="145">
        <v>-6894</v>
      </c>
      <c r="X543" s="144">
        <v>2901.357</v>
      </c>
      <c r="Y543" s="144">
        <f t="shared" si="64"/>
        <v>-20001955.158</v>
      </c>
      <c r="Z543" s="109" t="s">
        <v>6785</v>
      </c>
    </row>
    <row r="544" spans="19:28">
      <c r="S544" s="11" t="s">
        <v>6276</v>
      </c>
      <c r="T544" s="26">
        <v>10000000</v>
      </c>
      <c r="V544" s="19" t="s">
        <v>6784</v>
      </c>
      <c r="W544" s="19">
        <v>6894</v>
      </c>
      <c r="X544" s="37">
        <v>2901.357</v>
      </c>
      <c r="Y544" s="37">
        <f t="shared" si="64"/>
        <v>20001955.158</v>
      </c>
      <c r="Z544" s="20" t="s">
        <v>6787</v>
      </c>
      <c r="AB544" t="s">
        <v>25</v>
      </c>
    </row>
    <row r="545" spans="16:29">
      <c r="S545" s="11" t="s">
        <v>6276</v>
      </c>
      <c r="T545" s="26">
        <v>519135.75707200001</v>
      </c>
      <c r="V545" s="19" t="s">
        <v>6784</v>
      </c>
      <c r="W545" s="19">
        <v>-193841</v>
      </c>
      <c r="X545" s="37">
        <v>2901.357</v>
      </c>
      <c r="Y545" s="37">
        <f t="shared" si="64"/>
        <v>-562401942.23699999</v>
      </c>
      <c r="Z545" s="20" t="s">
        <v>5364</v>
      </c>
      <c r="AA545" t="s">
        <v>25</v>
      </c>
    </row>
    <row r="546" spans="16:29">
      <c r="Q546" t="s">
        <v>25</v>
      </c>
      <c r="S546" s="11" t="s">
        <v>6282</v>
      </c>
      <c r="T546" s="26">
        <v>3406413.9029760002</v>
      </c>
      <c r="V546" s="19" t="s">
        <v>6784</v>
      </c>
      <c r="W546" s="19">
        <v>-155192</v>
      </c>
      <c r="X546" s="37">
        <v>2901.357</v>
      </c>
      <c r="Y546" s="37">
        <f t="shared" si="64"/>
        <v>-450267395.54399997</v>
      </c>
      <c r="Z546" s="20" t="s">
        <v>5740</v>
      </c>
    </row>
    <row r="547" spans="16:29">
      <c r="S547" s="11" t="s">
        <v>6283</v>
      </c>
      <c r="T547" s="26">
        <v>435036.348168</v>
      </c>
      <c r="V547" s="19" t="s">
        <v>6784</v>
      </c>
      <c r="W547" s="19">
        <v>172</v>
      </c>
      <c r="X547" s="37">
        <v>2901.357</v>
      </c>
      <c r="Y547" s="37">
        <f t="shared" si="64"/>
        <v>499033.40399999998</v>
      </c>
      <c r="Z547" s="20" t="s">
        <v>5728</v>
      </c>
    </row>
    <row r="548" spans="16:29">
      <c r="S548" s="11" t="s">
        <v>6304</v>
      </c>
      <c r="T548" s="26">
        <v>2321535.4633200001</v>
      </c>
      <c r="V548" s="19" t="s">
        <v>6784</v>
      </c>
      <c r="W548" s="19">
        <v>1163</v>
      </c>
      <c r="X548" s="37">
        <v>2901.357</v>
      </c>
      <c r="Y548" s="37">
        <f t="shared" si="64"/>
        <v>3374278.1910000001</v>
      </c>
      <c r="Z548" s="20" t="s">
        <v>5059</v>
      </c>
    </row>
    <row r="549" spans="16:29">
      <c r="S549" s="11" t="s">
        <v>6585</v>
      </c>
      <c r="T549" s="26">
        <v>1098146.8035800001</v>
      </c>
      <c r="V549" s="19" t="s">
        <v>6792</v>
      </c>
      <c r="W549" s="19">
        <v>17233</v>
      </c>
      <c r="X549" s="37">
        <v>2901.357</v>
      </c>
      <c r="Y549" s="37">
        <f t="shared" si="64"/>
        <v>49999085.181000002</v>
      </c>
      <c r="Z549" s="20" t="s">
        <v>6793</v>
      </c>
    </row>
    <row r="550" spans="16:29">
      <c r="S550" s="11" t="s">
        <v>6590</v>
      </c>
      <c r="T550" s="26">
        <v>540424.560405</v>
      </c>
      <c r="V550" s="19" t="s">
        <v>6792</v>
      </c>
      <c r="W550" s="19">
        <v>10340</v>
      </c>
      <c r="X550" s="37">
        <v>2901.357</v>
      </c>
      <c r="Y550" s="37">
        <f t="shared" si="64"/>
        <v>30000031.379999999</v>
      </c>
      <c r="Z550" s="20" t="s">
        <v>5728</v>
      </c>
      <c r="AB550" t="s">
        <v>25</v>
      </c>
    </row>
    <row r="551" spans="16:29">
      <c r="S551" s="11" t="s">
        <v>6591</v>
      </c>
      <c r="T551" s="26">
        <v>2781712.2405709997</v>
      </c>
      <c r="V551" s="19" t="s">
        <v>6798</v>
      </c>
      <c r="W551" s="19">
        <v>17234</v>
      </c>
      <c r="X551" s="37">
        <v>2901.357</v>
      </c>
      <c r="Y551" s="37">
        <f t="shared" si="64"/>
        <v>50001986.538000003</v>
      </c>
      <c r="Z551" s="20" t="s">
        <v>6793</v>
      </c>
      <c r="AB551" t="s">
        <v>25</v>
      </c>
    </row>
    <row r="552" spans="16:29">
      <c r="S552" s="11" t="s">
        <v>6594</v>
      </c>
      <c r="T552" s="26">
        <v>159680.86334900002</v>
      </c>
      <c r="V552" s="19" t="s">
        <v>6799</v>
      </c>
      <c r="W552" s="19">
        <v>17234</v>
      </c>
      <c r="X552" s="37">
        <v>2901.357</v>
      </c>
      <c r="Y552" s="37">
        <f t="shared" si="64"/>
        <v>50001986.538000003</v>
      </c>
      <c r="Z552" s="20" t="s">
        <v>6793</v>
      </c>
      <c r="AB552" t="s">
        <v>25</v>
      </c>
    </row>
    <row r="553" spans="16:29">
      <c r="S553" s="11" t="s">
        <v>6614</v>
      </c>
      <c r="T553" s="26">
        <v>13945790.265610002</v>
      </c>
      <c r="V553" s="19" t="s">
        <v>6799</v>
      </c>
      <c r="W553" s="19">
        <v>17234</v>
      </c>
      <c r="X553" s="37">
        <v>2901.357</v>
      </c>
      <c r="Y553" s="37">
        <f t="shared" si="64"/>
        <v>50001986.538000003</v>
      </c>
      <c r="Z553" s="20" t="s">
        <v>6804</v>
      </c>
      <c r="AC553" t="s">
        <v>25</v>
      </c>
    </row>
    <row r="554" spans="16:29">
      <c r="S554" s="11" t="s">
        <v>6616</v>
      </c>
      <c r="T554" s="26">
        <v>457914.84466800001</v>
      </c>
      <c r="V554" s="19" t="s">
        <v>6800</v>
      </c>
      <c r="W554" s="19">
        <v>17233</v>
      </c>
      <c r="X554" s="37">
        <v>2901.357</v>
      </c>
      <c r="Y554" s="37">
        <f t="shared" si="64"/>
        <v>49999085.181000002</v>
      </c>
      <c r="Z554" s="20" t="s">
        <v>6793</v>
      </c>
      <c r="AB554" t="s">
        <v>25</v>
      </c>
    </row>
    <row r="555" spans="16:29">
      <c r="S555" s="11" t="s">
        <v>6617</v>
      </c>
      <c r="T555" s="26">
        <v>974570.33942399989</v>
      </c>
      <c r="V555" s="19" t="s">
        <v>6801</v>
      </c>
      <c r="W555" s="19">
        <v>34467</v>
      </c>
      <c r="X555" s="37">
        <v>2901.357</v>
      </c>
      <c r="Y555" s="37">
        <f t="shared" si="64"/>
        <v>100001071.719</v>
      </c>
      <c r="Z555" s="20" t="s">
        <v>6793</v>
      </c>
    </row>
    <row r="556" spans="16:29">
      <c r="S556" s="11" t="s">
        <v>6618</v>
      </c>
      <c r="T556" s="26">
        <v>746198.52596400003</v>
      </c>
      <c r="V556" s="19" t="s">
        <v>6803</v>
      </c>
      <c r="W556" s="19">
        <v>17233</v>
      </c>
      <c r="X556" s="37">
        <v>2901.357</v>
      </c>
      <c r="Y556" s="37">
        <f t="shared" si="64"/>
        <v>49999085.181000002</v>
      </c>
      <c r="Z556" s="20" t="s">
        <v>6793</v>
      </c>
    </row>
    <row r="557" spans="16:29">
      <c r="S557" s="11" t="s">
        <v>6620</v>
      </c>
      <c r="T557" s="26">
        <v>416108</v>
      </c>
      <c r="V557" s="19" t="s">
        <v>6805</v>
      </c>
      <c r="W557" s="19">
        <v>928</v>
      </c>
      <c r="X557" s="37">
        <v>2820</v>
      </c>
      <c r="Y557" s="37">
        <f t="shared" si="64"/>
        <v>2616960</v>
      </c>
      <c r="Z557" s="20" t="s">
        <v>5059</v>
      </c>
    </row>
    <row r="558" spans="16:29">
      <c r="P558" s="7"/>
      <c r="S558" s="11" t="s">
        <v>6631</v>
      </c>
      <c r="T558" s="26">
        <v>361620.57555000001</v>
      </c>
      <c r="V558" s="19" t="s">
        <v>6805</v>
      </c>
      <c r="W558" s="19">
        <v>-3980</v>
      </c>
      <c r="X558" s="37">
        <v>2838.81</v>
      </c>
      <c r="Y558" s="37">
        <f t="shared" si="64"/>
        <v>-11298463.799999999</v>
      </c>
      <c r="Z558" s="20" t="s">
        <v>6806</v>
      </c>
    </row>
    <row r="559" spans="16:29">
      <c r="S559" s="11" t="s">
        <v>6632</v>
      </c>
      <c r="T559" s="26">
        <v>761310.51884999999</v>
      </c>
      <c r="V559" s="19" t="s">
        <v>6805</v>
      </c>
      <c r="W559" s="19">
        <v>3980</v>
      </c>
      <c r="X559" s="37">
        <v>2838.81</v>
      </c>
      <c r="Y559" s="37">
        <f t="shared" si="64"/>
        <v>11298463.799999999</v>
      </c>
      <c r="Z559" s="20" t="s">
        <v>6807</v>
      </c>
      <c r="AC559" t="s">
        <v>25</v>
      </c>
    </row>
    <row r="560" spans="16:29">
      <c r="S560" s="11" t="s">
        <v>6633</v>
      </c>
      <c r="T560" s="26">
        <v>3047100.3041699999</v>
      </c>
      <c r="V560" s="19" t="s">
        <v>6805</v>
      </c>
      <c r="W560" s="19">
        <v>23077</v>
      </c>
      <c r="X560" s="37">
        <v>2838.81</v>
      </c>
      <c r="Y560" s="37">
        <f t="shared" ref="Y560:Y580" si="81">W560*X560</f>
        <v>65511218.369999997</v>
      </c>
      <c r="Z560" s="20" t="s">
        <v>6808</v>
      </c>
    </row>
    <row r="561" spans="19:29">
      <c r="S561" s="11" t="s">
        <v>6635</v>
      </c>
      <c r="T561" s="26">
        <v>2437078.451072</v>
      </c>
      <c r="V561" s="19" t="s">
        <v>6809</v>
      </c>
      <c r="W561" s="19">
        <v>8806</v>
      </c>
      <c r="X561" s="37">
        <v>2838.81</v>
      </c>
      <c r="Y561" s="37">
        <f t="shared" si="81"/>
        <v>24998560.859999999</v>
      </c>
      <c r="Z561" s="20" t="s">
        <v>6808</v>
      </c>
      <c r="AB561" t="s">
        <v>25</v>
      </c>
    </row>
    <row r="562" spans="19:29">
      <c r="S562" s="11" t="s">
        <v>6709</v>
      </c>
      <c r="T562" s="26">
        <v>7747639.4065840002</v>
      </c>
      <c r="V562" s="19" t="s">
        <v>6811</v>
      </c>
      <c r="W562" s="19">
        <v>88</v>
      </c>
      <c r="X562" s="37">
        <v>2881.3336610000001</v>
      </c>
      <c r="Y562" s="37">
        <f t="shared" si="81"/>
        <v>253557.36216800002</v>
      </c>
      <c r="Z562" s="20" t="s">
        <v>5059</v>
      </c>
      <c r="AC562" t="s">
        <v>25</v>
      </c>
    </row>
    <row r="563" spans="19:29">
      <c r="S563" s="11" t="s">
        <v>6710</v>
      </c>
      <c r="T563" s="26">
        <v>5584918.3522559991</v>
      </c>
      <c r="V563" s="19" t="s">
        <v>6811</v>
      </c>
      <c r="W563" s="19">
        <v>4729</v>
      </c>
      <c r="X563" s="37">
        <v>2881.3336610000001</v>
      </c>
      <c r="Y563" s="37">
        <f t="shared" si="81"/>
        <v>13625826.882869001</v>
      </c>
      <c r="Z563" s="20" t="s">
        <v>6813</v>
      </c>
      <c r="AC563" t="s">
        <v>25</v>
      </c>
    </row>
    <row r="564" spans="19:29">
      <c r="S564" s="11" t="s">
        <v>6711</v>
      </c>
      <c r="T564" s="26">
        <v>573666.77206800005</v>
      </c>
      <c r="V564" s="19" t="s">
        <v>6814</v>
      </c>
      <c r="W564" s="19">
        <v>322</v>
      </c>
      <c r="X564" s="37">
        <v>2898.1177969999999</v>
      </c>
      <c r="Y564" s="37">
        <f t="shared" si="81"/>
        <v>933193.93063399999</v>
      </c>
      <c r="Z564" s="20" t="s">
        <v>5059</v>
      </c>
    </row>
    <row r="565" spans="19:29">
      <c r="S565" s="11" t="s">
        <v>6715</v>
      </c>
      <c r="T565" s="26">
        <v>1870018.6536539998</v>
      </c>
      <c r="V565" s="19" t="s">
        <v>6817</v>
      </c>
      <c r="W565" s="19">
        <v>387</v>
      </c>
      <c r="X565" s="37">
        <v>3079.346732</v>
      </c>
      <c r="Y565" s="37">
        <f t="shared" si="81"/>
        <v>1191707.1852839999</v>
      </c>
      <c r="Z565" s="20" t="s">
        <v>5059</v>
      </c>
    </row>
    <row r="566" spans="19:29">
      <c r="S566" s="11" t="s">
        <v>6719</v>
      </c>
      <c r="T566" s="26">
        <v>117222.435308</v>
      </c>
      <c r="V566" s="19" t="s">
        <v>6818</v>
      </c>
      <c r="W566" s="19">
        <v>807</v>
      </c>
      <c r="X566" s="37">
        <v>3145.9883460000001</v>
      </c>
      <c r="Y566" s="37">
        <f t="shared" si="81"/>
        <v>2538812.595222</v>
      </c>
      <c r="Z566" s="20" t="s">
        <v>5059</v>
      </c>
      <c r="AA566" t="s">
        <v>25</v>
      </c>
    </row>
    <row r="567" spans="19:29">
      <c r="S567" s="11" t="s">
        <v>6720</v>
      </c>
      <c r="T567" s="26">
        <v>1940857.6749900002</v>
      </c>
      <c r="V567" s="145" t="s">
        <v>6824</v>
      </c>
      <c r="W567" s="145">
        <v>-5039</v>
      </c>
      <c r="X567" s="144">
        <v>3008.7638149999998</v>
      </c>
      <c r="Y567" s="144">
        <f t="shared" si="81"/>
        <v>-15161160.863784999</v>
      </c>
      <c r="Z567" s="109" t="s">
        <v>6825</v>
      </c>
    </row>
    <row r="568" spans="19:29">
      <c r="S568" s="11" t="s">
        <v>6733</v>
      </c>
      <c r="T568" s="26">
        <v>200000000</v>
      </c>
      <c r="V568" s="19" t="s">
        <v>6824</v>
      </c>
      <c r="W568" s="19">
        <v>666</v>
      </c>
      <c r="X568" s="37">
        <v>3028.3040940000001</v>
      </c>
      <c r="Y568" s="37">
        <f t="shared" si="81"/>
        <v>2016850.526604</v>
      </c>
      <c r="Z568" s="20" t="s">
        <v>5059</v>
      </c>
    </row>
    <row r="569" spans="19:29">
      <c r="S569" s="11" t="s">
        <v>6739</v>
      </c>
      <c r="T569" s="26">
        <v>195324.59944799999</v>
      </c>
      <c r="V569" s="19" t="s">
        <v>6827</v>
      </c>
      <c r="W569" s="19">
        <v>44</v>
      </c>
      <c r="X569" s="37">
        <v>2971.6949030000001</v>
      </c>
      <c r="Y569" s="37">
        <f t="shared" si="81"/>
        <v>130754.575732</v>
      </c>
      <c r="Z569" s="20" t="s">
        <v>5059</v>
      </c>
    </row>
    <row r="570" spans="19:29">
      <c r="S570" s="11" t="s">
        <v>6739</v>
      </c>
      <c r="T570" s="26">
        <v>20318581.172208</v>
      </c>
      <c r="V570" s="19" t="s">
        <v>6828</v>
      </c>
      <c r="W570" s="19">
        <v>52</v>
      </c>
      <c r="X570" s="37">
        <v>2956.8541150000001</v>
      </c>
      <c r="Y570" s="37">
        <f t="shared" si="81"/>
        <v>153756.41398000001</v>
      </c>
      <c r="Z570" s="20" t="s">
        <v>5059</v>
      </c>
    </row>
    <row r="571" spans="19:29">
      <c r="S571" s="11" t="s">
        <v>6741</v>
      </c>
      <c r="T571" s="26">
        <v>2893976.613864</v>
      </c>
      <c r="V571" s="145" t="s">
        <v>6829</v>
      </c>
      <c r="W571" s="145">
        <v>-3365</v>
      </c>
      <c r="X571" s="144">
        <v>3036.1223669999999</v>
      </c>
      <c r="Y571" s="144">
        <f t="shared" si="81"/>
        <v>-10216551.764954999</v>
      </c>
      <c r="Z571" s="109" t="s">
        <v>6825</v>
      </c>
    </row>
    <row r="572" spans="19:29">
      <c r="S572" s="11" t="s">
        <v>6742</v>
      </c>
      <c r="T572" s="26">
        <v>348175.86130300001</v>
      </c>
      <c r="V572" s="145" t="s">
        <v>6834</v>
      </c>
      <c r="W572" s="145">
        <v>-1733</v>
      </c>
      <c r="X572" s="144">
        <v>2940.3427999999999</v>
      </c>
      <c r="Y572" s="144">
        <f t="shared" si="81"/>
        <v>-5095614.0723999999</v>
      </c>
      <c r="Z572" s="109" t="s">
        <v>6825</v>
      </c>
      <c r="AC572" t="s">
        <v>25</v>
      </c>
    </row>
    <row r="573" spans="19:29">
      <c r="S573" s="11" t="s">
        <v>6744</v>
      </c>
      <c r="T573" s="26">
        <v>315280.48550000001</v>
      </c>
      <c r="V573" s="19" t="s">
        <v>6834</v>
      </c>
      <c r="W573" s="19">
        <v>187</v>
      </c>
      <c r="X573" s="37">
        <v>2940</v>
      </c>
      <c r="Y573" s="37">
        <f t="shared" si="81"/>
        <v>549780</v>
      </c>
      <c r="Z573" s="20" t="s">
        <v>5059</v>
      </c>
    </row>
    <row r="574" spans="19:29">
      <c r="S574" s="11" t="s">
        <v>6744</v>
      </c>
      <c r="T574" s="26">
        <v>6128000</v>
      </c>
      <c r="V574" s="19" t="s">
        <v>6835</v>
      </c>
      <c r="W574" s="19">
        <v>509</v>
      </c>
      <c r="X574" s="37">
        <v>2877.8520050000002</v>
      </c>
      <c r="Y574" s="37">
        <f t="shared" si="81"/>
        <v>1464826.6705450001</v>
      </c>
      <c r="Z574" s="20" t="s">
        <v>5059</v>
      </c>
    </row>
    <row r="575" spans="19:29">
      <c r="S575" s="11" t="s">
        <v>6748</v>
      </c>
      <c r="T575" s="26">
        <v>184045.65498799999</v>
      </c>
      <c r="U575" t="s">
        <v>25</v>
      </c>
      <c r="V575" s="19" t="s">
        <v>6839</v>
      </c>
      <c r="W575" s="19">
        <v>104</v>
      </c>
      <c r="X575" s="37">
        <v>2870.0135799999998</v>
      </c>
      <c r="Y575" s="37">
        <f t="shared" si="81"/>
        <v>298481.41232</v>
      </c>
      <c r="Z575" s="20" t="s">
        <v>5059</v>
      </c>
    </row>
    <row r="576" spans="19:29">
      <c r="S576" s="11" t="s">
        <v>6760</v>
      </c>
      <c r="T576" s="26">
        <v>3224064.2855249997</v>
      </c>
      <c r="V576" s="145" t="s">
        <v>6843</v>
      </c>
      <c r="W576" s="145">
        <v>-1812</v>
      </c>
      <c r="X576" s="144">
        <v>3015.492741</v>
      </c>
      <c r="Y576" s="144">
        <f t="shared" si="81"/>
        <v>-5464072.8466919996</v>
      </c>
      <c r="Z576" s="109" t="s">
        <v>6844</v>
      </c>
      <c r="AB576" t="s">
        <v>25</v>
      </c>
    </row>
    <row r="577" spans="19:28">
      <c r="S577" s="11" t="s">
        <v>6761</v>
      </c>
      <c r="T577" s="26">
        <v>145302.32212200001</v>
      </c>
      <c r="V577" s="19" t="s">
        <v>6843</v>
      </c>
      <c r="W577" s="19">
        <v>-11819</v>
      </c>
      <c r="X577" s="37">
        <v>3015.492741</v>
      </c>
      <c r="Y577" s="37">
        <f t="shared" si="81"/>
        <v>-35640108.705879003</v>
      </c>
      <c r="Z577" s="20" t="s">
        <v>6847</v>
      </c>
    </row>
    <row r="578" spans="19:28">
      <c r="S578" s="11" t="s">
        <v>6762</v>
      </c>
      <c r="T578" s="26">
        <v>7184125.4612399992</v>
      </c>
      <c r="V578" s="19" t="s">
        <v>6843</v>
      </c>
      <c r="W578" s="19">
        <v>-120858</v>
      </c>
      <c r="X578" s="37">
        <v>3015.492741</v>
      </c>
      <c r="Y578" s="37">
        <f t="shared" si="81"/>
        <v>-364446421.691778</v>
      </c>
      <c r="Z578" s="20" t="s">
        <v>6846</v>
      </c>
    </row>
    <row r="579" spans="19:28">
      <c r="S579" s="11" t="s">
        <v>6764</v>
      </c>
      <c r="T579" s="26">
        <v>8260484.4756000005</v>
      </c>
      <c r="V579" s="19" t="s">
        <v>6848</v>
      </c>
      <c r="W579" s="19">
        <v>261</v>
      </c>
      <c r="X579" s="37">
        <v>3015.492741</v>
      </c>
      <c r="Y579" s="37">
        <f t="shared" si="81"/>
        <v>787043.60540100001</v>
      </c>
      <c r="Z579" s="20" t="s">
        <v>5059</v>
      </c>
    </row>
    <row r="580" spans="19:28">
      <c r="S580" s="11" t="s">
        <v>6765</v>
      </c>
      <c r="T580" s="26">
        <v>2791202.6544840001</v>
      </c>
      <c r="V580" s="19" t="s">
        <v>6798</v>
      </c>
      <c r="W580" s="19">
        <v>8290</v>
      </c>
      <c r="X580" s="37">
        <v>3015.492741</v>
      </c>
      <c r="Y580" s="37">
        <f t="shared" si="81"/>
        <v>24998434.822889999</v>
      </c>
      <c r="Z580" s="20" t="s">
        <v>6854</v>
      </c>
    </row>
    <row r="581" spans="19:28">
      <c r="S581" s="11" t="s">
        <v>6766</v>
      </c>
      <c r="T581" s="26">
        <v>248142.0681</v>
      </c>
      <c r="V581" s="19" t="s">
        <v>6860</v>
      </c>
      <c r="W581" s="19">
        <v>19234</v>
      </c>
      <c r="X581" s="37">
        <v>3015.492741</v>
      </c>
      <c r="Y581" s="37">
        <f t="shared" ref="Y581:Y606" si="82">W581*X581</f>
        <v>57999987.380393997</v>
      </c>
      <c r="Z581" s="20" t="s">
        <v>6854</v>
      </c>
    </row>
    <row r="582" spans="19:28">
      <c r="S582" s="11" t="s">
        <v>6784</v>
      </c>
      <c r="T582" s="26">
        <v>20001955</v>
      </c>
      <c r="U582" t="s">
        <v>25</v>
      </c>
      <c r="V582" s="19" t="s">
        <v>6861</v>
      </c>
      <c r="W582" s="19">
        <v>242</v>
      </c>
      <c r="X582" s="37">
        <v>2808.4181440000002</v>
      </c>
      <c r="Y582" s="37">
        <f t="shared" si="82"/>
        <v>679637.190848</v>
      </c>
      <c r="Z582" s="20" t="s">
        <v>5059</v>
      </c>
      <c r="AB582" t="s">
        <v>25</v>
      </c>
    </row>
    <row r="583" spans="19:28">
      <c r="S583" s="11" t="s">
        <v>6784</v>
      </c>
      <c r="T583" s="26">
        <v>-562401942</v>
      </c>
      <c r="V583" s="19" t="s">
        <v>6867</v>
      </c>
      <c r="W583" s="19">
        <v>141</v>
      </c>
      <c r="X583" s="37">
        <v>2858.5482630000001</v>
      </c>
      <c r="Y583" s="37">
        <f t="shared" si="82"/>
        <v>403055.30508300004</v>
      </c>
      <c r="Z583" s="20" t="s">
        <v>5059</v>
      </c>
    </row>
    <row r="584" spans="19:28">
      <c r="S584" s="11" t="s">
        <v>6784</v>
      </c>
      <c r="T584" s="26">
        <v>499033.40399999998</v>
      </c>
      <c r="V584" s="19" t="s">
        <v>6893</v>
      </c>
      <c r="W584" s="19">
        <v>171</v>
      </c>
      <c r="X584" s="37">
        <v>2790.5885250000001</v>
      </c>
      <c r="Y584" s="37">
        <f t="shared" si="82"/>
        <v>477190.63777500001</v>
      </c>
      <c r="Z584" s="20" t="s">
        <v>5059</v>
      </c>
    </row>
    <row r="585" spans="19:28">
      <c r="S585" s="11" t="s">
        <v>6784</v>
      </c>
      <c r="T585" s="26">
        <v>3374278.1910000001</v>
      </c>
      <c r="V585" s="19" t="s">
        <v>6895</v>
      </c>
      <c r="W585" s="19">
        <v>324</v>
      </c>
      <c r="X585" s="37">
        <v>2823.8782249999999</v>
      </c>
      <c r="Y585" s="37">
        <f t="shared" si="82"/>
        <v>914936.54489999998</v>
      </c>
      <c r="Z585" s="20" t="s">
        <v>5059</v>
      </c>
      <c r="AB585" t="s">
        <v>25</v>
      </c>
    </row>
    <row r="586" spans="19:28">
      <c r="S586" s="11" t="s">
        <v>6792</v>
      </c>
      <c r="T586" s="26">
        <v>30000000</v>
      </c>
      <c r="V586" s="19" t="s">
        <v>6897</v>
      </c>
      <c r="W586" s="19">
        <v>123</v>
      </c>
      <c r="X586" s="37">
        <v>2832.4637769999999</v>
      </c>
      <c r="Y586" s="37">
        <f t="shared" si="82"/>
        <v>348393.04457099998</v>
      </c>
      <c r="Z586" s="20" t="s">
        <v>5059</v>
      </c>
    </row>
    <row r="587" spans="19:28">
      <c r="S587" s="11" t="s">
        <v>6799</v>
      </c>
      <c r="T587" s="26">
        <v>50000000</v>
      </c>
      <c r="V587" s="19" t="s">
        <v>6908</v>
      </c>
      <c r="W587" s="19">
        <v>252</v>
      </c>
      <c r="X587" s="37">
        <v>2859.492174</v>
      </c>
      <c r="Y587" s="37">
        <f t="shared" si="82"/>
        <v>720592.02784799994</v>
      </c>
      <c r="Z587" s="20" t="s">
        <v>5059</v>
      </c>
      <c r="AA587" t="s">
        <v>25</v>
      </c>
      <c r="AB587" t="s">
        <v>25</v>
      </c>
    </row>
    <row r="588" spans="19:28">
      <c r="S588" s="11" t="s">
        <v>6805</v>
      </c>
      <c r="T588" s="26">
        <v>2616960</v>
      </c>
      <c r="V588" s="19" t="s">
        <v>6909</v>
      </c>
      <c r="W588" s="19">
        <v>301</v>
      </c>
      <c r="X588" s="37">
        <v>2890.4368220000001</v>
      </c>
      <c r="Y588" s="37">
        <f t="shared" si="82"/>
        <v>870021.48342200008</v>
      </c>
      <c r="Z588" s="20" t="s">
        <v>5059</v>
      </c>
    </row>
    <row r="589" spans="19:28">
      <c r="S589" s="11" t="s">
        <v>6811</v>
      </c>
      <c r="T589" s="26">
        <v>253557.36216800002</v>
      </c>
      <c r="V589" s="19" t="s">
        <v>6910</v>
      </c>
      <c r="W589" s="19">
        <v>132</v>
      </c>
      <c r="X589" s="37">
        <v>2871.4281299999998</v>
      </c>
      <c r="Y589" s="37">
        <f t="shared" si="82"/>
        <v>379028.51315999997</v>
      </c>
      <c r="Z589" s="20" t="s">
        <v>5059</v>
      </c>
    </row>
    <row r="590" spans="19:28">
      <c r="S590" s="11" t="s">
        <v>6811</v>
      </c>
      <c r="T590" s="26">
        <v>13625826.882869001</v>
      </c>
      <c r="V590" s="19" t="s">
        <v>6911</v>
      </c>
      <c r="W590" s="19">
        <v>257</v>
      </c>
      <c r="X590" s="37">
        <v>2829.3778179999999</v>
      </c>
      <c r="Y590" s="37">
        <f t="shared" si="82"/>
        <v>727150.09922600002</v>
      </c>
      <c r="Z590" s="20" t="s">
        <v>5059</v>
      </c>
      <c r="AB590" t="s">
        <v>25</v>
      </c>
    </row>
    <row r="591" spans="19:28">
      <c r="S591" s="11" t="s">
        <v>6814</v>
      </c>
      <c r="T591" s="26">
        <v>933193.93063399999</v>
      </c>
      <c r="V591" s="19" t="s">
        <v>6918</v>
      </c>
      <c r="W591" s="19">
        <v>3580</v>
      </c>
      <c r="X591" s="37">
        <v>2792.7543000000001</v>
      </c>
      <c r="Y591" s="37">
        <f t="shared" si="82"/>
        <v>9998060.3939999994</v>
      </c>
      <c r="Z591" s="20" t="s">
        <v>6919</v>
      </c>
    </row>
    <row r="592" spans="19:28">
      <c r="S592" s="11" t="s">
        <v>6817</v>
      </c>
      <c r="T592" s="37">
        <v>1191707.1852839999</v>
      </c>
      <c r="V592" s="19" t="s">
        <v>6918</v>
      </c>
      <c r="W592" s="19">
        <v>-3580</v>
      </c>
      <c r="X592" s="37">
        <v>2792.7543000000001</v>
      </c>
      <c r="Y592" s="37">
        <f t="shared" si="82"/>
        <v>-9998060.3939999994</v>
      </c>
      <c r="Z592" s="20" t="s">
        <v>6920</v>
      </c>
      <c r="AB592" t="s">
        <v>25</v>
      </c>
    </row>
    <row r="593" spans="19:29">
      <c r="S593" s="11" t="s">
        <v>6818</v>
      </c>
      <c r="T593" s="26">
        <v>2538812.595222</v>
      </c>
      <c r="V593" s="19" t="s">
        <v>6988</v>
      </c>
      <c r="W593" s="19">
        <v>3891</v>
      </c>
      <c r="X593" s="37">
        <v>2964.3332270000001</v>
      </c>
      <c r="Y593" s="37">
        <f t="shared" si="82"/>
        <v>11534220.586257</v>
      </c>
      <c r="Z593" s="20" t="s">
        <v>6989</v>
      </c>
    </row>
    <row r="594" spans="19:29">
      <c r="S594" s="11" t="s">
        <v>6824</v>
      </c>
      <c r="T594" s="26">
        <v>2016850.526604</v>
      </c>
      <c r="V594" s="19" t="s">
        <v>7003</v>
      </c>
      <c r="W594" s="19">
        <v>2861</v>
      </c>
      <c r="X594" s="37">
        <v>3033.0118830000001</v>
      </c>
      <c r="Y594" s="37">
        <f t="shared" si="82"/>
        <v>8677446.9972630013</v>
      </c>
      <c r="Z594" s="20" t="s">
        <v>5059</v>
      </c>
      <c r="AC594" t="s">
        <v>25</v>
      </c>
    </row>
    <row r="595" spans="19:29">
      <c r="S595" s="11" t="s">
        <v>6827</v>
      </c>
      <c r="T595" s="26">
        <v>130754.575732</v>
      </c>
      <c r="V595" s="19" t="s">
        <v>7004</v>
      </c>
      <c r="W595" s="19">
        <v>1284</v>
      </c>
      <c r="X595" s="37">
        <v>3029.0620829999998</v>
      </c>
      <c r="Y595" s="37">
        <f t="shared" si="82"/>
        <v>3889315.7145719999</v>
      </c>
      <c r="Z595" s="20" t="s">
        <v>5059</v>
      </c>
    </row>
    <row r="596" spans="19:29">
      <c r="S596" s="11" t="s">
        <v>6828</v>
      </c>
      <c r="T596" s="26">
        <v>153756.41398000001</v>
      </c>
      <c r="V596" s="19" t="s">
        <v>7020</v>
      </c>
      <c r="W596" s="19">
        <v>2021</v>
      </c>
      <c r="X596" s="37">
        <v>3344.9430510000002</v>
      </c>
      <c r="Y596" s="37">
        <f t="shared" si="82"/>
        <v>6760129.9060710007</v>
      </c>
      <c r="Z596" s="20" t="s">
        <v>5059</v>
      </c>
    </row>
    <row r="597" spans="19:29">
      <c r="S597" s="11" t="s">
        <v>6834</v>
      </c>
      <c r="T597" s="26">
        <v>549780</v>
      </c>
      <c r="V597" s="19" t="s">
        <v>7022</v>
      </c>
      <c r="W597" s="19">
        <v>2934</v>
      </c>
      <c r="X597" s="37">
        <v>3379.9579100000001</v>
      </c>
      <c r="Y597" s="37">
        <f t="shared" si="82"/>
        <v>9916796.5079399999</v>
      </c>
      <c r="Z597" s="20" t="s">
        <v>5059</v>
      </c>
      <c r="AB597" t="s">
        <v>25</v>
      </c>
    </row>
    <row r="598" spans="19:29">
      <c r="S598" s="11" t="s">
        <v>6835</v>
      </c>
      <c r="T598" s="26">
        <v>1464826.6705450001</v>
      </c>
      <c r="V598" s="19" t="s">
        <v>7026</v>
      </c>
      <c r="W598" s="19">
        <v>275</v>
      </c>
      <c r="X598" s="37">
        <v>3522.6723659999998</v>
      </c>
      <c r="Y598" s="37">
        <f t="shared" si="82"/>
        <v>968734.90064999997</v>
      </c>
      <c r="Z598" s="20" t="s">
        <v>5059</v>
      </c>
      <c r="AC598" t="s">
        <v>25</v>
      </c>
    </row>
    <row r="599" spans="19:29">
      <c r="S599" s="11" t="s">
        <v>6839</v>
      </c>
      <c r="T599" s="26">
        <v>298481.41232</v>
      </c>
      <c r="U599" t="s">
        <v>25</v>
      </c>
      <c r="V599" s="19" t="s">
        <v>7033</v>
      </c>
      <c r="W599" s="19">
        <v>211</v>
      </c>
      <c r="X599" s="37">
        <v>3611.0870030000001</v>
      </c>
      <c r="Y599" s="37">
        <f t="shared" si="82"/>
        <v>761939.35763300001</v>
      </c>
      <c r="Z599" s="20" t="s">
        <v>5059</v>
      </c>
    </row>
    <row r="600" spans="19:29">
      <c r="S600" s="11" t="s">
        <v>6843</v>
      </c>
      <c r="T600" s="26">
        <v>-364446421.691778</v>
      </c>
      <c r="V600" s="19" t="s">
        <v>7035</v>
      </c>
      <c r="W600" s="19">
        <v>957</v>
      </c>
      <c r="X600" s="37">
        <v>3795.0145109999999</v>
      </c>
      <c r="Y600" s="37">
        <f t="shared" si="82"/>
        <v>3631828.8870270001</v>
      </c>
      <c r="Z600" s="20" t="s">
        <v>5059</v>
      </c>
    </row>
    <row r="601" spans="19:29">
      <c r="S601" s="11" t="s">
        <v>6848</v>
      </c>
      <c r="T601" s="26">
        <v>787043.60540100001</v>
      </c>
      <c r="V601" s="19" t="s">
        <v>7042</v>
      </c>
      <c r="W601" s="19">
        <v>508</v>
      </c>
      <c r="X601" s="37">
        <v>3538.9250430000002</v>
      </c>
      <c r="Y601" s="37">
        <f t="shared" si="82"/>
        <v>1797773.921844</v>
      </c>
      <c r="Z601" s="20" t="s">
        <v>5059</v>
      </c>
    </row>
    <row r="602" spans="19:29">
      <c r="S602" s="11" t="s">
        <v>6798</v>
      </c>
      <c r="T602" s="26">
        <v>25000000</v>
      </c>
      <c r="V602" s="19" t="s">
        <v>7051</v>
      </c>
      <c r="W602" s="19">
        <v>1223</v>
      </c>
      <c r="X602" s="37">
        <v>3513.6217029999998</v>
      </c>
      <c r="Y602" s="37">
        <f t="shared" si="82"/>
        <v>4297159.3427689997</v>
      </c>
      <c r="Z602" s="20" t="s">
        <v>5059</v>
      </c>
    </row>
    <row r="603" spans="19:29">
      <c r="S603" s="11" t="s">
        <v>6860</v>
      </c>
      <c r="T603" s="26">
        <v>57999987.380393997</v>
      </c>
      <c r="V603" s="19" t="s">
        <v>7053</v>
      </c>
      <c r="W603" s="19">
        <v>1339</v>
      </c>
      <c r="X603" s="37">
        <v>3559.1614199999999</v>
      </c>
      <c r="Y603" s="37">
        <f t="shared" si="82"/>
        <v>4765717.1413799999</v>
      </c>
      <c r="Z603" s="20" t="s">
        <v>5059</v>
      </c>
    </row>
    <row r="604" spans="19:29">
      <c r="S604" s="11" t="s">
        <v>6861</v>
      </c>
      <c r="T604" s="26">
        <v>679637.190848</v>
      </c>
      <c r="U604" t="s">
        <v>25</v>
      </c>
      <c r="V604" s="19" t="s">
        <v>7063</v>
      </c>
      <c r="W604" s="19">
        <v>1019</v>
      </c>
      <c r="X604" s="37">
        <v>3645.9982620000001</v>
      </c>
      <c r="Y604" s="37">
        <f t="shared" si="82"/>
        <v>3715272.2289780001</v>
      </c>
      <c r="Z604" s="20" t="s">
        <v>5059</v>
      </c>
    </row>
    <row r="605" spans="19:29">
      <c r="S605" s="11" t="s">
        <v>6867</v>
      </c>
      <c r="T605" s="26">
        <v>403055.30508300004</v>
      </c>
      <c r="V605" s="19" t="s">
        <v>7065</v>
      </c>
      <c r="W605" s="19">
        <v>2384</v>
      </c>
      <c r="X605" s="37">
        <v>3595.7232680000002</v>
      </c>
      <c r="Y605" s="37">
        <f t="shared" si="82"/>
        <v>8572204.2709120009</v>
      </c>
      <c r="Z605" s="20" t="s">
        <v>5059</v>
      </c>
    </row>
    <row r="606" spans="19:29">
      <c r="S606" s="11" t="s">
        <v>6893</v>
      </c>
      <c r="T606" s="26">
        <v>477190.63777500001</v>
      </c>
      <c r="V606" s="19" t="s">
        <v>7066</v>
      </c>
      <c r="W606" s="19">
        <v>1369</v>
      </c>
      <c r="X606" s="37">
        <v>3654.9096880000002</v>
      </c>
      <c r="Y606" s="37">
        <f t="shared" si="82"/>
        <v>5003571.3628719999</v>
      </c>
      <c r="Z606" s="20" t="s">
        <v>5059</v>
      </c>
      <c r="AA606" t="s">
        <v>7021</v>
      </c>
    </row>
    <row r="607" spans="19:29">
      <c r="S607" s="11" t="s">
        <v>6895</v>
      </c>
      <c r="T607" s="26">
        <v>914936.54489999998</v>
      </c>
      <c r="V607" s="19"/>
      <c r="W607" s="19"/>
      <c r="X607" s="37"/>
      <c r="Y607" s="37"/>
      <c r="Z607" s="20"/>
    </row>
    <row r="608" spans="19:29">
      <c r="S608" s="11" t="s">
        <v>6897</v>
      </c>
      <c r="T608" s="26">
        <v>348393.04457099998</v>
      </c>
      <c r="V608" s="19"/>
      <c r="W608" s="19"/>
      <c r="X608" s="37"/>
      <c r="Y608" s="37"/>
      <c r="Z608" s="20"/>
      <c r="AA608" t="s">
        <v>25</v>
      </c>
    </row>
    <row r="609" spans="19:28">
      <c r="S609" s="11" t="s">
        <v>6908</v>
      </c>
      <c r="T609" s="26">
        <v>720592.02784799994</v>
      </c>
      <c r="V609" s="19"/>
      <c r="W609" s="19"/>
      <c r="X609" s="37"/>
      <c r="Y609" s="37">
        <f t="shared" si="64"/>
        <v>0</v>
      </c>
      <c r="Z609" s="206"/>
      <c r="AB609" t="s">
        <v>25</v>
      </c>
    </row>
    <row r="610" spans="19:28">
      <c r="S610" s="11" t="s">
        <v>6909</v>
      </c>
      <c r="T610" s="26">
        <v>870021.48342200008</v>
      </c>
      <c r="V610" s="11"/>
      <c r="W610" s="2"/>
      <c r="X610" s="3"/>
      <c r="Y610" s="37">
        <f t="shared" si="64"/>
        <v>0</v>
      </c>
      <c r="Z610" s="11"/>
      <c r="AA610" t="s">
        <v>25</v>
      </c>
      <c r="AB610" t="s">
        <v>25</v>
      </c>
    </row>
    <row r="611" spans="19:28">
      <c r="S611" s="11" t="s">
        <v>6910</v>
      </c>
      <c r="T611" s="26">
        <v>379028.51315999997</v>
      </c>
      <c r="V611" s="2"/>
      <c r="W611" s="2">
        <f>SUM(W166:W610)</f>
        <v>4155624</v>
      </c>
      <c r="X611" s="11"/>
      <c r="Y611" s="11"/>
      <c r="Z611" s="11"/>
      <c r="AA611" t="s">
        <v>25</v>
      </c>
    </row>
    <row r="612" spans="19:28">
      <c r="S612" s="11" t="s">
        <v>6911</v>
      </c>
      <c r="T612" s="26">
        <v>727150.09922600002</v>
      </c>
      <c r="V612" s="11"/>
      <c r="W612" s="11" t="s">
        <v>6</v>
      </c>
      <c r="X612" s="11"/>
      <c r="Y612" s="11"/>
      <c r="Z612" s="11"/>
    </row>
    <row r="613" spans="19:28">
      <c r="S613" s="11" t="s">
        <v>6988</v>
      </c>
      <c r="T613" s="26">
        <v>11534220.586257</v>
      </c>
      <c r="V613" s="153" t="s">
        <v>4405</v>
      </c>
    </row>
    <row r="614" spans="19:28">
      <c r="S614" s="11" t="s">
        <v>7003</v>
      </c>
      <c r="T614" s="26">
        <v>8677446.9972630013</v>
      </c>
      <c r="V614" s="152">
        <f>T178/W611</f>
        <v>3654.9096874500678</v>
      </c>
      <c r="Z614" t="s">
        <v>25</v>
      </c>
    </row>
    <row r="615" spans="19:28">
      <c r="S615" s="11" t="s">
        <v>7004</v>
      </c>
      <c r="T615" s="26">
        <v>3889315.7145719999</v>
      </c>
      <c r="Y615" s="7"/>
    </row>
    <row r="616" spans="19:28">
      <c r="S616" s="11" t="s">
        <v>7020</v>
      </c>
      <c r="T616" s="26">
        <v>6760129.9060710007</v>
      </c>
      <c r="W616" t="s">
        <v>267</v>
      </c>
      <c r="X616" t="s">
        <v>4406</v>
      </c>
      <c r="Z616" t="s">
        <v>25</v>
      </c>
    </row>
    <row r="617" spans="19:28">
      <c r="S617" s="11" t="s">
        <v>7022</v>
      </c>
      <c r="T617" s="26">
        <v>9916796.5079399999</v>
      </c>
      <c r="V617" s="7"/>
      <c r="W617" s="26">
        <v>-5004357</v>
      </c>
      <c r="X617">
        <f>W617/V614</f>
        <v>-1369.2149541159813</v>
      </c>
      <c r="Z617" t="s">
        <v>25</v>
      </c>
      <c r="AB617" t="s">
        <v>25</v>
      </c>
    </row>
    <row r="618" spans="19:28">
      <c r="S618" s="11" t="s">
        <v>7026</v>
      </c>
      <c r="T618" s="26">
        <v>968734.90064999997</v>
      </c>
      <c r="U618" t="s">
        <v>25</v>
      </c>
      <c r="V618" t="s">
        <v>25</v>
      </c>
      <c r="Z618" t="s">
        <v>25</v>
      </c>
    </row>
    <row r="619" spans="19:28">
      <c r="S619" s="11" t="s">
        <v>7033</v>
      </c>
      <c r="T619" s="26">
        <v>761939.35763300001</v>
      </c>
      <c r="V619" t="s">
        <v>25</v>
      </c>
      <c r="W619" t="s">
        <v>25</v>
      </c>
      <c r="X619" s="22"/>
      <c r="Y619" s="165"/>
      <c r="Z619" s="215" t="s">
        <v>25</v>
      </c>
    </row>
    <row r="620" spans="19:28">
      <c r="S620" s="11" t="s">
        <v>7035</v>
      </c>
      <c r="T620" s="26">
        <v>3631828.8870270001</v>
      </c>
      <c r="V620" t="s">
        <v>25</v>
      </c>
      <c r="X620">
        <f>132*V614</f>
        <v>482448.07874340896</v>
      </c>
      <c r="Y620" t="s">
        <v>25</v>
      </c>
      <c r="Z620" t="s">
        <v>25</v>
      </c>
    </row>
    <row r="621" spans="19:28">
      <c r="S621" s="11" t="s">
        <v>7042</v>
      </c>
      <c r="T621" s="26">
        <v>1797773.921844</v>
      </c>
      <c r="V621" t="s">
        <v>25</v>
      </c>
      <c r="Y621" s="7"/>
      <c r="Z621" s="7"/>
    </row>
    <row r="622" spans="19:28">
      <c r="S622" s="11" t="s">
        <v>7051</v>
      </c>
      <c r="T622" s="26">
        <v>4297159.3427689997</v>
      </c>
      <c r="V622" s="22"/>
      <c r="X622" s="165"/>
    </row>
    <row r="623" spans="19:28">
      <c r="S623" s="11" t="s">
        <v>7053</v>
      </c>
      <c r="T623" s="26">
        <v>4765717.1413799999</v>
      </c>
      <c r="U623" t="s">
        <v>25</v>
      </c>
      <c r="V623" s="22"/>
      <c r="Y623" s="215"/>
      <c r="AA623" t="s">
        <v>25</v>
      </c>
    </row>
    <row r="624" spans="19:28">
      <c r="S624" s="11" t="s">
        <v>7063</v>
      </c>
      <c r="T624" s="26">
        <v>3715272.2289780001</v>
      </c>
    </row>
    <row r="625" spans="17:26">
      <c r="S625" s="11" t="s">
        <v>7065</v>
      </c>
      <c r="T625" s="37">
        <v>8572204.2709120009</v>
      </c>
    </row>
    <row r="626" spans="17:26">
      <c r="S626" s="11" t="s">
        <v>7066</v>
      </c>
      <c r="T626" s="37">
        <v>5003571.3628719999</v>
      </c>
      <c r="V626" s="11" t="s">
        <v>4407</v>
      </c>
      <c r="W626" s="11" t="s">
        <v>4388</v>
      </c>
      <c r="X626" s="11" t="s">
        <v>916</v>
      </c>
    </row>
    <row r="627" spans="17:26">
      <c r="S627" s="11"/>
      <c r="T627" s="37"/>
      <c r="V627" s="26">
        <f>U237+T317+T632</f>
        <v>1844842177.1367345</v>
      </c>
      <c r="W627" s="26">
        <f>T178</f>
        <v>15188430415</v>
      </c>
      <c r="X627" s="26">
        <f>W627-V627</f>
        <v>13343588237.863266</v>
      </c>
    </row>
    <row r="628" spans="17:26">
      <c r="S628" s="11"/>
      <c r="T628" s="37"/>
      <c r="Y628" t="s">
        <v>25</v>
      </c>
    </row>
    <row r="629" spans="17:26">
      <c r="S629" s="11"/>
      <c r="T629" s="26"/>
      <c r="X629">
        <v>193</v>
      </c>
    </row>
    <row r="630" spans="17:26">
      <c r="S630" s="11"/>
      <c r="T630" s="26"/>
      <c r="V630" t="s">
        <v>5365</v>
      </c>
      <c r="W630">
        <v>353427</v>
      </c>
      <c r="X630" s="7">
        <f>W630*$X$629</f>
        <v>68211411</v>
      </c>
    </row>
    <row r="631" spans="17:26">
      <c r="Q631" t="s">
        <v>25</v>
      </c>
      <c r="S631" s="11" t="s">
        <v>25</v>
      </c>
      <c r="T631" s="11" t="s">
        <v>25</v>
      </c>
      <c r="V631" t="s">
        <v>6759</v>
      </c>
      <c r="W631">
        <v>2333000</v>
      </c>
      <c r="X631" s="7">
        <f>W631*$X$629</f>
        <v>450269000</v>
      </c>
    </row>
    <row r="632" spans="17:26">
      <c r="S632" s="11"/>
      <c r="T632" s="26">
        <f>SUM(T322:T631)</f>
        <v>1726050979.9613974</v>
      </c>
      <c r="V632" s="324" t="s">
        <v>1049</v>
      </c>
      <c r="W632" s="324">
        <v>309975</v>
      </c>
      <c r="X632" s="325">
        <f>W632*$X$629</f>
        <v>59825175</v>
      </c>
    </row>
    <row r="633" spans="17:26">
      <c r="T633" s="11" t="s">
        <v>6</v>
      </c>
      <c r="V633" t="s">
        <v>433</v>
      </c>
      <c r="W633">
        <v>2914000</v>
      </c>
      <c r="X633" s="7">
        <f>W633*$X$629</f>
        <v>562402000</v>
      </c>
    </row>
    <row r="634" spans="17:26">
      <c r="V634" s="7" t="s">
        <v>25</v>
      </c>
    </row>
    <row r="635" spans="17:26">
      <c r="Q635" t="s">
        <v>25</v>
      </c>
      <c r="S635" t="s">
        <v>25</v>
      </c>
      <c r="V635" t="s">
        <v>25</v>
      </c>
    </row>
    <row r="636" spans="17:26">
      <c r="S636" t="s">
        <v>25</v>
      </c>
      <c r="V636" t="s">
        <v>25</v>
      </c>
      <c r="X636" t="s">
        <v>25</v>
      </c>
      <c r="Z636" s="7"/>
    </row>
    <row r="637" spans="17:26">
      <c r="S637" t="s">
        <v>25</v>
      </c>
      <c r="T637" t="s">
        <v>25</v>
      </c>
      <c r="Y637" t="s">
        <v>25</v>
      </c>
    </row>
    <row r="638" spans="17:26">
      <c r="R638" t="s">
        <v>25</v>
      </c>
      <c r="S638" t="s">
        <v>25</v>
      </c>
      <c r="T638" t="s">
        <v>25</v>
      </c>
      <c r="V638" t="s">
        <v>25</v>
      </c>
    </row>
    <row r="639" spans="17:26">
      <c r="Q639" t="s">
        <v>25</v>
      </c>
      <c r="S639" s="7"/>
      <c r="T639" t="s">
        <v>25</v>
      </c>
      <c r="V639" t="s">
        <v>25</v>
      </c>
    </row>
    <row r="640" spans="17:26">
      <c r="S640" t="s">
        <v>25</v>
      </c>
      <c r="V640" t="s">
        <v>25</v>
      </c>
    </row>
    <row r="641" spans="19:26">
      <c r="T641" t="s">
        <v>25</v>
      </c>
      <c r="V641" t="s">
        <v>25</v>
      </c>
      <c r="Y641" t="s">
        <v>25</v>
      </c>
    </row>
    <row r="642" spans="19:26">
      <c r="S642" t="s">
        <v>25</v>
      </c>
      <c r="Z642" t="s">
        <v>25</v>
      </c>
    </row>
    <row r="643" spans="19:26">
      <c r="X643" t="s">
        <v>25</v>
      </c>
    </row>
    <row r="645" spans="19:26">
      <c r="V645" t="s">
        <v>25</v>
      </c>
      <c r="W645" t="s">
        <v>25</v>
      </c>
    </row>
    <row r="646" spans="19:26">
      <c r="V646" t="s">
        <v>25</v>
      </c>
    </row>
    <row r="651" spans="19:26">
      <c r="Z651" t="s">
        <v>25</v>
      </c>
    </row>
    <row r="657" spans="23:25">
      <c r="Y657" s="7"/>
    </row>
    <row r="661" spans="23:25">
      <c r="W661" s="7"/>
    </row>
  </sheetData>
  <conditionalFormatting sqref="G3:G6">
    <cfRule type="cellIs" dxfId="12" priority="15" operator="greaterThan">
      <formula>0</formula>
    </cfRule>
  </conditionalFormatting>
  <conditionalFormatting sqref="G2:G62">
    <cfRule type="cellIs" dxfId="11" priority="14" operator="greaterThan">
      <formula>0</formula>
    </cfRule>
  </conditionalFormatting>
  <conditionalFormatting sqref="G1:G62 G282:G1048576 E66:E68 G276:G277 J293:J297 G80 J80:J93">
    <cfRule type="cellIs" dxfId="10" priority="13" operator="lessThan">
      <formula>0</formula>
    </cfRule>
  </conditionalFormatting>
  <pageMargins left="0.7" right="0.7" top="0.75" bottom="0.75" header="0.3" footer="0.3"/>
  <pageSetup orientation="portrait" r:id="rId1"/>
  <ignoredErrors>
    <ignoredError sqref="N10"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0"/>
  <sheetViews>
    <sheetView zoomScaleNormal="100" workbookViewId="0">
      <selection activeCell="I6" sqref="I6"/>
    </sheetView>
  </sheetViews>
  <sheetFormatPr defaultRowHeight="15"/>
  <cols>
    <col min="1" max="1" width="31.140625" customWidth="1"/>
    <col min="2" max="2" width="21.5703125" customWidth="1"/>
    <col min="3" max="4" width="19.5703125" customWidth="1"/>
    <col min="5" max="5" width="14.28515625" customWidth="1"/>
    <col min="6" max="6" width="22.85546875" customWidth="1"/>
    <col min="7" max="7" width="19.5703125" bestFit="1" customWidth="1"/>
    <col min="8" max="8" width="28.28515625" bestFit="1" customWidth="1"/>
    <col min="9" max="9" width="12.5703125" bestFit="1" customWidth="1"/>
    <col min="10" max="10" width="16.14062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19" ht="15.75">
      <c r="A1" s="264" t="s">
        <v>4786</v>
      </c>
      <c r="B1" s="264" t="s">
        <v>4787</v>
      </c>
      <c r="C1" s="306" t="s">
        <v>6773</v>
      </c>
      <c r="D1" s="264" t="s">
        <v>6857</v>
      </c>
      <c r="E1" s="306" t="s">
        <v>6775</v>
      </c>
      <c r="F1" s="264" t="s">
        <v>6858</v>
      </c>
      <c r="G1" s="264" t="s">
        <v>6777</v>
      </c>
      <c r="H1" s="264" t="s">
        <v>6857</v>
      </c>
      <c r="I1" s="264" t="s">
        <v>6832</v>
      </c>
      <c r="J1" s="264" t="s">
        <v>6858</v>
      </c>
      <c r="K1" s="264" t="s">
        <v>6598</v>
      </c>
      <c r="L1" s="264" t="s">
        <v>4870</v>
      </c>
      <c r="M1" s="242">
        <v>72000000000</v>
      </c>
      <c r="R1" t="s">
        <v>4790</v>
      </c>
      <c r="S1" t="s">
        <v>4791</v>
      </c>
    </row>
    <row r="2" spans="1:19" ht="17.25">
      <c r="A2" s="313" t="s">
        <v>4788</v>
      </c>
      <c r="B2" s="314">
        <v>88414000000</v>
      </c>
      <c r="C2" s="315">
        <f>'سهام بنیادی'!B2</f>
        <v>25.67</v>
      </c>
      <c r="D2" s="315">
        <f>B2*C2/$M$1</f>
        <v>31.522046944444444</v>
      </c>
      <c r="E2" s="315">
        <f>'سهام بنیادی'!C2</f>
        <v>25.2</v>
      </c>
      <c r="F2" s="315">
        <f>B2*E2/$M$1</f>
        <v>30.944900000000001</v>
      </c>
      <c r="G2" s="315">
        <f>'سهام بنیادی'!D2</f>
        <v>33.700000000000003</v>
      </c>
      <c r="H2" s="315">
        <f>B2*G2/$M$1</f>
        <v>41.382663888888892</v>
      </c>
      <c r="I2" s="315">
        <f>'سهام بنیادی'!E2</f>
        <v>27</v>
      </c>
      <c r="J2" s="315">
        <f>B2*I2/$M$1</f>
        <v>33.155250000000002</v>
      </c>
      <c r="K2" s="315">
        <f>'سهام بنیادی'!H2</f>
        <v>218</v>
      </c>
      <c r="L2" s="315">
        <f>B2*K2/$M$1</f>
        <v>267.69794444444443</v>
      </c>
    </row>
    <row r="3" spans="1:19" ht="34.5">
      <c r="A3" s="316" t="s">
        <v>6141</v>
      </c>
      <c r="B3" s="314">
        <v>3217000000</v>
      </c>
      <c r="C3" s="315">
        <f>'سهام بنیادی'!B56</f>
        <v>150</v>
      </c>
      <c r="D3" s="315">
        <f>B3*C3/$M$1</f>
        <v>6.7020833333333334</v>
      </c>
      <c r="E3" s="315">
        <f>'سهام بنیادی'!C56</f>
        <v>120</v>
      </c>
      <c r="F3" s="315">
        <f>B3*E3/$M$1</f>
        <v>5.3616666666666664</v>
      </c>
      <c r="G3" s="315">
        <f>'سهام بنیادی'!D56</f>
        <v>172</v>
      </c>
      <c r="H3" s="315">
        <f>B3*G3/$M$1</f>
        <v>7.6850555555555555</v>
      </c>
      <c r="I3" s="315">
        <f>'سهام بنیادی'!E56</f>
        <v>156</v>
      </c>
      <c r="J3" s="315">
        <f t="shared" ref="J3:J9" si="0">B3*I3/$M$1</f>
        <v>6.9701666666666666</v>
      </c>
      <c r="K3" s="315">
        <f>'سهام بنیادی'!H56</f>
        <v>1554</v>
      </c>
      <c r="L3" s="315">
        <f>B3*K3/$M$1</f>
        <v>69.433583333333331</v>
      </c>
    </row>
    <row r="4" spans="1:19" ht="17.25">
      <c r="A4" s="313" t="s">
        <v>5753</v>
      </c>
      <c r="B4" s="314">
        <v>27416800780</v>
      </c>
      <c r="C4" s="317">
        <f>D26</f>
        <v>548.28187817253126</v>
      </c>
      <c r="D4" s="315">
        <f>B4*C4/$M$1</f>
        <v>208.77965312695167</v>
      </c>
      <c r="E4" s="313">
        <f>'سهام بنیادی'!C35</f>
        <v>353</v>
      </c>
      <c r="F4" s="315">
        <f>B4*E4/$M$1</f>
        <v>134.41848160194445</v>
      </c>
      <c r="G4" s="315">
        <f>H26</f>
        <v>868.78944319325433</v>
      </c>
      <c r="H4" s="315">
        <f>B4*G4/$M$1</f>
        <v>330.82537616384144</v>
      </c>
      <c r="I4" s="315">
        <f>'سهام بنیادی'!E35</f>
        <v>510</v>
      </c>
      <c r="J4" s="315">
        <f t="shared" si="0"/>
        <v>194.20233885833332</v>
      </c>
      <c r="K4" s="315">
        <f>L26</f>
        <v>4772.8993686698768</v>
      </c>
      <c r="L4" s="315">
        <f>B4*K4/$M$1</f>
        <v>1817.4670990806915</v>
      </c>
    </row>
    <row r="5" spans="1:19" ht="17.25">
      <c r="A5" s="316" t="s">
        <v>6755</v>
      </c>
      <c r="B5" s="314">
        <v>18000000000</v>
      </c>
      <c r="C5" s="315">
        <f>D50</f>
        <v>201.73422115388888</v>
      </c>
      <c r="D5" s="315">
        <f>B5*C5/$M$1</f>
        <v>50.43355528847222</v>
      </c>
      <c r="E5" s="315">
        <v>106</v>
      </c>
      <c r="F5" s="315">
        <f>B5*E5/$M$1</f>
        <v>26.5</v>
      </c>
      <c r="G5" s="315">
        <f>H50</f>
        <v>369.13279397927778</v>
      </c>
      <c r="H5" s="315">
        <f>B5*G5/$M$1</f>
        <v>92.283198494819445</v>
      </c>
      <c r="I5" s="315">
        <v>250</v>
      </c>
      <c r="J5" s="315">
        <f t="shared" si="0"/>
        <v>62.5</v>
      </c>
      <c r="K5" s="315">
        <f>L50</f>
        <v>3269.9396624991109</v>
      </c>
      <c r="L5" s="315">
        <f>B5*K5/$M$1</f>
        <v>817.48491562477773</v>
      </c>
    </row>
    <row r="6" spans="1:19" ht="17.25">
      <c r="A6" s="316"/>
      <c r="B6" s="314"/>
      <c r="C6" s="315"/>
      <c r="D6" s="315"/>
      <c r="E6" s="315"/>
      <c r="F6" s="315"/>
      <c r="G6" s="315"/>
      <c r="H6" s="315"/>
      <c r="I6" s="315"/>
      <c r="J6" s="315">
        <f t="shared" si="0"/>
        <v>0</v>
      </c>
      <c r="K6" s="315"/>
      <c r="L6" s="315"/>
    </row>
    <row r="7" spans="1:19" ht="17.25">
      <c r="A7" s="313" t="s">
        <v>5730</v>
      </c>
      <c r="B7" s="313">
        <v>1</v>
      </c>
      <c r="C7" s="313"/>
      <c r="D7" s="315">
        <v>52</v>
      </c>
      <c r="E7" s="313"/>
      <c r="F7" s="315">
        <v>27</v>
      </c>
      <c r="G7" s="315"/>
      <c r="H7" s="315">
        <v>70</v>
      </c>
      <c r="I7" s="315"/>
      <c r="J7" s="315">
        <v>35</v>
      </c>
      <c r="K7" s="315" t="s">
        <v>5354</v>
      </c>
      <c r="L7" s="315">
        <v>370</v>
      </c>
    </row>
    <row r="8" spans="1:19" ht="17.25">
      <c r="A8" s="313" t="s">
        <v>6770</v>
      </c>
      <c r="B8" s="313">
        <v>1</v>
      </c>
      <c r="C8" s="313"/>
      <c r="D8" s="315">
        <v>15</v>
      </c>
      <c r="E8" s="315"/>
      <c r="F8" s="315">
        <v>0</v>
      </c>
      <c r="G8" s="315"/>
      <c r="H8" s="315">
        <v>31</v>
      </c>
      <c r="I8" s="315"/>
      <c r="J8" s="315">
        <f t="shared" si="0"/>
        <v>0</v>
      </c>
      <c r="K8" s="315" t="s">
        <v>5535</v>
      </c>
      <c r="L8" s="315">
        <v>230</v>
      </c>
      <c r="N8" t="s">
        <v>25</v>
      </c>
    </row>
    <row r="9" spans="1:19" ht="17.25">
      <c r="A9" s="313"/>
      <c r="B9" s="313"/>
      <c r="C9" s="313"/>
      <c r="D9" s="313"/>
      <c r="E9" s="313"/>
      <c r="F9" s="313"/>
      <c r="G9" s="313"/>
      <c r="H9" s="313"/>
      <c r="I9" s="313"/>
      <c r="J9" s="315">
        <f t="shared" si="0"/>
        <v>0</v>
      </c>
      <c r="K9" s="315" t="s">
        <v>5355</v>
      </c>
      <c r="L9" s="315">
        <v>140</v>
      </c>
    </row>
    <row r="10" spans="1:19" ht="17.25">
      <c r="A10" s="313"/>
      <c r="B10" s="313"/>
      <c r="C10" s="313"/>
      <c r="D10" s="315">
        <f>SUM(D2:D9)</f>
        <v>364.4373386932017</v>
      </c>
      <c r="E10" s="313"/>
      <c r="F10" s="315">
        <f>SUM(F2:F8)</f>
        <v>224.22504826861112</v>
      </c>
      <c r="G10" s="313"/>
      <c r="H10" s="315">
        <f>SUM(H2:H9)</f>
        <v>573.17629410310531</v>
      </c>
      <c r="I10" s="315">
        <f>SUM(I2:I8)</f>
        <v>943</v>
      </c>
      <c r="J10" s="315">
        <f>SUM(J2:J8)</f>
        <v>331.82775552499999</v>
      </c>
      <c r="K10" s="313" t="s">
        <v>4405</v>
      </c>
      <c r="L10" s="315">
        <f>SUM(L2:L9)</f>
        <v>3712.0835424832471</v>
      </c>
    </row>
    <row r="11" spans="1:19" ht="17.25">
      <c r="A11" s="313"/>
      <c r="B11" s="313"/>
      <c r="C11" s="313"/>
      <c r="D11" s="313" t="s">
        <v>6706</v>
      </c>
      <c r="E11" s="313"/>
      <c r="F11" s="313" t="s">
        <v>6290</v>
      </c>
      <c r="G11" s="313"/>
      <c r="H11" s="313" t="s">
        <v>6599</v>
      </c>
      <c r="I11" s="330"/>
      <c r="J11" s="330" t="s">
        <v>6859</v>
      </c>
      <c r="K11" s="313" t="s">
        <v>4971</v>
      </c>
      <c r="L11" s="315">
        <v>1465</v>
      </c>
    </row>
    <row r="12" spans="1:19" ht="17.25">
      <c r="A12" s="313"/>
      <c r="B12" s="313"/>
      <c r="C12" s="313"/>
      <c r="D12" s="313"/>
      <c r="E12" s="313"/>
      <c r="F12" s="313"/>
      <c r="G12" s="313"/>
      <c r="H12" s="313">
        <f>F10*H10/D10</f>
        <v>352.65454048298341</v>
      </c>
      <c r="I12" s="313"/>
      <c r="J12" s="313"/>
      <c r="K12" s="313" t="s">
        <v>4972</v>
      </c>
      <c r="L12" s="313">
        <f>L11/L10</f>
        <v>0.39465706610147278</v>
      </c>
    </row>
    <row r="13" spans="1:19">
      <c r="S13" t="s">
        <v>25</v>
      </c>
    </row>
    <row r="14" spans="1:19" ht="15.75">
      <c r="A14" s="264" t="s">
        <v>6768</v>
      </c>
      <c r="B14" s="264" t="s">
        <v>4787</v>
      </c>
      <c r="C14" s="306" t="s">
        <v>6773</v>
      </c>
      <c r="D14" s="264" t="s">
        <v>6774</v>
      </c>
      <c r="E14" s="306" t="s">
        <v>6775</v>
      </c>
      <c r="F14" s="264" t="s">
        <v>6776</v>
      </c>
      <c r="G14" s="264" t="s">
        <v>6777</v>
      </c>
      <c r="H14" s="264" t="s">
        <v>6774</v>
      </c>
      <c r="I14" s="264" t="s">
        <v>6832</v>
      </c>
      <c r="J14" s="264" t="s">
        <v>6776</v>
      </c>
      <c r="K14" s="264" t="s">
        <v>4221</v>
      </c>
      <c r="L14" s="264" t="s">
        <v>4870</v>
      </c>
      <c r="M14" s="242">
        <v>40500000000</v>
      </c>
    </row>
    <row r="15" spans="1:19" ht="17.25">
      <c r="A15" s="310" t="s">
        <v>4788</v>
      </c>
      <c r="B15" s="311">
        <v>89305000000</v>
      </c>
      <c r="C15" s="312">
        <f>'سهام بنیادی'!B2</f>
        <v>25.67</v>
      </c>
      <c r="D15" s="312">
        <f t="shared" ref="D15:D23" si="1">B15*C15/$M$14</f>
        <v>56.603934567901234</v>
      </c>
      <c r="E15" s="312">
        <f>'سهام بنیادی'!C2</f>
        <v>25.2</v>
      </c>
      <c r="F15" s="312">
        <f>B15*E15/$M$14</f>
        <v>55.567555555555558</v>
      </c>
      <c r="G15" s="312">
        <f>'سهام بنیادی'!D2</f>
        <v>33.700000000000003</v>
      </c>
      <c r="H15" s="312">
        <f t="shared" ref="H15:H23" si="2">B15*G15/$M$14</f>
        <v>74.310580246913588</v>
      </c>
      <c r="I15" s="312">
        <f>'سهام بنیادی'!E2</f>
        <v>27</v>
      </c>
      <c r="J15" s="312">
        <f>B15*I15/$M$14</f>
        <v>59.536666666666669</v>
      </c>
      <c r="K15" s="312">
        <f>'سهام بنیادی'!H2</f>
        <v>218</v>
      </c>
      <c r="L15" s="312">
        <f t="shared" ref="L15:L23" si="3">B15*K15/$M$14</f>
        <v>480.70345679012348</v>
      </c>
    </row>
    <row r="16" spans="1:19" ht="17.25">
      <c r="A16" s="310" t="s">
        <v>6272</v>
      </c>
      <c r="B16" s="311">
        <v>5955280568</v>
      </c>
      <c r="C16" s="312">
        <f>'سهام بنیادی'!B20</f>
        <v>187.62790697674419</v>
      </c>
      <c r="D16" s="312">
        <f t="shared" si="1"/>
        <v>27.589551319336202</v>
      </c>
      <c r="E16" s="312">
        <f>'سهام بنیادی'!C20</f>
        <v>131.44186046511629</v>
      </c>
      <c r="F16" s="312">
        <f t="shared" ref="F16:F23" si="4">B16*E16/$M$14</f>
        <v>19.327732282708009</v>
      </c>
      <c r="G16" s="312">
        <v>248</v>
      </c>
      <c r="H16" s="312">
        <f t="shared" si="2"/>
        <v>36.466903231209876</v>
      </c>
      <c r="I16" s="312">
        <v>185</v>
      </c>
      <c r="J16" s="312">
        <f t="shared" ref="J16:J23" si="5">B16*I16/$M$14</f>
        <v>27.203133458765432</v>
      </c>
      <c r="K16" s="312">
        <f>'سهام بنیادی'!H20</f>
        <v>1428</v>
      </c>
      <c r="L16" s="312">
        <f t="shared" si="3"/>
        <v>209.97878150874075</v>
      </c>
      <c r="S16" t="s">
        <v>25</v>
      </c>
    </row>
    <row r="17" spans="1:36" ht="17.25">
      <c r="A17" s="310" t="s">
        <v>6271</v>
      </c>
      <c r="B17" s="311">
        <v>20486832542</v>
      </c>
      <c r="C17" s="312">
        <f>'سهام بنیادی'!B18</f>
        <v>100</v>
      </c>
      <c r="D17" s="312">
        <f t="shared" si="1"/>
        <v>50.584771708641973</v>
      </c>
      <c r="E17" s="312">
        <f>'سهام بنیادی'!C18</f>
        <v>82</v>
      </c>
      <c r="F17" s="312">
        <f t="shared" si="4"/>
        <v>41.479512801086422</v>
      </c>
      <c r="G17" s="312">
        <f>'سهام بنیادی'!D18</f>
        <v>169.4</v>
      </c>
      <c r="H17" s="312">
        <f t="shared" si="2"/>
        <v>85.690603274439511</v>
      </c>
      <c r="I17" s="312">
        <f>'سهام بنیادی'!E18</f>
        <v>135</v>
      </c>
      <c r="J17" s="312">
        <f t="shared" si="5"/>
        <v>68.289441806666673</v>
      </c>
      <c r="K17" s="312">
        <f>'سهام بنیادی'!H18</f>
        <v>955</v>
      </c>
      <c r="L17" s="312">
        <f t="shared" si="3"/>
        <v>483.08456981753085</v>
      </c>
      <c r="N17" t="s">
        <v>25</v>
      </c>
    </row>
    <row r="18" spans="1:36" ht="17.25">
      <c r="A18" s="310" t="s">
        <v>4792</v>
      </c>
      <c r="B18" s="311">
        <v>4127266661</v>
      </c>
      <c r="C18" s="312">
        <f>'سهام بنیادی'!B3</f>
        <v>2100</v>
      </c>
      <c r="D18" s="312">
        <f t="shared" si="1"/>
        <v>214.00641945925926</v>
      </c>
      <c r="E18" s="312">
        <f>'سهام بنیادی'!C3</f>
        <v>1350</v>
      </c>
      <c r="F18" s="312">
        <f t="shared" si="4"/>
        <v>137.57555536666666</v>
      </c>
      <c r="G18" s="312">
        <f>'سهام بنیادی'!D3</f>
        <v>4000</v>
      </c>
      <c r="H18" s="312">
        <f t="shared" si="2"/>
        <v>407.63127516049383</v>
      </c>
      <c r="I18" s="312">
        <f>'سهام بنیادی'!E3</f>
        <v>2350</v>
      </c>
      <c r="J18" s="312">
        <f t="shared" si="5"/>
        <v>239.48337415679012</v>
      </c>
      <c r="K18" s="312">
        <f>'سهام بنیادی'!H3</f>
        <v>19300</v>
      </c>
      <c r="L18" s="312">
        <f t="shared" si="3"/>
        <v>1966.8209026493828</v>
      </c>
    </row>
    <row r="19" spans="1:36" ht="17.25">
      <c r="A19" s="310" t="s">
        <v>4793</v>
      </c>
      <c r="B19" s="311">
        <v>2693179034</v>
      </c>
      <c r="C19" s="312">
        <f>'سهام بنیادی'!B4</f>
        <v>608.1</v>
      </c>
      <c r="D19" s="312">
        <f t="shared" si="1"/>
        <v>40.437584458651855</v>
      </c>
      <c r="E19" s="312">
        <f>'سهام بنیادی'!C4</f>
        <v>122</v>
      </c>
      <c r="F19" s="312">
        <f t="shared" si="4"/>
        <v>8.112786225876544</v>
      </c>
      <c r="G19" s="312">
        <f>'سهام بنیادی'!D4</f>
        <v>1090</v>
      </c>
      <c r="H19" s="312">
        <f t="shared" si="2"/>
        <v>72.483090050864192</v>
      </c>
      <c r="I19" s="312">
        <f>'سهام بنیادی'!E4</f>
        <v>375</v>
      </c>
      <c r="J19" s="312">
        <f t="shared" si="5"/>
        <v>24.936842907407406</v>
      </c>
      <c r="K19" s="312">
        <f>'سهام بنیادی'!H4</f>
        <v>6934</v>
      </c>
      <c r="L19" s="312">
        <f t="shared" si="3"/>
        <v>461.09884991990123</v>
      </c>
    </row>
    <row r="20" spans="1:36" ht="17.25">
      <c r="A20" s="310" t="s">
        <v>6273</v>
      </c>
      <c r="B20" s="311">
        <v>12384992403</v>
      </c>
      <c r="C20" s="312">
        <f>'سهام بنیادی'!B19</f>
        <v>185.33333333333334</v>
      </c>
      <c r="D20" s="312">
        <f t="shared" si="1"/>
        <v>56.675356181629631</v>
      </c>
      <c r="E20" s="312">
        <f>'سهام بنیادی'!C19</f>
        <v>139.16666666666666</v>
      </c>
      <c r="F20" s="312">
        <f t="shared" si="4"/>
        <v>42.557484183148148</v>
      </c>
      <c r="G20" s="312">
        <f>'سهام بنیادی'!D19</f>
        <v>200</v>
      </c>
      <c r="H20" s="312">
        <f t="shared" si="2"/>
        <v>61.160456311111112</v>
      </c>
      <c r="I20" s="312">
        <f>'سهام بنیادی'!E19</f>
        <v>195</v>
      </c>
      <c r="J20" s="312">
        <f t="shared" si="5"/>
        <v>59.631444903333332</v>
      </c>
      <c r="K20" s="312">
        <f>'سهام بنیادی'!H19</f>
        <v>1670</v>
      </c>
      <c r="L20" s="312">
        <f t="shared" si="3"/>
        <v>510.68981019777777</v>
      </c>
    </row>
    <row r="21" spans="1:36" ht="17.25">
      <c r="A21" s="310" t="s">
        <v>5431</v>
      </c>
      <c r="B21" s="311">
        <v>1636875595</v>
      </c>
      <c r="C21" s="312">
        <f>'سهام بنیادی'!B5</f>
        <v>352</v>
      </c>
      <c r="D21" s="312">
        <f t="shared" si="1"/>
        <v>14.226671838024691</v>
      </c>
      <c r="E21" s="312">
        <f>'سهام بنیادی'!C5</f>
        <v>110</v>
      </c>
      <c r="F21" s="312">
        <f t="shared" si="4"/>
        <v>4.4458349493827161</v>
      </c>
      <c r="G21" s="312">
        <f>'سهام بنیادی'!D5</f>
        <v>1113</v>
      </c>
      <c r="H21" s="312">
        <f t="shared" si="2"/>
        <v>44.983766351481485</v>
      </c>
      <c r="I21" s="312">
        <f>'سهام بنیادی'!E5</f>
        <v>570</v>
      </c>
      <c r="J21" s="312">
        <f t="shared" si="5"/>
        <v>23.037508374074076</v>
      </c>
      <c r="K21" s="312">
        <f>'سهام بنیادی'!H5</f>
        <v>6480</v>
      </c>
      <c r="L21" s="312">
        <f t="shared" si="3"/>
        <v>261.90009520000001</v>
      </c>
      <c r="O21" t="s">
        <v>25</v>
      </c>
    </row>
    <row r="22" spans="1:36" ht="17.25">
      <c r="A22" s="310" t="s">
        <v>4333</v>
      </c>
      <c r="B22" s="311">
        <v>813683684</v>
      </c>
      <c r="C22" s="312">
        <f>'سهام بنیادی'!B6</f>
        <v>2412</v>
      </c>
      <c r="D22" s="312">
        <f t="shared" si="1"/>
        <v>48.459383847111113</v>
      </c>
      <c r="E22" s="312">
        <f>'سهام بنیادی'!C6</f>
        <v>2300</v>
      </c>
      <c r="F22" s="312">
        <f t="shared" si="4"/>
        <v>46.209196869135802</v>
      </c>
      <c r="G22" s="312">
        <f>'سهام بنیادی'!D6</f>
        <v>1267</v>
      </c>
      <c r="H22" s="312">
        <f t="shared" si="2"/>
        <v>25.45524018834568</v>
      </c>
      <c r="I22" s="312">
        <f>'سهام بنیادی'!E6</f>
        <v>900</v>
      </c>
      <c r="J22" s="312">
        <f t="shared" si="5"/>
        <v>18.081859644444446</v>
      </c>
      <c r="K22" s="312">
        <f>'سهام بنیادی'!H6</f>
        <v>11500</v>
      </c>
      <c r="L22" s="312">
        <f t="shared" si="3"/>
        <v>231.04598434567902</v>
      </c>
    </row>
    <row r="23" spans="1:36" ht="17.25">
      <c r="A23" s="310" t="s">
        <v>4794</v>
      </c>
      <c r="B23" s="311">
        <v>236958025</v>
      </c>
      <c r="C23" s="312">
        <f>'سهام بنیادی'!B7</f>
        <v>803</v>
      </c>
      <c r="D23" s="312">
        <f t="shared" si="1"/>
        <v>4.6982047919753089</v>
      </c>
      <c r="E23" s="312">
        <f>'سهام بنیادی'!C7</f>
        <v>590</v>
      </c>
      <c r="F23" s="312">
        <f t="shared" si="4"/>
        <v>3.4519811049382718</v>
      </c>
      <c r="G23" s="312">
        <f>'سهام بنیادی'!D7</f>
        <v>1813</v>
      </c>
      <c r="H23" s="312">
        <f t="shared" si="2"/>
        <v>10.607528378395061</v>
      </c>
      <c r="I23" s="312">
        <f>'سهام بنیادی'!E7</f>
        <v>1435</v>
      </c>
      <c r="J23" s="312">
        <f t="shared" si="5"/>
        <v>8.3959201450617282</v>
      </c>
      <c r="K23" s="312">
        <f>'سهام بنیادی'!H7</f>
        <v>11550</v>
      </c>
      <c r="L23" s="312">
        <f t="shared" si="3"/>
        <v>67.576918240740738</v>
      </c>
      <c r="O23" t="s">
        <v>25</v>
      </c>
    </row>
    <row r="24" spans="1:36" ht="17.25">
      <c r="A24" s="310" t="s">
        <v>6769</v>
      </c>
      <c r="B24" s="311"/>
      <c r="C24" s="312"/>
      <c r="D24" s="312">
        <v>35</v>
      </c>
      <c r="E24" s="312"/>
      <c r="F24" s="312">
        <v>24</v>
      </c>
      <c r="G24" s="312"/>
      <c r="H24" s="312">
        <v>50</v>
      </c>
      <c r="I24" s="312"/>
      <c r="J24" s="312">
        <v>35</v>
      </c>
      <c r="K24" s="312"/>
      <c r="L24" s="312">
        <v>100</v>
      </c>
      <c r="AF24" t="s">
        <v>25</v>
      </c>
    </row>
    <row r="25" spans="1:36">
      <c r="A25" s="307"/>
      <c r="B25" s="308"/>
      <c r="C25" s="309"/>
      <c r="D25" s="309"/>
      <c r="E25" s="309"/>
      <c r="F25" s="309"/>
      <c r="G25" s="309"/>
      <c r="H25" s="309"/>
      <c r="I25" s="309"/>
      <c r="J25" s="309"/>
      <c r="K25" s="309"/>
      <c r="L25" s="309"/>
      <c r="N25" t="s">
        <v>25</v>
      </c>
      <c r="V25" t="s">
        <v>25</v>
      </c>
    </row>
    <row r="26" spans="1:36">
      <c r="A26" s="190"/>
      <c r="B26" s="242"/>
      <c r="C26" s="243"/>
      <c r="D26" s="243">
        <f>SUM(D15:D24)</f>
        <v>548.28187817253126</v>
      </c>
      <c r="E26" s="243"/>
      <c r="F26" s="243">
        <f>SUM(F15:F24)</f>
        <v>382.72763933849814</v>
      </c>
      <c r="G26" s="243"/>
      <c r="H26" s="243">
        <f>SUM(H15:H24)</f>
        <v>868.78944319325433</v>
      </c>
      <c r="I26" s="243"/>
      <c r="J26" s="243">
        <f>SUM(J15:J24)</f>
        <v>563.59619206320986</v>
      </c>
      <c r="K26" s="243"/>
      <c r="L26" s="243">
        <f>SUM(L15:L24)</f>
        <v>4772.8993686698768</v>
      </c>
      <c r="P26" t="s">
        <v>25</v>
      </c>
    </row>
    <row r="27" spans="1:36">
      <c r="A27" s="190"/>
      <c r="B27" s="242"/>
      <c r="C27" s="243"/>
      <c r="D27" s="243" t="s">
        <v>6706</v>
      </c>
      <c r="E27" s="243"/>
      <c r="F27" s="243" t="s">
        <v>6290</v>
      </c>
      <c r="G27" s="243"/>
      <c r="H27" s="243">
        <f>F26*H26/D26</f>
        <v>606.45763778267633</v>
      </c>
      <c r="I27" s="243"/>
      <c r="J27" s="243"/>
      <c r="K27" s="243"/>
      <c r="L27" s="243" t="s">
        <v>4499</v>
      </c>
    </row>
    <row r="29" spans="1:36">
      <c r="A29" s="203" t="s">
        <v>6140</v>
      </c>
      <c r="B29" s="203" t="s">
        <v>4787</v>
      </c>
      <c r="C29" s="203" t="s">
        <v>6134</v>
      </c>
      <c r="D29" s="203" t="s">
        <v>5457</v>
      </c>
      <c r="E29" s="203" t="s">
        <v>6133</v>
      </c>
      <c r="F29" s="203" t="s">
        <v>6143</v>
      </c>
    </row>
    <row r="30" spans="1:36">
      <c r="A30" s="203" t="s">
        <v>6132</v>
      </c>
      <c r="B30" s="203">
        <v>880639000</v>
      </c>
      <c r="C30" s="203">
        <v>110</v>
      </c>
      <c r="D30" s="203">
        <f t="shared" ref="D30:D36" si="6">B30*C30/$M$1</f>
        <v>1.3454206944444445</v>
      </c>
      <c r="E30" s="203">
        <v>952</v>
      </c>
      <c r="F30" s="203">
        <f t="shared" ref="F30:F36" si="7">B30*E30/$M$1</f>
        <v>11.644004555555556</v>
      </c>
      <c r="H30" s="7"/>
      <c r="I30" s="7"/>
      <c r="J30" s="7"/>
      <c r="M30" t="s">
        <v>25</v>
      </c>
    </row>
    <row r="31" spans="1:36">
      <c r="A31" s="203" t="s">
        <v>6135</v>
      </c>
      <c r="B31" s="203">
        <v>1175000000</v>
      </c>
      <c r="C31" s="203">
        <v>30</v>
      </c>
      <c r="D31" s="203">
        <f t="shared" si="6"/>
        <v>0.48958333333333331</v>
      </c>
      <c r="E31" s="203">
        <v>628</v>
      </c>
      <c r="F31" s="203">
        <f t="shared" si="7"/>
        <v>10.248611111111112</v>
      </c>
      <c r="AJ31" t="s">
        <v>25</v>
      </c>
    </row>
    <row r="32" spans="1:36">
      <c r="A32" s="203" t="s">
        <v>6136</v>
      </c>
      <c r="B32" s="203">
        <v>1120000000</v>
      </c>
      <c r="C32" s="203">
        <v>100</v>
      </c>
      <c r="D32" s="203">
        <f t="shared" si="6"/>
        <v>1.5555555555555556</v>
      </c>
      <c r="E32" s="203">
        <v>893</v>
      </c>
      <c r="F32" s="203">
        <f t="shared" si="7"/>
        <v>13.891111111111112</v>
      </c>
      <c r="H32" t="s">
        <v>25</v>
      </c>
    </row>
    <row r="33" spans="1:35">
      <c r="A33" s="203" t="s">
        <v>6137</v>
      </c>
      <c r="B33" s="203">
        <v>468000000</v>
      </c>
      <c r="C33" s="203">
        <v>180</v>
      </c>
      <c r="D33" s="203">
        <f t="shared" si="6"/>
        <v>1.17</v>
      </c>
      <c r="E33" s="203">
        <v>4566</v>
      </c>
      <c r="F33" s="203">
        <f t="shared" si="7"/>
        <v>29.678999999999998</v>
      </c>
    </row>
    <row r="34" spans="1:35">
      <c r="A34" s="203" t="s">
        <v>6138</v>
      </c>
      <c r="B34" s="203">
        <v>393000000</v>
      </c>
      <c r="C34" s="294">
        <v>185</v>
      </c>
      <c r="D34" s="203">
        <f t="shared" si="6"/>
        <v>1.0097916666666666</v>
      </c>
      <c r="E34" s="203">
        <v>1573</v>
      </c>
      <c r="F34" s="203">
        <f t="shared" si="7"/>
        <v>8.585958333333334</v>
      </c>
      <c r="K34" t="s">
        <v>25</v>
      </c>
      <c r="AI34" t="s">
        <v>25</v>
      </c>
    </row>
    <row r="35" spans="1:35">
      <c r="A35" s="203" t="s">
        <v>6139</v>
      </c>
      <c r="B35" s="203">
        <v>4360000</v>
      </c>
      <c r="C35" s="203">
        <v>347</v>
      </c>
      <c r="D35" s="203">
        <f t="shared" si="6"/>
        <v>2.1012777777777776E-2</v>
      </c>
      <c r="E35" s="203">
        <v>11399</v>
      </c>
      <c r="F35" s="203">
        <f t="shared" si="7"/>
        <v>0.69027277777777774</v>
      </c>
      <c r="H35" t="s">
        <v>25</v>
      </c>
    </row>
    <row r="36" spans="1:35">
      <c r="A36" s="203" t="s">
        <v>6142</v>
      </c>
      <c r="B36" s="203">
        <v>1</v>
      </c>
      <c r="C36" s="203">
        <v>80000000000</v>
      </c>
      <c r="D36" s="203">
        <f t="shared" si="6"/>
        <v>1.1111111111111112</v>
      </c>
      <c r="E36" s="203">
        <v>703000000000</v>
      </c>
      <c r="F36" s="203">
        <f t="shared" si="7"/>
        <v>9.7638888888888893</v>
      </c>
    </row>
    <row r="37" spans="1:35">
      <c r="A37" s="203"/>
      <c r="B37" s="203"/>
      <c r="C37" s="203"/>
      <c r="D37" s="203"/>
      <c r="E37" s="203"/>
      <c r="F37" s="203"/>
    </row>
    <row r="38" spans="1:35">
      <c r="A38" s="203"/>
      <c r="B38" s="203"/>
      <c r="C38" s="203"/>
      <c r="D38" s="203">
        <f>SUM(D30:D36)</f>
        <v>6.7024751388888895</v>
      </c>
      <c r="E38" s="203" t="s">
        <v>6</v>
      </c>
      <c r="F38" s="203">
        <f>SUM(F30:F36)</f>
        <v>84.502846777777776</v>
      </c>
    </row>
    <row r="41" spans="1:35" ht="17.25">
      <c r="A41" s="319" t="s">
        <v>6752</v>
      </c>
      <c r="B41" s="319" t="s">
        <v>4787</v>
      </c>
      <c r="C41" s="319" t="s">
        <v>6773</v>
      </c>
      <c r="D41" s="319" t="s">
        <v>6778</v>
      </c>
      <c r="E41" s="319" t="s">
        <v>6750</v>
      </c>
      <c r="F41" s="319" t="s">
        <v>6779</v>
      </c>
      <c r="G41" s="319" t="s">
        <v>6777</v>
      </c>
      <c r="H41" s="319" t="s">
        <v>6778</v>
      </c>
      <c r="I41" s="319" t="s">
        <v>6832</v>
      </c>
      <c r="J41" s="319" t="s">
        <v>6779</v>
      </c>
      <c r="K41" s="319" t="s">
        <v>4221</v>
      </c>
      <c r="L41" s="319" t="s">
        <v>6771</v>
      </c>
      <c r="M41" s="318">
        <v>18000000000</v>
      </c>
    </row>
    <row r="42" spans="1:35" ht="17.25">
      <c r="A42" s="319" t="s">
        <v>5706</v>
      </c>
      <c r="B42" s="320">
        <v>4733791436</v>
      </c>
      <c r="C42" s="321">
        <f>'سهام بنیادی'!B25</f>
        <v>173</v>
      </c>
      <c r="D42" s="321">
        <v>0</v>
      </c>
      <c r="E42" s="321">
        <f>'سهام بنیادی'!C25</f>
        <v>170</v>
      </c>
      <c r="F42" s="321">
        <v>0</v>
      </c>
      <c r="G42" s="321">
        <f>'سهام بنیادی'!D25</f>
        <v>431</v>
      </c>
      <c r="H42" s="321">
        <f t="shared" ref="H42:H47" si="8">B42*G42/$M$41</f>
        <v>113.34800605088888</v>
      </c>
      <c r="I42" s="321">
        <f>'سهام بنیادی'!E25</f>
        <v>400</v>
      </c>
      <c r="J42" s="321">
        <f t="shared" ref="J42:J48" si="9">B42*I42/$M$41</f>
        <v>105.19536524444445</v>
      </c>
      <c r="K42" s="321">
        <f>'سهام بنیادی'!H25</f>
        <v>4375</v>
      </c>
      <c r="L42" s="321">
        <f t="shared" ref="L42:L47" si="10">B42*K42/$M$41</f>
        <v>1150.5743073611111</v>
      </c>
    </row>
    <row r="43" spans="1:35" ht="17.25">
      <c r="A43" s="319" t="s">
        <v>6753</v>
      </c>
      <c r="B43" s="320">
        <v>7228254280</v>
      </c>
      <c r="C43" s="321">
        <f>'سهام بنیادی'!B31</f>
        <v>109</v>
      </c>
      <c r="D43" s="321">
        <f>B43*C43/$M$41</f>
        <v>43.771095362222219</v>
      </c>
      <c r="E43" s="321">
        <f>'سهام بنیادی'!C31</f>
        <v>47</v>
      </c>
      <c r="F43" s="321">
        <f>B43*E43/$M$41</f>
        <v>18.873775064444445</v>
      </c>
      <c r="G43" s="321">
        <f>'سهام بنیادی'!D31</f>
        <v>104.7</v>
      </c>
      <c r="H43" s="321">
        <f t="shared" si="8"/>
        <v>42.04434572866667</v>
      </c>
      <c r="I43" s="321"/>
      <c r="J43" s="321">
        <f t="shared" si="9"/>
        <v>0</v>
      </c>
      <c r="K43" s="321">
        <f>'سهام بنیادی'!H31</f>
        <v>839</v>
      </c>
      <c r="L43" s="321">
        <f t="shared" si="10"/>
        <v>336.91696338444444</v>
      </c>
    </row>
    <row r="44" spans="1:35" ht="17.25">
      <c r="A44" s="319" t="s">
        <v>6756</v>
      </c>
      <c r="B44" s="320">
        <v>6050000000</v>
      </c>
      <c r="C44" s="321">
        <f>'سهام بنیادی'!B32</f>
        <v>39.299999999999997</v>
      </c>
      <c r="D44" s="321">
        <f>B44*C44/$M$41</f>
        <v>13.209166666666665</v>
      </c>
      <c r="E44" s="321">
        <f>'سهام بنیادی'!C32</f>
        <v>35.700000000000003</v>
      </c>
      <c r="F44" s="321">
        <f>B44*E44/$M$41</f>
        <v>11.999166666666669</v>
      </c>
      <c r="G44" s="321">
        <f>'سهام بنیادی'!D32</f>
        <v>47</v>
      </c>
      <c r="H44" s="321">
        <f t="shared" si="8"/>
        <v>15.797222222222222</v>
      </c>
      <c r="I44" s="321"/>
      <c r="J44" s="321">
        <f t="shared" si="9"/>
        <v>0</v>
      </c>
      <c r="K44" s="321">
        <f>'سهام بنیادی'!H32</f>
        <v>311</v>
      </c>
      <c r="L44" s="321">
        <f t="shared" si="10"/>
        <v>104.53055555555555</v>
      </c>
    </row>
    <row r="45" spans="1:35" ht="17.25">
      <c r="A45" s="319" t="s">
        <v>6754</v>
      </c>
      <c r="B45" s="320">
        <v>324970000</v>
      </c>
      <c r="C45" s="321">
        <f>'سهام بنیادی'!B33</f>
        <v>2959</v>
      </c>
      <c r="D45" s="321">
        <f>B45*C45/$M$41</f>
        <v>53.421457222222223</v>
      </c>
      <c r="E45" s="321">
        <f>'سهام بنیادی'!C33</f>
        <v>2400</v>
      </c>
      <c r="F45" s="321">
        <f>B45*E45/$M$41</f>
        <v>43.329333333333331</v>
      </c>
      <c r="G45" s="321">
        <f>'سهام بنیادی'!D33</f>
        <v>3500</v>
      </c>
      <c r="H45" s="321">
        <f t="shared" si="8"/>
        <v>63.188611111111108</v>
      </c>
      <c r="I45" s="321"/>
      <c r="J45" s="321">
        <f t="shared" si="9"/>
        <v>0</v>
      </c>
      <c r="K45" s="321">
        <f>'سهام بنیادی'!H33</f>
        <v>25000</v>
      </c>
      <c r="L45" s="321">
        <f t="shared" si="10"/>
        <v>451.34722222222223</v>
      </c>
    </row>
    <row r="46" spans="1:35" ht="17.25">
      <c r="A46" s="319" t="s">
        <v>6830</v>
      </c>
      <c r="B46" s="320">
        <v>5382680274</v>
      </c>
      <c r="C46" s="321">
        <f>'سهام بنیادی'!B34</f>
        <v>125</v>
      </c>
      <c r="D46" s="321">
        <f>B46*C46/$M$41</f>
        <v>37.379724125000003</v>
      </c>
      <c r="E46" s="321">
        <f>'سهام بنیادی'!C34</f>
        <v>100</v>
      </c>
      <c r="F46" s="321">
        <f>B46*E46/$M$41</f>
        <v>29.9037793</v>
      </c>
      <c r="G46" s="321">
        <f>'سهام بنیادی'!D34</f>
        <v>217.5</v>
      </c>
      <c r="H46" s="321">
        <f t="shared" si="8"/>
        <v>65.040719977500004</v>
      </c>
      <c r="I46" s="321">
        <f>'سهام بنیادی'!E34</f>
        <v>170</v>
      </c>
      <c r="J46" s="321">
        <f t="shared" si="9"/>
        <v>50.836424809999997</v>
      </c>
      <c r="K46" s="321">
        <f>'سهام بنیادی'!H34</f>
        <v>2086</v>
      </c>
      <c r="L46" s="321">
        <f t="shared" si="10"/>
        <v>623.79283619800003</v>
      </c>
      <c r="M46" t="s">
        <v>25</v>
      </c>
    </row>
    <row r="47" spans="1:35" ht="17.25">
      <c r="A47" s="319" t="s">
        <v>6757</v>
      </c>
      <c r="B47" s="320">
        <v>14500000000</v>
      </c>
      <c r="C47" s="321">
        <v>34.700000000000003</v>
      </c>
      <c r="D47" s="321">
        <f>B47*C47/$M$41</f>
        <v>27.952777777777783</v>
      </c>
      <c r="E47" s="321">
        <v>3.47</v>
      </c>
      <c r="F47" s="321">
        <f>B47*E47/$M$41</f>
        <v>2.7952777777777778</v>
      </c>
      <c r="G47" s="321">
        <v>49.3</v>
      </c>
      <c r="H47" s="321">
        <f t="shared" si="8"/>
        <v>39.713888888888889</v>
      </c>
      <c r="I47" s="321"/>
      <c r="J47" s="321">
        <f t="shared" si="9"/>
        <v>0</v>
      </c>
      <c r="K47" s="321">
        <v>500</v>
      </c>
      <c r="L47" s="321">
        <f t="shared" si="10"/>
        <v>402.77777777777777</v>
      </c>
    </row>
    <row r="48" spans="1:35" ht="17.25">
      <c r="A48" s="319" t="s">
        <v>5730</v>
      </c>
      <c r="B48" s="320"/>
      <c r="C48" s="321"/>
      <c r="D48" s="321">
        <v>26</v>
      </c>
      <c r="E48" s="321"/>
      <c r="F48" s="321">
        <v>26</v>
      </c>
      <c r="G48" s="321"/>
      <c r="H48" s="321">
        <v>30</v>
      </c>
      <c r="I48" s="321"/>
      <c r="J48" s="321">
        <f t="shared" si="9"/>
        <v>0</v>
      </c>
      <c r="K48" s="321"/>
      <c r="L48" s="321">
        <v>200</v>
      </c>
      <c r="N48" t="s">
        <v>25</v>
      </c>
    </row>
    <row r="49" spans="1:16" ht="17.25">
      <c r="A49" s="310"/>
      <c r="B49" s="311"/>
      <c r="C49" s="312"/>
      <c r="D49" s="312"/>
      <c r="E49" s="312"/>
      <c r="F49" s="312"/>
      <c r="G49" s="312"/>
      <c r="H49" s="312"/>
      <c r="I49" s="312"/>
      <c r="J49" s="312"/>
      <c r="K49" s="312"/>
      <c r="L49" s="312"/>
      <c r="N49" s="7"/>
    </row>
    <row r="50" spans="1:16" ht="17.25">
      <c r="A50" s="319"/>
      <c r="B50" s="320"/>
      <c r="C50" s="321"/>
      <c r="D50" s="322">
        <f>SUM(D42:D48)</f>
        <v>201.73422115388888</v>
      </c>
      <c r="E50" s="321"/>
      <c r="F50" s="322">
        <f>SUM(F42:F48)</f>
        <v>132.90133214222223</v>
      </c>
      <c r="G50" s="321"/>
      <c r="H50" s="322">
        <f>SUM(H42:H48)</f>
        <v>369.13279397927778</v>
      </c>
      <c r="I50" s="322"/>
      <c r="J50" s="322">
        <f>SUM(J42:J48)</f>
        <v>156.03179005444446</v>
      </c>
      <c r="K50" s="320">
        <f>L50*M41/1000000000000</f>
        <v>58.858913924984002</v>
      </c>
      <c r="L50" s="321">
        <f>SUM(L42:L48)</f>
        <v>3269.9396624991109</v>
      </c>
    </row>
    <row r="51" spans="1:16" ht="34.5">
      <c r="A51" s="319"/>
      <c r="B51" s="319"/>
      <c r="C51" s="319"/>
      <c r="D51" s="321" t="s">
        <v>6</v>
      </c>
      <c r="E51" s="322"/>
      <c r="F51" s="321" t="s">
        <v>6</v>
      </c>
      <c r="G51" s="319"/>
      <c r="H51" s="321" t="s">
        <v>6</v>
      </c>
      <c r="I51" s="321"/>
      <c r="J51" s="321" t="s">
        <v>6</v>
      </c>
      <c r="K51" s="329" t="s">
        <v>6831</v>
      </c>
      <c r="L51" s="321" t="s">
        <v>4499</v>
      </c>
    </row>
    <row r="54" spans="1:16">
      <c r="C54" t="s">
        <v>25</v>
      </c>
    </row>
    <row r="55" spans="1:16">
      <c r="P55" t="s">
        <v>25</v>
      </c>
    </row>
    <row r="56" spans="1:16">
      <c r="G56" t="s">
        <v>5045</v>
      </c>
      <c r="H56" t="s">
        <v>25</v>
      </c>
    </row>
    <row r="57" spans="1:16">
      <c r="C57" t="s">
        <v>5035</v>
      </c>
      <c r="D57" t="s">
        <v>5041</v>
      </c>
      <c r="E57" t="s">
        <v>5042</v>
      </c>
      <c r="F57" t="s">
        <v>5044</v>
      </c>
      <c r="G57">
        <f t="shared" ref="G57:G63" si="11">F58*11400/1000000000</f>
        <v>7965.2939999999999</v>
      </c>
      <c r="L57" t="s">
        <v>25</v>
      </c>
    </row>
    <row r="58" spans="1:16">
      <c r="C58" t="s">
        <v>5040</v>
      </c>
      <c r="D58">
        <v>1306</v>
      </c>
      <c r="E58">
        <v>0.53500000000000003</v>
      </c>
      <c r="F58">
        <f t="shared" ref="F58:F64" si="12">D58*E58*$D$69</f>
        <v>698710000</v>
      </c>
      <c r="G58">
        <f t="shared" si="11"/>
        <v>57</v>
      </c>
      <c r="N58" t="s">
        <v>25</v>
      </c>
    </row>
    <row r="59" spans="1:16">
      <c r="C59" t="s">
        <v>5046</v>
      </c>
      <c r="D59">
        <v>10</v>
      </c>
      <c r="E59">
        <v>0.5</v>
      </c>
      <c r="F59">
        <f t="shared" si="12"/>
        <v>5000000</v>
      </c>
      <c r="G59">
        <f t="shared" si="11"/>
        <v>3645.72</v>
      </c>
      <c r="L59" t="s">
        <v>25</v>
      </c>
    </row>
    <row r="60" spans="1:16">
      <c r="C60" t="s">
        <v>5047</v>
      </c>
      <c r="D60">
        <v>492</v>
      </c>
      <c r="E60">
        <v>0.65</v>
      </c>
      <c r="F60">
        <f t="shared" si="12"/>
        <v>319800000</v>
      </c>
      <c r="G60">
        <f t="shared" si="11"/>
        <v>2679</v>
      </c>
    </row>
    <row r="61" spans="1:16">
      <c r="A61" t="s">
        <v>5680</v>
      </c>
      <c r="C61" t="s">
        <v>5048</v>
      </c>
      <c r="D61">
        <v>235</v>
      </c>
      <c r="E61">
        <v>1</v>
      </c>
      <c r="F61">
        <f t="shared" si="12"/>
        <v>235000000</v>
      </c>
      <c r="G61">
        <f t="shared" si="11"/>
        <v>3420</v>
      </c>
    </row>
    <row r="62" spans="1:16">
      <c r="A62" t="s">
        <v>5681</v>
      </c>
      <c r="B62">
        <v>0.3</v>
      </c>
      <c r="C62" t="s">
        <v>5049</v>
      </c>
      <c r="D62">
        <v>500</v>
      </c>
      <c r="E62">
        <v>0.6</v>
      </c>
      <c r="F62">
        <f t="shared" si="12"/>
        <v>300000000</v>
      </c>
      <c r="G62">
        <f t="shared" si="11"/>
        <v>10294.200000000001</v>
      </c>
      <c r="H62">
        <v>1</v>
      </c>
      <c r="N62" t="s">
        <v>25</v>
      </c>
    </row>
    <row r="63" spans="1:16">
      <c r="A63" t="s">
        <v>5253</v>
      </c>
      <c r="B63" s="18">
        <v>36000000000000</v>
      </c>
      <c r="C63" t="s">
        <v>5050</v>
      </c>
      <c r="D63">
        <v>903</v>
      </c>
      <c r="E63">
        <v>1</v>
      </c>
      <c r="F63">
        <f t="shared" si="12"/>
        <v>903000000</v>
      </c>
      <c r="G63">
        <f t="shared" si="11"/>
        <v>0</v>
      </c>
    </row>
    <row r="64" spans="1:16">
      <c r="A64" t="s">
        <v>4787</v>
      </c>
      <c r="B64">
        <v>18000000000</v>
      </c>
      <c r="F64">
        <f t="shared" si="12"/>
        <v>0</v>
      </c>
    </row>
    <row r="65" spans="1:23">
      <c r="A65" t="s">
        <v>5682</v>
      </c>
      <c r="B65" s="18">
        <f>B62*B63/B64</f>
        <v>600</v>
      </c>
    </row>
    <row r="66" spans="1:23">
      <c r="A66" t="s">
        <v>5683</v>
      </c>
      <c r="B66">
        <v>872000000</v>
      </c>
    </row>
    <row r="67" spans="1:23">
      <c r="A67" t="s">
        <v>5684</v>
      </c>
      <c r="B67" s="18">
        <v>750</v>
      </c>
    </row>
    <row r="68" spans="1:23">
      <c r="A68" t="s">
        <v>5685</v>
      </c>
      <c r="B68">
        <f>B66*B67/B64</f>
        <v>36.333333333333336</v>
      </c>
      <c r="C68" t="s">
        <v>5036</v>
      </c>
      <c r="D68" t="s">
        <v>5037</v>
      </c>
    </row>
    <row r="69" spans="1:23">
      <c r="C69" t="s">
        <v>5043</v>
      </c>
      <c r="D69">
        <v>1000000</v>
      </c>
    </row>
    <row r="70" spans="1:23">
      <c r="B70" s="18"/>
      <c r="C70" t="s">
        <v>5038</v>
      </c>
      <c r="D70" t="s">
        <v>5039</v>
      </c>
      <c r="O70" t="s">
        <v>25</v>
      </c>
    </row>
    <row r="71" spans="1:23">
      <c r="O71" t="s">
        <v>25</v>
      </c>
    </row>
    <row r="75" spans="1:23">
      <c r="B75" t="s">
        <v>4787</v>
      </c>
      <c r="C75" t="s">
        <v>4221</v>
      </c>
      <c r="D75" t="s">
        <v>4391</v>
      </c>
      <c r="E75" t="s">
        <v>5041</v>
      </c>
      <c r="F75" t="s">
        <v>5345</v>
      </c>
      <c r="W75" t="s">
        <v>25</v>
      </c>
    </row>
    <row r="76" spans="1:23">
      <c r="A76" t="s">
        <v>4792</v>
      </c>
      <c r="B76">
        <v>6</v>
      </c>
      <c r="C76">
        <v>4125</v>
      </c>
      <c r="D76">
        <f>B76*C76</f>
        <v>24750</v>
      </c>
      <c r="E76">
        <v>3</v>
      </c>
      <c r="F76">
        <f>D76/E76</f>
        <v>8250</v>
      </c>
    </row>
    <row r="77" spans="1:23">
      <c r="A77" t="s">
        <v>4472</v>
      </c>
      <c r="B77">
        <v>9</v>
      </c>
      <c r="C77">
        <v>439</v>
      </c>
      <c r="D77">
        <f>B77*C77</f>
        <v>3951</v>
      </c>
      <c r="E77">
        <v>1.073</v>
      </c>
      <c r="F77">
        <f>D77/E77</f>
        <v>3682.1994408201308</v>
      </c>
    </row>
    <row r="79" spans="1:23">
      <c r="P79" t="s">
        <v>25</v>
      </c>
    </row>
    <row r="81" spans="1:25">
      <c r="Y81" t="s">
        <v>25</v>
      </c>
    </row>
    <row r="82" spans="1:25">
      <c r="A82" t="s">
        <v>5703</v>
      </c>
    </row>
    <row r="83" spans="1:25">
      <c r="A83" t="s">
        <v>5695</v>
      </c>
    </row>
    <row r="84" spans="1:25">
      <c r="A84" t="s">
        <v>5696</v>
      </c>
    </row>
    <row r="85" spans="1:25">
      <c r="A85" t="s">
        <v>5704</v>
      </c>
    </row>
    <row r="86" spans="1:25">
      <c r="A86" t="s">
        <v>5431</v>
      </c>
    </row>
    <row r="87" spans="1:25">
      <c r="A87" t="s">
        <v>4794</v>
      </c>
    </row>
    <row r="88" spans="1:25">
      <c r="A88" t="s">
        <v>4793</v>
      </c>
    </row>
    <row r="89" spans="1:25">
      <c r="A89" t="s">
        <v>5698</v>
      </c>
      <c r="C89" t="s">
        <v>25</v>
      </c>
    </row>
    <row r="90" spans="1:25">
      <c r="A90" t="s">
        <v>5699</v>
      </c>
    </row>
    <row r="91" spans="1:25">
      <c r="A91" t="s">
        <v>5715</v>
      </c>
    </row>
    <row r="92" spans="1:25">
      <c r="A92" t="s">
        <v>4447</v>
      </c>
    </row>
    <row r="93" spans="1:25">
      <c r="A93" t="s">
        <v>4472</v>
      </c>
    </row>
    <row r="94" spans="1:25">
      <c r="C94" t="s">
        <v>25</v>
      </c>
      <c r="M94" t="s">
        <v>25</v>
      </c>
      <c r="O94" t="s">
        <v>25</v>
      </c>
    </row>
    <row r="95" spans="1:25">
      <c r="Y95" t="s">
        <v>25</v>
      </c>
    </row>
    <row r="96" spans="1:25">
      <c r="A96" t="s">
        <v>5697</v>
      </c>
    </row>
    <row r="97" spans="1:30">
      <c r="A97" t="s">
        <v>5223</v>
      </c>
    </row>
    <row r="98" spans="1:30">
      <c r="A98" t="s">
        <v>5232</v>
      </c>
    </row>
    <row r="99" spans="1:30">
      <c r="A99" t="s">
        <v>5708</v>
      </c>
      <c r="AD99" t="s">
        <v>25</v>
      </c>
    </row>
    <row r="100" spans="1:30">
      <c r="A100" t="s">
        <v>5237</v>
      </c>
    </row>
    <row r="101" spans="1:30">
      <c r="A101" t="s">
        <v>5709</v>
      </c>
      <c r="O101" t="s">
        <v>25</v>
      </c>
    </row>
    <row r="102" spans="1:30">
      <c r="A102" t="s">
        <v>5710</v>
      </c>
    </row>
    <row r="103" spans="1:30">
      <c r="A103" t="s">
        <v>5711</v>
      </c>
    </row>
    <row r="104" spans="1:30">
      <c r="A104" t="s">
        <v>4449</v>
      </c>
    </row>
    <row r="105" spans="1:30">
      <c r="A105" t="s">
        <v>4521</v>
      </c>
      <c r="B105" t="s">
        <v>25</v>
      </c>
      <c r="W105" t="s">
        <v>25</v>
      </c>
    </row>
    <row r="106" spans="1:30">
      <c r="A106" t="s">
        <v>4672</v>
      </c>
      <c r="N106" s="7"/>
    </row>
    <row r="107" spans="1:30">
      <c r="A107" t="s">
        <v>4617</v>
      </c>
    </row>
    <row r="108" spans="1:30">
      <c r="O108" t="s">
        <v>25</v>
      </c>
    </row>
    <row r="110" spans="1:30">
      <c r="X110" t="s">
        <v>25</v>
      </c>
    </row>
    <row r="111" spans="1:30">
      <c r="A111" t="s">
        <v>5702</v>
      </c>
    </row>
    <row r="112" spans="1:30">
      <c r="A112" t="s">
        <v>5700</v>
      </c>
      <c r="X112" t="s">
        <v>25</v>
      </c>
    </row>
    <row r="113" spans="1:27">
      <c r="A113" t="s">
        <v>5701</v>
      </c>
    </row>
    <row r="114" spans="1:27">
      <c r="A114" t="s">
        <v>5712</v>
      </c>
    </row>
    <row r="115" spans="1:27">
      <c r="A115" t="s">
        <v>5713</v>
      </c>
      <c r="AA115" t="s">
        <v>25</v>
      </c>
    </row>
    <row r="116" spans="1:27">
      <c r="A116" t="s">
        <v>5714</v>
      </c>
    </row>
    <row r="118" spans="1:27">
      <c r="A118" t="s">
        <v>5705</v>
      </c>
    </row>
    <row r="119" spans="1:27">
      <c r="A119" t="s">
        <v>5706</v>
      </c>
    </row>
    <row r="120" spans="1:27">
      <c r="A120" t="s">
        <v>5707</v>
      </c>
    </row>
    <row r="122" spans="1:27">
      <c r="P122" t="s">
        <v>25</v>
      </c>
    </row>
    <row r="123" spans="1:27">
      <c r="G123" s="296"/>
      <c r="H123" s="296"/>
      <c r="I123" s="296"/>
      <c r="J123" s="296"/>
      <c r="K123" s="296"/>
      <c r="L123" s="296"/>
    </row>
    <row r="124" spans="1:27">
      <c r="A124" s="295" t="s">
        <v>4221</v>
      </c>
      <c r="B124" s="295">
        <v>17800</v>
      </c>
      <c r="C124" s="296"/>
      <c r="D124" s="296"/>
      <c r="E124" s="296"/>
      <c r="F124" s="296"/>
      <c r="G124" s="296"/>
      <c r="H124" s="296"/>
      <c r="I124" s="296"/>
      <c r="J124" s="296"/>
      <c r="K124" s="296"/>
      <c r="L124" s="296"/>
    </row>
    <row r="125" spans="1:27">
      <c r="A125" s="295" t="s">
        <v>6729</v>
      </c>
      <c r="B125" s="295">
        <v>4000</v>
      </c>
      <c r="C125" s="296"/>
      <c r="D125" s="296"/>
      <c r="E125" s="296"/>
      <c r="F125" s="296"/>
      <c r="G125" s="296"/>
      <c r="H125" s="296"/>
      <c r="I125" s="296"/>
      <c r="J125" s="296"/>
      <c r="K125" s="296"/>
      <c r="L125" s="296"/>
    </row>
    <row r="126" spans="1:27" ht="30">
      <c r="A126" s="295" t="s">
        <v>6728</v>
      </c>
      <c r="B126" s="295">
        <v>2134</v>
      </c>
      <c r="C126" s="296"/>
      <c r="D126" s="296"/>
      <c r="E126" s="296"/>
      <c r="F126" s="296"/>
      <c r="G126" s="297" t="s">
        <v>6725</v>
      </c>
      <c r="H126" s="298" t="s">
        <v>6726</v>
      </c>
      <c r="I126" s="298"/>
      <c r="J126" s="298"/>
      <c r="K126" s="298" t="s">
        <v>6727</v>
      </c>
      <c r="L126" s="298" t="s">
        <v>6730</v>
      </c>
    </row>
    <row r="127" spans="1:27" ht="15.75">
      <c r="A127" s="297"/>
      <c r="B127" s="295" t="s">
        <v>6723</v>
      </c>
      <c r="C127" s="295" t="s">
        <v>4792</v>
      </c>
      <c r="D127" s="295" t="s">
        <v>5753</v>
      </c>
      <c r="E127" s="297" t="s">
        <v>4192</v>
      </c>
      <c r="F127" s="297" t="s">
        <v>6724</v>
      </c>
      <c r="G127" s="299"/>
      <c r="H127" s="299"/>
      <c r="I127" s="299"/>
      <c r="J127" s="299"/>
      <c r="K127" s="299"/>
      <c r="L127" s="299"/>
    </row>
    <row r="128" spans="1:27" ht="15.75">
      <c r="A128" s="295" t="s">
        <v>4792</v>
      </c>
      <c r="B128" s="299">
        <v>6000000000</v>
      </c>
      <c r="C128" s="299">
        <v>0</v>
      </c>
      <c r="D128" s="299">
        <v>0</v>
      </c>
      <c r="E128" s="299">
        <v>0</v>
      </c>
      <c r="F128" s="299"/>
      <c r="G128" s="299">
        <f>F129*$B$124</f>
        <v>73465346565800</v>
      </c>
      <c r="H128" s="299">
        <f>G128/B129</f>
        <v>1813.9591744641975</v>
      </c>
      <c r="I128" s="299"/>
      <c r="J128" s="299"/>
      <c r="K128" s="299">
        <f>F129*$B$126/B129</f>
        <v>217.47128529812346</v>
      </c>
      <c r="L128" s="299">
        <f>F129*$B$125/B129</f>
        <v>407.63127516049383</v>
      </c>
    </row>
    <row r="129" spans="1:25" ht="15.75">
      <c r="A129" s="295" t="s">
        <v>5753</v>
      </c>
      <c r="B129" s="299">
        <v>40500000000</v>
      </c>
      <c r="C129" s="299">
        <v>4127266661</v>
      </c>
      <c r="D129" s="299">
        <v>0</v>
      </c>
      <c r="E129" s="299">
        <v>0</v>
      </c>
      <c r="F129" s="299">
        <f>C129</f>
        <v>4127266661</v>
      </c>
      <c r="G129" s="299">
        <f>F130*$B$124</f>
        <v>49884019697765.43</v>
      </c>
      <c r="H129" s="299">
        <f>G129/B130</f>
        <v>692.83360691340874</v>
      </c>
      <c r="I129" s="299"/>
      <c r="J129" s="299"/>
      <c r="K129" s="299">
        <f>F130*$B$126/B130</f>
        <v>83.06218635692214</v>
      </c>
      <c r="L129" s="299">
        <f>F130*$B$125/B130</f>
        <v>155.69294537379972</v>
      </c>
    </row>
    <row r="130" spans="1:25" ht="15.75">
      <c r="A130" s="295" t="s">
        <v>4192</v>
      </c>
      <c r="B130" s="299">
        <v>72000000000</v>
      </c>
      <c r="C130" s="299">
        <v>8000</v>
      </c>
      <c r="D130" s="299">
        <v>27500000000</v>
      </c>
      <c r="E130" s="299">
        <v>0</v>
      </c>
      <c r="F130" s="299">
        <f>C130+(D130/B129)*F129</f>
        <v>2802473016.728395</v>
      </c>
      <c r="G130" s="299">
        <f>F131*$B$124</f>
        <v>2127959166161.2981</v>
      </c>
      <c r="H130" s="299">
        <f>G130/B131</f>
        <v>177.3299305134415</v>
      </c>
      <c r="I130" s="299"/>
      <c r="J130" s="299"/>
      <c r="K130" s="299">
        <f>F131*$B$126/B131</f>
        <v>21.259666950319335</v>
      </c>
      <c r="L130" s="299">
        <f>F131*$B$125/B131</f>
        <v>39.849422587290228</v>
      </c>
    </row>
    <row r="131" spans="1:25" ht="15.75">
      <c r="A131" s="295" t="s">
        <v>4617</v>
      </c>
      <c r="B131" s="299">
        <v>12000000000</v>
      </c>
      <c r="C131" s="299">
        <v>84902942</v>
      </c>
      <c r="D131" s="299">
        <v>296603601</v>
      </c>
      <c r="E131" s="299">
        <v>113533718</v>
      </c>
      <c r="F131" s="299">
        <f>C131+(D131/B129)*F129+(E131/B130)*F130</f>
        <v>119548267.76187068</v>
      </c>
      <c r="G131" s="299">
        <f>F132*$B$124</f>
        <v>2325261683893.3311</v>
      </c>
      <c r="H131" s="299">
        <f>G131/B132</f>
        <v>77.508722796444374</v>
      </c>
      <c r="I131" s="299"/>
      <c r="J131" s="299"/>
      <c r="K131" s="299">
        <f>F132*$B$126/B132</f>
        <v>9.2923378903152969</v>
      </c>
      <c r="L131" s="299">
        <f>F132*$B$125/B132</f>
        <v>17.417690516054915</v>
      </c>
      <c r="Y131" t="s">
        <v>25</v>
      </c>
    </row>
    <row r="132" spans="1:25" ht="15.75">
      <c r="A132" s="295" t="s">
        <v>5223</v>
      </c>
      <c r="B132" s="299">
        <v>30000000000</v>
      </c>
      <c r="C132" s="299">
        <v>0</v>
      </c>
      <c r="D132" s="299">
        <v>0</v>
      </c>
      <c r="E132" s="299">
        <v>3356161798</v>
      </c>
      <c r="F132" s="299">
        <f>(E132/B130)*F130</f>
        <v>130632678.87041186</v>
      </c>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23:27">
      <c r="Z161" t="s">
        <v>25</v>
      </c>
    </row>
    <row r="163" spans="23:27">
      <c r="AA163" t="s">
        <v>25</v>
      </c>
    </row>
    <row r="166" spans="23:27">
      <c r="Z166" t="s">
        <v>25</v>
      </c>
    </row>
    <row r="174" spans="23:27">
      <c r="W174" t="s">
        <v>25</v>
      </c>
    </row>
    <row r="177" spans="17:22">
      <c r="U177" t="s">
        <v>25</v>
      </c>
    </row>
    <row r="178" spans="17:22">
      <c r="S178" t="s">
        <v>25</v>
      </c>
      <c r="T178" t="s">
        <v>25</v>
      </c>
    </row>
    <row r="179" spans="17:22">
      <c r="Q179" t="s">
        <v>25</v>
      </c>
      <c r="T179" t="s">
        <v>25</v>
      </c>
    </row>
    <row r="180" spans="17:22">
      <c r="R180" t="s">
        <v>25</v>
      </c>
      <c r="T180" t="s">
        <v>25</v>
      </c>
    </row>
    <row r="181" spans="17:22">
      <c r="T181" t="s">
        <v>25</v>
      </c>
    </row>
    <row r="182" spans="17:22">
      <c r="Q182" t="s">
        <v>25</v>
      </c>
    </row>
    <row r="183" spans="17:22">
      <c r="V183" t="s">
        <v>25</v>
      </c>
    </row>
    <row r="184" spans="17:22">
      <c r="T184" t="s">
        <v>25</v>
      </c>
    </row>
    <row r="200" spans="19:19">
      <c r="S200" t="s">
        <v>25</v>
      </c>
    </row>
  </sheetData>
  <pageMargins left="0.7" right="0.7" top="0.75" bottom="0.75" header="0.3" footer="0.3"/>
  <pageSetup orientation="portrait" horizontalDpi="1200" verticalDpi="1200" r:id="rId1"/>
  <ignoredErrors>
    <ignoredError sqref="K50 H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A19" workbookViewId="0">
      <selection activeCell="B42" sqref="B42"/>
    </sheetView>
  </sheetViews>
  <sheetFormatPr defaultRowHeight="15"/>
  <cols>
    <col min="1" max="1" width="30.5703125" customWidth="1"/>
    <col min="2" max="2" width="23.28515625" customWidth="1"/>
    <col min="3" max="3" width="23.7109375" customWidth="1"/>
    <col min="4" max="4" width="77.42578125" customWidth="1"/>
  </cols>
  <sheetData>
    <row r="1" spans="1:11">
      <c r="A1" s="2" t="s">
        <v>7008</v>
      </c>
      <c r="B1" s="2">
        <v>10320481438</v>
      </c>
      <c r="C1" s="2"/>
      <c r="D1" s="2"/>
      <c r="E1" s="2"/>
      <c r="F1" s="2"/>
      <c r="G1" s="2"/>
      <c r="H1" s="2"/>
      <c r="I1" s="2"/>
      <c r="J1" s="2"/>
      <c r="K1" s="2"/>
    </row>
    <row r="2" spans="1:11">
      <c r="A2" s="2" t="s">
        <v>7009</v>
      </c>
      <c r="B2" s="2">
        <v>397032</v>
      </c>
      <c r="C2" s="2"/>
      <c r="D2" s="2"/>
      <c r="E2" s="2"/>
      <c r="F2" s="2"/>
      <c r="G2" s="2"/>
      <c r="H2" s="2"/>
      <c r="I2" s="2"/>
      <c r="J2" s="2"/>
      <c r="K2" s="2"/>
    </row>
    <row r="3" spans="1:11">
      <c r="A3" s="2" t="s">
        <v>7010</v>
      </c>
      <c r="B3" s="2" t="s">
        <v>7011</v>
      </c>
      <c r="C3" s="2" t="s">
        <v>7014</v>
      </c>
      <c r="D3" s="2"/>
      <c r="E3" s="2"/>
      <c r="F3" s="2"/>
      <c r="G3" s="2"/>
      <c r="H3" s="2"/>
      <c r="I3" s="2"/>
      <c r="J3" s="2"/>
      <c r="K3" s="2"/>
    </row>
    <row r="4" spans="1:11">
      <c r="A4" s="2" t="s">
        <v>7012</v>
      </c>
      <c r="B4" s="2" t="s">
        <v>7013</v>
      </c>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8" spans="1:11" ht="90">
      <c r="D38" s="22" t="s">
        <v>7016</v>
      </c>
    </row>
    <row r="40" spans="1:11">
      <c r="A40" t="s">
        <v>4792</v>
      </c>
    </row>
    <row r="41" spans="1:11">
      <c r="A41" s="11" t="s">
        <v>7061</v>
      </c>
      <c r="B41" s="11" t="s">
        <v>7062</v>
      </c>
      <c r="C41" s="11"/>
      <c r="D41" s="11"/>
    </row>
    <row r="42" spans="1:11">
      <c r="A42" s="11"/>
      <c r="B42" s="11"/>
      <c r="C42" s="11"/>
      <c r="D42" s="11"/>
    </row>
    <row r="43" spans="1:11">
      <c r="A43" s="11"/>
      <c r="B43" s="11"/>
      <c r="C43" s="11"/>
      <c r="D43" s="11"/>
    </row>
    <row r="44" spans="1:11">
      <c r="A44" s="11"/>
      <c r="B44" s="11"/>
      <c r="C44" s="11"/>
      <c r="D44" s="11"/>
    </row>
    <row r="45" spans="1:11">
      <c r="A45" s="11"/>
      <c r="B45" s="11"/>
      <c r="C45" s="11"/>
      <c r="D45" s="11"/>
    </row>
    <row r="46" spans="1:11">
      <c r="A46" s="11"/>
      <c r="B46" s="11"/>
      <c r="C46" s="11"/>
      <c r="D46" s="11"/>
    </row>
    <row r="47" spans="1:11">
      <c r="A47" s="11"/>
      <c r="B47" s="11"/>
      <c r="C47" s="11"/>
      <c r="D47" s="11"/>
    </row>
    <row r="48" spans="1:11">
      <c r="A48" s="11"/>
      <c r="B48" s="11"/>
      <c r="C48" s="11"/>
      <c r="D48" s="11"/>
    </row>
    <row r="49" spans="1:4">
      <c r="A49" s="11"/>
      <c r="B49" s="11"/>
      <c r="C49" s="11"/>
      <c r="D49" s="11"/>
    </row>
    <row r="50" spans="1:4">
      <c r="A50" s="11"/>
      <c r="B50" s="11"/>
      <c r="C50" s="11"/>
      <c r="D50" s="11"/>
    </row>
    <row r="51" spans="1:4">
      <c r="A51" s="11"/>
      <c r="B51" s="11"/>
      <c r="C51" s="11"/>
      <c r="D51" s="1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opLeftCell="A108" workbookViewId="0">
      <selection activeCell="E146" sqref="E146"/>
    </sheetView>
  </sheetViews>
  <sheetFormatPr defaultRowHeight="15"/>
  <cols>
    <col min="1" max="1" width="16.140625" style="36" customWidth="1"/>
    <col min="2" max="2" width="19.28515625" style="36" customWidth="1"/>
    <col min="3" max="3" width="12.5703125" style="36" bestFit="1" customWidth="1"/>
    <col min="4" max="4" width="7" style="36" customWidth="1"/>
    <col min="5" max="5" width="18.85546875" style="36" bestFit="1" customWidth="1"/>
    <col min="6" max="6" width="27.42578125" style="36" bestFit="1" customWidth="1"/>
    <col min="7" max="16384" width="9.140625" style="36"/>
  </cols>
  <sheetData>
    <row r="1" spans="1:6">
      <c r="A1" s="36" t="s">
        <v>4860</v>
      </c>
    </row>
    <row r="2" spans="1:6">
      <c r="A2" s="2" t="s">
        <v>180</v>
      </c>
      <c r="B2" s="2" t="s">
        <v>267</v>
      </c>
      <c r="C2" s="2" t="s">
        <v>4858</v>
      </c>
      <c r="D2" s="2"/>
      <c r="E2" s="2"/>
      <c r="F2" s="2"/>
    </row>
    <row r="3" spans="1:6">
      <c r="A3" s="2" t="s">
        <v>4851</v>
      </c>
      <c r="B3" s="18">
        <v>7500000</v>
      </c>
      <c r="C3" s="2">
        <v>4</v>
      </c>
      <c r="D3" s="2">
        <f t="shared" ref="D3:D34" si="0">C3+D4</f>
        <v>1001</v>
      </c>
      <c r="E3" s="2">
        <f t="shared" ref="E3:E34" si="1">B3*D3</f>
        <v>7507500000</v>
      </c>
      <c r="F3" s="2"/>
    </row>
    <row r="4" spans="1:6">
      <c r="A4" s="2" t="s">
        <v>4857</v>
      </c>
      <c r="B4" s="18">
        <v>-500000</v>
      </c>
      <c r="C4" s="2">
        <v>7</v>
      </c>
      <c r="D4" s="2">
        <f t="shared" si="0"/>
        <v>997</v>
      </c>
      <c r="E4" s="2">
        <f t="shared" si="1"/>
        <v>-498500000</v>
      </c>
      <c r="F4" s="2"/>
    </row>
    <row r="5" spans="1:6">
      <c r="A5" s="2" t="s">
        <v>4865</v>
      </c>
      <c r="B5" s="18">
        <v>-7000000</v>
      </c>
      <c r="C5" s="2">
        <v>1</v>
      </c>
      <c r="D5" s="2">
        <f t="shared" si="0"/>
        <v>990</v>
      </c>
      <c r="E5" s="2">
        <f t="shared" si="1"/>
        <v>-6930000000</v>
      </c>
      <c r="F5" s="2"/>
    </row>
    <row r="6" spans="1:6">
      <c r="A6" s="2" t="s">
        <v>4868</v>
      </c>
      <c r="B6" s="18">
        <v>2000000</v>
      </c>
      <c r="C6" s="2">
        <v>6</v>
      </c>
      <c r="D6" s="2">
        <f t="shared" si="0"/>
        <v>989</v>
      </c>
      <c r="E6" s="2">
        <f t="shared" si="1"/>
        <v>1978000000</v>
      </c>
      <c r="F6" s="2"/>
    </row>
    <row r="7" spans="1:6">
      <c r="A7" s="2" t="s">
        <v>4879</v>
      </c>
      <c r="B7" s="18">
        <v>1000000</v>
      </c>
      <c r="C7" s="2">
        <v>3</v>
      </c>
      <c r="D7" s="2">
        <f t="shared" si="0"/>
        <v>983</v>
      </c>
      <c r="E7" s="2">
        <f t="shared" si="1"/>
        <v>983000000</v>
      </c>
      <c r="F7" s="2"/>
    </row>
    <row r="8" spans="1:6">
      <c r="A8" s="2" t="s">
        <v>4886</v>
      </c>
      <c r="B8" s="18">
        <v>200000</v>
      </c>
      <c r="C8" s="2">
        <v>3</v>
      </c>
      <c r="D8" s="2">
        <f t="shared" si="0"/>
        <v>980</v>
      </c>
      <c r="E8" s="2">
        <f t="shared" si="1"/>
        <v>196000000</v>
      </c>
      <c r="F8" s="2"/>
    </row>
    <row r="9" spans="1:6">
      <c r="A9" s="2" t="s">
        <v>4889</v>
      </c>
      <c r="B9" s="18">
        <v>-3200000</v>
      </c>
      <c r="C9" s="2">
        <v>6</v>
      </c>
      <c r="D9" s="2">
        <f t="shared" si="0"/>
        <v>977</v>
      </c>
      <c r="E9" s="2">
        <f t="shared" si="1"/>
        <v>-3126400000</v>
      </c>
      <c r="F9" s="2"/>
    </row>
    <row r="10" spans="1:6">
      <c r="A10" s="2" t="s">
        <v>4901</v>
      </c>
      <c r="B10" s="18">
        <v>6000000</v>
      </c>
      <c r="C10" s="2">
        <v>1</v>
      </c>
      <c r="D10" s="2">
        <f t="shared" si="0"/>
        <v>971</v>
      </c>
      <c r="E10" s="2">
        <f t="shared" si="1"/>
        <v>5826000000</v>
      </c>
      <c r="F10" s="2"/>
    </row>
    <row r="11" spans="1:6">
      <c r="A11" s="2" t="s">
        <v>4902</v>
      </c>
      <c r="B11" s="18">
        <v>2000000</v>
      </c>
      <c r="C11" s="2">
        <v>3</v>
      </c>
      <c r="D11" s="2">
        <f t="shared" si="0"/>
        <v>970</v>
      </c>
      <c r="E11" s="2">
        <f t="shared" si="1"/>
        <v>1940000000</v>
      </c>
      <c r="F11" s="2"/>
    </row>
    <row r="12" spans="1:6">
      <c r="A12" s="2" t="s">
        <v>4909</v>
      </c>
      <c r="B12" s="18">
        <v>-50000</v>
      </c>
      <c r="C12" s="2">
        <v>7</v>
      </c>
      <c r="D12" s="2">
        <f t="shared" si="0"/>
        <v>967</v>
      </c>
      <c r="E12" s="2">
        <f t="shared" si="1"/>
        <v>-48350000</v>
      </c>
      <c r="F12" s="2"/>
    </row>
    <row r="13" spans="1:6">
      <c r="A13" s="2" t="s">
        <v>4915</v>
      </c>
      <c r="B13" s="18">
        <v>-2480000</v>
      </c>
      <c r="C13" s="2">
        <v>5</v>
      </c>
      <c r="D13" s="2">
        <f t="shared" si="0"/>
        <v>960</v>
      </c>
      <c r="E13" s="2">
        <f t="shared" si="1"/>
        <v>-2380800000</v>
      </c>
      <c r="F13" s="2"/>
    </row>
    <row r="14" spans="1:6">
      <c r="A14" s="2" t="s">
        <v>4923</v>
      </c>
      <c r="B14" s="18">
        <v>300000</v>
      </c>
      <c r="C14" s="2">
        <v>1</v>
      </c>
      <c r="D14" s="2">
        <f t="shared" si="0"/>
        <v>955</v>
      </c>
      <c r="E14" s="2">
        <f t="shared" si="1"/>
        <v>286500000</v>
      </c>
      <c r="F14" s="2"/>
    </row>
    <row r="15" spans="1:6">
      <c r="A15" s="2" t="s">
        <v>4186</v>
      </c>
      <c r="B15" s="18">
        <v>300000</v>
      </c>
      <c r="C15" s="2">
        <v>6</v>
      </c>
      <c r="D15" s="2">
        <f t="shared" si="0"/>
        <v>954</v>
      </c>
      <c r="E15" s="2">
        <f t="shared" si="1"/>
        <v>286200000</v>
      </c>
      <c r="F15" s="2"/>
    </row>
    <row r="16" spans="1:6">
      <c r="A16" s="2" t="s">
        <v>4932</v>
      </c>
      <c r="B16" s="18">
        <v>500000</v>
      </c>
      <c r="C16" s="2">
        <v>2</v>
      </c>
      <c r="D16" s="2">
        <f t="shared" si="0"/>
        <v>948</v>
      </c>
      <c r="E16" s="2">
        <f t="shared" si="1"/>
        <v>474000000</v>
      </c>
      <c r="F16" s="2"/>
    </row>
    <row r="17" spans="1:6">
      <c r="A17" s="2" t="s">
        <v>4938</v>
      </c>
      <c r="B17" s="18">
        <v>100000</v>
      </c>
      <c r="C17" s="2">
        <v>1</v>
      </c>
      <c r="D17" s="2">
        <f t="shared" si="0"/>
        <v>946</v>
      </c>
      <c r="E17" s="2">
        <f t="shared" si="1"/>
        <v>94600000</v>
      </c>
      <c r="F17" s="2"/>
    </row>
    <row r="18" spans="1:6">
      <c r="A18" s="2" t="s">
        <v>4939</v>
      </c>
      <c r="B18" s="18">
        <v>-6423626</v>
      </c>
      <c r="C18" s="2">
        <v>1</v>
      </c>
      <c r="D18" s="2">
        <f t="shared" si="0"/>
        <v>945</v>
      </c>
      <c r="E18" s="2">
        <f t="shared" si="1"/>
        <v>-6070326570</v>
      </c>
      <c r="F18" s="2"/>
    </row>
    <row r="19" spans="1:6">
      <c r="A19" s="2" t="s">
        <v>4942</v>
      </c>
      <c r="B19" s="18">
        <v>-4592486</v>
      </c>
      <c r="C19" s="2">
        <v>0</v>
      </c>
      <c r="D19" s="2">
        <f t="shared" si="0"/>
        <v>944</v>
      </c>
      <c r="E19" s="2">
        <f t="shared" si="1"/>
        <v>-4335306784</v>
      </c>
      <c r="F19" s="2"/>
    </row>
    <row r="20" spans="1:6">
      <c r="A20" s="2" t="s">
        <v>4942</v>
      </c>
      <c r="B20" s="18">
        <v>4346112</v>
      </c>
      <c r="C20" s="2">
        <v>11</v>
      </c>
      <c r="D20" s="2">
        <f t="shared" si="0"/>
        <v>944</v>
      </c>
      <c r="E20" s="2">
        <f t="shared" si="1"/>
        <v>4102729728</v>
      </c>
      <c r="F20" s="2"/>
    </row>
    <row r="21" spans="1:6">
      <c r="A21" s="2" t="s">
        <v>4955</v>
      </c>
      <c r="B21" s="18">
        <v>1500000</v>
      </c>
      <c r="C21" s="2">
        <v>16</v>
      </c>
      <c r="D21" s="2">
        <f t="shared" si="0"/>
        <v>933</v>
      </c>
      <c r="E21" s="2">
        <f t="shared" si="1"/>
        <v>1399500000</v>
      </c>
      <c r="F21" s="2"/>
    </row>
    <row r="22" spans="1:6">
      <c r="A22" s="2" t="s">
        <v>4945</v>
      </c>
      <c r="B22" s="18">
        <v>6000000</v>
      </c>
      <c r="C22" s="2">
        <v>8</v>
      </c>
      <c r="D22" s="2">
        <f t="shared" si="0"/>
        <v>917</v>
      </c>
      <c r="E22" s="2">
        <f t="shared" si="1"/>
        <v>5502000000</v>
      </c>
      <c r="F22" s="2"/>
    </row>
    <row r="23" spans="1:6">
      <c r="A23" s="2" t="s">
        <v>4995</v>
      </c>
      <c r="B23" s="18">
        <v>-50000</v>
      </c>
      <c r="C23" s="2">
        <v>3</v>
      </c>
      <c r="D23" s="2">
        <f t="shared" si="0"/>
        <v>909</v>
      </c>
      <c r="E23" s="2">
        <f t="shared" si="1"/>
        <v>-45450000</v>
      </c>
      <c r="F23" s="2"/>
    </row>
    <row r="24" spans="1:6">
      <c r="A24" s="2" t="s">
        <v>4998</v>
      </c>
      <c r="B24" s="18">
        <v>-20000</v>
      </c>
      <c r="C24" s="2">
        <v>7</v>
      </c>
      <c r="D24" s="2">
        <f t="shared" si="0"/>
        <v>906</v>
      </c>
      <c r="E24" s="2">
        <f t="shared" si="1"/>
        <v>-18120000</v>
      </c>
      <c r="F24" s="2"/>
    </row>
    <row r="25" spans="1:6">
      <c r="A25" s="2" t="s">
        <v>4957</v>
      </c>
      <c r="B25" s="18">
        <v>6000000</v>
      </c>
      <c r="C25" s="2">
        <v>1</v>
      </c>
      <c r="D25" s="2">
        <f t="shared" si="0"/>
        <v>899</v>
      </c>
      <c r="E25" s="2">
        <f t="shared" si="1"/>
        <v>5394000000</v>
      </c>
      <c r="F25" s="2"/>
    </row>
    <row r="26" spans="1:6">
      <c r="A26" s="2" t="s">
        <v>5014</v>
      </c>
      <c r="B26" s="18">
        <v>-2302282</v>
      </c>
      <c r="C26" s="2">
        <v>6</v>
      </c>
      <c r="D26" s="2">
        <f t="shared" si="0"/>
        <v>898</v>
      </c>
      <c r="E26" s="2">
        <f t="shared" si="1"/>
        <v>-2067449236</v>
      </c>
      <c r="F26" s="2"/>
    </row>
    <row r="27" spans="1:6">
      <c r="A27" s="2" t="s">
        <v>5019</v>
      </c>
      <c r="B27" s="18">
        <v>100000</v>
      </c>
      <c r="C27" s="2">
        <v>1</v>
      </c>
      <c r="D27" s="2">
        <f t="shared" si="0"/>
        <v>892</v>
      </c>
      <c r="E27" s="2">
        <f t="shared" si="1"/>
        <v>89200000</v>
      </c>
      <c r="F27" s="2"/>
    </row>
    <row r="28" spans="1:6">
      <c r="A28" s="2" t="s">
        <v>5022</v>
      </c>
      <c r="B28" s="18">
        <v>-1727718</v>
      </c>
      <c r="C28" s="2">
        <v>2</v>
      </c>
      <c r="D28" s="2">
        <f t="shared" si="0"/>
        <v>891</v>
      </c>
      <c r="E28" s="2">
        <f t="shared" si="1"/>
        <v>-1539396738</v>
      </c>
      <c r="F28" s="2"/>
    </row>
    <row r="29" spans="1:6">
      <c r="A29" s="2" t="s">
        <v>5026</v>
      </c>
      <c r="B29" s="18">
        <v>-1000000</v>
      </c>
      <c r="C29" s="2">
        <v>0</v>
      </c>
      <c r="D29" s="2">
        <f t="shared" si="0"/>
        <v>889</v>
      </c>
      <c r="E29" s="2">
        <f t="shared" si="1"/>
        <v>-889000000</v>
      </c>
      <c r="F29" s="2"/>
    </row>
    <row r="30" spans="1:6">
      <c r="A30" s="2" t="s">
        <v>5026</v>
      </c>
      <c r="B30" s="18">
        <v>-439200</v>
      </c>
      <c r="C30" s="2">
        <v>1</v>
      </c>
      <c r="D30" s="2">
        <f t="shared" si="0"/>
        <v>889</v>
      </c>
      <c r="E30" s="2">
        <f t="shared" si="1"/>
        <v>-390448800</v>
      </c>
      <c r="F30" s="2"/>
    </row>
    <row r="31" spans="1:6">
      <c r="A31" s="2" t="s">
        <v>5029</v>
      </c>
      <c r="B31" s="18">
        <v>-3631879</v>
      </c>
      <c r="C31" s="2">
        <v>3</v>
      </c>
      <c r="D31" s="2">
        <f t="shared" si="0"/>
        <v>888</v>
      </c>
      <c r="E31" s="2">
        <f t="shared" si="1"/>
        <v>-3225108552</v>
      </c>
      <c r="F31" s="2"/>
    </row>
    <row r="32" spans="1:6">
      <c r="A32" s="2" t="s">
        <v>5054</v>
      </c>
      <c r="B32" s="18">
        <v>-2428921</v>
      </c>
      <c r="C32" s="2">
        <v>9</v>
      </c>
      <c r="D32" s="2">
        <f t="shared" si="0"/>
        <v>885</v>
      </c>
      <c r="E32" s="2">
        <f t="shared" si="1"/>
        <v>-2149595085</v>
      </c>
      <c r="F32" s="2"/>
    </row>
    <row r="33" spans="1:6">
      <c r="A33" s="2" t="s">
        <v>5073</v>
      </c>
      <c r="B33" s="18">
        <v>-500000</v>
      </c>
      <c r="C33" s="2">
        <v>1</v>
      </c>
      <c r="D33" s="2">
        <f t="shared" si="0"/>
        <v>876</v>
      </c>
      <c r="E33" s="2">
        <f t="shared" si="1"/>
        <v>-438000000</v>
      </c>
      <c r="F33" s="2"/>
    </row>
    <row r="34" spans="1:6">
      <c r="A34" s="2" t="s">
        <v>5074</v>
      </c>
      <c r="B34" s="18">
        <v>-2603</v>
      </c>
      <c r="C34" s="2">
        <v>0</v>
      </c>
      <c r="D34" s="2">
        <f t="shared" si="0"/>
        <v>875</v>
      </c>
      <c r="E34" s="2">
        <f t="shared" si="1"/>
        <v>-2277625</v>
      </c>
      <c r="F34" s="2" t="s">
        <v>5075</v>
      </c>
    </row>
    <row r="35" spans="1:6">
      <c r="A35" s="2" t="s">
        <v>5074</v>
      </c>
      <c r="B35" s="18">
        <v>-250000</v>
      </c>
      <c r="C35" s="2">
        <v>7</v>
      </c>
      <c r="D35" s="2">
        <f t="shared" ref="D35:D66" si="2">C35+D36</f>
        <v>875</v>
      </c>
      <c r="E35" s="2">
        <f t="shared" ref="E35:E66" si="3">B35*D35</f>
        <v>-218750000</v>
      </c>
      <c r="F35" s="2"/>
    </row>
    <row r="36" spans="1:6">
      <c r="A36" s="2" t="s">
        <v>4229</v>
      </c>
      <c r="B36" s="18">
        <v>185749</v>
      </c>
      <c r="C36" s="2">
        <v>5</v>
      </c>
      <c r="D36" s="2">
        <f t="shared" si="2"/>
        <v>868</v>
      </c>
      <c r="E36" s="2">
        <f t="shared" si="3"/>
        <v>161230132</v>
      </c>
      <c r="F36" s="2"/>
    </row>
    <row r="37" spans="1:6">
      <c r="A37" s="2" t="s">
        <v>5088</v>
      </c>
      <c r="B37" s="18">
        <v>300000</v>
      </c>
      <c r="C37" s="2">
        <v>3</v>
      </c>
      <c r="D37" s="2">
        <f t="shared" si="2"/>
        <v>863</v>
      </c>
      <c r="E37" s="2">
        <f t="shared" si="3"/>
        <v>258900000</v>
      </c>
      <c r="F37" s="2"/>
    </row>
    <row r="38" spans="1:6">
      <c r="A38" s="2" t="s">
        <v>5094</v>
      </c>
      <c r="B38" s="18">
        <v>-50000</v>
      </c>
      <c r="C38" s="2">
        <v>3</v>
      </c>
      <c r="D38" s="2">
        <f t="shared" si="2"/>
        <v>860</v>
      </c>
      <c r="E38" s="2">
        <f t="shared" si="3"/>
        <v>-43000000</v>
      </c>
      <c r="F38" s="2"/>
    </row>
    <row r="39" spans="1:6">
      <c r="A39" s="2" t="s">
        <v>5099</v>
      </c>
      <c r="B39" s="18">
        <v>-1683146</v>
      </c>
      <c r="C39" s="2">
        <v>10</v>
      </c>
      <c r="D39" s="2">
        <f t="shared" si="2"/>
        <v>857</v>
      </c>
      <c r="E39" s="2">
        <f t="shared" si="3"/>
        <v>-1442456122</v>
      </c>
      <c r="F39" s="2"/>
    </row>
    <row r="40" spans="1:6">
      <c r="A40" s="2" t="s">
        <v>5111</v>
      </c>
      <c r="B40" s="18">
        <v>700000</v>
      </c>
      <c r="C40" s="2">
        <v>18</v>
      </c>
      <c r="D40" s="2">
        <f t="shared" si="2"/>
        <v>847</v>
      </c>
      <c r="E40" s="2">
        <f t="shared" si="3"/>
        <v>592900000</v>
      </c>
      <c r="F40" s="2"/>
    </row>
    <row r="41" spans="1:6">
      <c r="A41" s="2" t="s">
        <v>5124</v>
      </c>
      <c r="B41" s="18">
        <v>-700000</v>
      </c>
      <c r="C41" s="2">
        <v>46</v>
      </c>
      <c r="D41" s="2">
        <f t="shared" si="2"/>
        <v>829</v>
      </c>
      <c r="E41" s="2">
        <f t="shared" si="3"/>
        <v>-580300000</v>
      </c>
      <c r="F41" s="2"/>
    </row>
    <row r="42" spans="1:6">
      <c r="A42" s="2" t="s">
        <v>5174</v>
      </c>
      <c r="B42" s="18">
        <v>1000000</v>
      </c>
      <c r="C42" s="2">
        <v>4</v>
      </c>
      <c r="D42" s="2">
        <f t="shared" si="2"/>
        <v>783</v>
      </c>
      <c r="E42" s="2">
        <f t="shared" si="3"/>
        <v>783000000</v>
      </c>
      <c r="F42" s="2"/>
    </row>
    <row r="43" spans="1:6">
      <c r="A43" s="2" t="s">
        <v>5178</v>
      </c>
      <c r="B43" s="18">
        <v>1500000</v>
      </c>
      <c r="C43" s="2">
        <v>1</v>
      </c>
      <c r="D43" s="2">
        <f t="shared" si="2"/>
        <v>779</v>
      </c>
      <c r="E43" s="2">
        <f t="shared" si="3"/>
        <v>1168500000</v>
      </c>
      <c r="F43" s="2"/>
    </row>
    <row r="44" spans="1:6">
      <c r="A44" s="2" t="s">
        <v>5179</v>
      </c>
      <c r="B44" s="18">
        <v>-1500000</v>
      </c>
      <c r="C44" s="2">
        <v>15</v>
      </c>
      <c r="D44" s="2">
        <f t="shared" si="2"/>
        <v>778</v>
      </c>
      <c r="E44" s="2">
        <f t="shared" si="3"/>
        <v>-1167000000</v>
      </c>
      <c r="F44" s="2"/>
    </row>
    <row r="45" spans="1:6">
      <c r="A45" s="2" t="s">
        <v>5202</v>
      </c>
      <c r="B45" s="18">
        <v>-100000</v>
      </c>
      <c r="C45" s="2">
        <v>5</v>
      </c>
      <c r="D45" s="2">
        <f t="shared" si="2"/>
        <v>763</v>
      </c>
      <c r="E45" s="2">
        <f t="shared" si="3"/>
        <v>-76300000</v>
      </c>
      <c r="F45" s="2"/>
    </row>
    <row r="46" spans="1:6">
      <c r="A46" s="2" t="s">
        <v>5206</v>
      </c>
      <c r="B46" s="18">
        <v>1164690</v>
      </c>
      <c r="C46" s="2">
        <v>4</v>
      </c>
      <c r="D46" s="2">
        <f t="shared" si="2"/>
        <v>758</v>
      </c>
      <c r="E46" s="2">
        <f t="shared" si="3"/>
        <v>882835020</v>
      </c>
      <c r="F46" s="2"/>
    </row>
    <row r="47" spans="1:6">
      <c r="A47" s="2" t="s">
        <v>5215</v>
      </c>
      <c r="B47" s="18">
        <v>1000000</v>
      </c>
      <c r="C47" s="2">
        <v>4</v>
      </c>
      <c r="D47" s="2">
        <f t="shared" si="2"/>
        <v>754</v>
      </c>
      <c r="E47" s="2">
        <f t="shared" si="3"/>
        <v>754000000</v>
      </c>
      <c r="F47" s="2"/>
    </row>
    <row r="48" spans="1:6">
      <c r="A48" s="2" t="s">
        <v>5220</v>
      </c>
      <c r="B48" s="18">
        <v>-264690</v>
      </c>
      <c r="C48" s="2">
        <v>7</v>
      </c>
      <c r="D48" s="2">
        <f t="shared" si="2"/>
        <v>750</v>
      </c>
      <c r="E48" s="2">
        <f t="shared" si="3"/>
        <v>-198517500</v>
      </c>
      <c r="F48" s="2"/>
    </row>
    <row r="49" spans="1:6">
      <c r="A49" s="2" t="s">
        <v>5236</v>
      </c>
      <c r="B49" s="18">
        <v>2700000</v>
      </c>
      <c r="C49" s="2">
        <v>0</v>
      </c>
      <c r="D49" s="2">
        <f t="shared" si="2"/>
        <v>743</v>
      </c>
      <c r="E49" s="2">
        <f t="shared" si="3"/>
        <v>2006100000</v>
      </c>
      <c r="F49" s="2"/>
    </row>
    <row r="50" spans="1:6">
      <c r="A50" s="2" t="s">
        <v>5236</v>
      </c>
      <c r="B50" s="18">
        <v>-1000000</v>
      </c>
      <c r="C50" s="2">
        <v>1</v>
      </c>
      <c r="D50" s="2">
        <f t="shared" si="2"/>
        <v>743</v>
      </c>
      <c r="E50" s="2">
        <f t="shared" si="3"/>
        <v>-743000000</v>
      </c>
      <c r="F50" s="2" t="s">
        <v>5238</v>
      </c>
    </row>
    <row r="51" spans="1:6">
      <c r="A51" s="2" t="s">
        <v>5240</v>
      </c>
      <c r="B51" s="18">
        <v>-75616</v>
      </c>
      <c r="C51" s="2">
        <v>2</v>
      </c>
      <c r="D51" s="2">
        <f t="shared" si="2"/>
        <v>742</v>
      </c>
      <c r="E51" s="2">
        <f t="shared" si="3"/>
        <v>-56107072</v>
      </c>
      <c r="F51" s="2" t="s">
        <v>5241</v>
      </c>
    </row>
    <row r="52" spans="1:6">
      <c r="A52" s="2" t="s">
        <v>941</v>
      </c>
      <c r="B52" s="18">
        <v>-2424384</v>
      </c>
      <c r="C52" s="2">
        <v>2</v>
      </c>
      <c r="D52" s="2">
        <f t="shared" si="2"/>
        <v>740</v>
      </c>
      <c r="E52" s="2">
        <f t="shared" si="3"/>
        <v>-1794044160</v>
      </c>
      <c r="F52" s="2"/>
    </row>
    <row r="53" spans="1:6">
      <c r="A53" s="2" t="s">
        <v>5254</v>
      </c>
      <c r="B53" s="18">
        <v>-2000000</v>
      </c>
      <c r="C53" s="2">
        <v>6</v>
      </c>
      <c r="D53" s="2">
        <f t="shared" si="2"/>
        <v>738</v>
      </c>
      <c r="E53" s="2">
        <f t="shared" si="3"/>
        <v>-1476000000</v>
      </c>
      <c r="F53" s="2"/>
    </row>
    <row r="54" spans="1:6">
      <c r="A54" s="2" t="s">
        <v>5286</v>
      </c>
      <c r="B54" s="18">
        <v>2500000</v>
      </c>
      <c r="C54" s="2">
        <v>1</v>
      </c>
      <c r="D54" s="2">
        <f t="shared" si="2"/>
        <v>732</v>
      </c>
      <c r="E54" s="2">
        <f t="shared" si="3"/>
        <v>1830000000</v>
      </c>
      <c r="F54" s="2"/>
    </row>
    <row r="55" spans="1:6">
      <c r="A55" s="2" t="s">
        <v>5289</v>
      </c>
      <c r="B55" s="18">
        <v>3000000</v>
      </c>
      <c r="C55" s="2">
        <v>3</v>
      </c>
      <c r="D55" s="2">
        <f t="shared" si="2"/>
        <v>731</v>
      </c>
      <c r="E55" s="2">
        <f t="shared" si="3"/>
        <v>2193000000</v>
      </c>
      <c r="F55" s="2"/>
    </row>
    <row r="56" spans="1:6">
      <c r="A56" s="2" t="s">
        <v>5295</v>
      </c>
      <c r="B56" s="18">
        <v>-300000</v>
      </c>
      <c r="C56" s="2">
        <v>5</v>
      </c>
      <c r="D56" s="2">
        <f t="shared" si="2"/>
        <v>728</v>
      </c>
      <c r="E56" s="2">
        <f t="shared" si="3"/>
        <v>-218400000</v>
      </c>
      <c r="F56" s="2"/>
    </row>
    <row r="57" spans="1:6">
      <c r="A57" s="2" t="s">
        <v>5305</v>
      </c>
      <c r="B57" s="18">
        <v>500000</v>
      </c>
      <c r="C57" s="2">
        <v>1</v>
      </c>
      <c r="D57" s="2">
        <f t="shared" si="2"/>
        <v>723</v>
      </c>
      <c r="E57" s="2">
        <f t="shared" si="3"/>
        <v>361500000</v>
      </c>
      <c r="F57" s="2"/>
    </row>
    <row r="58" spans="1:6">
      <c r="A58" s="2" t="s">
        <v>5306</v>
      </c>
      <c r="B58" s="18">
        <v>1000000</v>
      </c>
      <c r="C58" s="2">
        <v>5</v>
      </c>
      <c r="D58" s="2">
        <f t="shared" si="2"/>
        <v>722</v>
      </c>
      <c r="E58" s="2">
        <f t="shared" si="3"/>
        <v>722000000</v>
      </c>
      <c r="F58" s="2"/>
    </row>
    <row r="59" spans="1:6">
      <c r="A59" s="2" t="s">
        <v>5311</v>
      </c>
      <c r="B59" s="18">
        <v>-2700000</v>
      </c>
      <c r="C59" s="2">
        <v>1</v>
      </c>
      <c r="D59" s="2">
        <f t="shared" si="2"/>
        <v>717</v>
      </c>
      <c r="E59" s="2">
        <f t="shared" si="3"/>
        <v>-1935900000</v>
      </c>
      <c r="F59" s="2"/>
    </row>
    <row r="60" spans="1:6">
      <c r="A60" s="2" t="s">
        <v>5312</v>
      </c>
      <c r="B60" s="18">
        <v>-3600000</v>
      </c>
      <c r="C60" s="2">
        <v>1</v>
      </c>
      <c r="D60" s="2">
        <f t="shared" si="2"/>
        <v>716</v>
      </c>
      <c r="E60" s="2">
        <f t="shared" si="3"/>
        <v>-2577600000</v>
      </c>
      <c r="F60" s="2"/>
    </row>
    <row r="61" spans="1:6">
      <c r="A61" s="2" t="s">
        <v>965</v>
      </c>
      <c r="B61" s="18">
        <v>-400000</v>
      </c>
      <c r="C61" s="2">
        <v>17</v>
      </c>
      <c r="D61" s="2">
        <f t="shared" si="2"/>
        <v>715</v>
      </c>
      <c r="E61" s="2">
        <f t="shared" si="3"/>
        <v>-286000000</v>
      </c>
      <c r="F61" s="2"/>
    </row>
    <row r="62" spans="1:6">
      <c r="A62" s="2" t="s">
        <v>5332</v>
      </c>
      <c r="B62" s="18">
        <v>1000000</v>
      </c>
      <c r="C62" s="2">
        <v>20</v>
      </c>
      <c r="D62" s="2">
        <f t="shared" si="2"/>
        <v>698</v>
      </c>
      <c r="E62" s="2">
        <f t="shared" si="3"/>
        <v>698000000</v>
      </c>
      <c r="F62" s="2"/>
    </row>
    <row r="63" spans="1:6">
      <c r="A63" s="2" t="s">
        <v>5351</v>
      </c>
      <c r="B63" s="18">
        <v>-1000000</v>
      </c>
      <c r="C63" s="2">
        <v>25</v>
      </c>
      <c r="D63" s="2">
        <f t="shared" si="2"/>
        <v>678</v>
      </c>
      <c r="E63" s="2">
        <f t="shared" si="3"/>
        <v>-678000000</v>
      </c>
      <c r="F63" s="2"/>
    </row>
    <row r="64" spans="1:6">
      <c r="A64" s="2" t="s">
        <v>5378</v>
      </c>
      <c r="B64" s="18">
        <v>300000</v>
      </c>
      <c r="C64" s="2">
        <v>3</v>
      </c>
      <c r="D64" s="2">
        <f t="shared" si="2"/>
        <v>653</v>
      </c>
      <c r="E64" s="2">
        <f t="shared" si="3"/>
        <v>195900000</v>
      </c>
      <c r="F64" s="2"/>
    </row>
    <row r="65" spans="1:6">
      <c r="A65" s="2" t="s">
        <v>5383</v>
      </c>
      <c r="B65" s="18">
        <v>-300000</v>
      </c>
      <c r="C65" s="2">
        <v>9</v>
      </c>
      <c r="D65" s="2">
        <f t="shared" si="2"/>
        <v>650</v>
      </c>
      <c r="E65" s="2">
        <f t="shared" si="3"/>
        <v>-195000000</v>
      </c>
      <c r="F65" s="2"/>
    </row>
    <row r="66" spans="1:6">
      <c r="A66" s="2" t="s">
        <v>5391</v>
      </c>
      <c r="B66" s="18">
        <v>1000000</v>
      </c>
      <c r="C66" s="2">
        <v>24</v>
      </c>
      <c r="D66" s="2">
        <f t="shared" si="2"/>
        <v>641</v>
      </c>
      <c r="E66" s="2">
        <f t="shared" si="3"/>
        <v>641000000</v>
      </c>
      <c r="F66" s="2"/>
    </row>
    <row r="67" spans="1:6">
      <c r="A67" s="2" t="s">
        <v>5426</v>
      </c>
      <c r="B67" s="18">
        <v>-1380100</v>
      </c>
      <c r="C67" s="2">
        <v>11</v>
      </c>
      <c r="D67" s="2">
        <f t="shared" ref="D67:D98" si="4">C67+D68</f>
        <v>617</v>
      </c>
      <c r="E67" s="2">
        <f t="shared" ref="E67:E98" si="5">B67*D67</f>
        <v>-851521700</v>
      </c>
      <c r="F67" s="2"/>
    </row>
    <row r="68" spans="1:6">
      <c r="A68" s="2" t="s">
        <v>5440</v>
      </c>
      <c r="B68" s="18">
        <v>1280015</v>
      </c>
      <c r="C68" s="2">
        <v>0</v>
      </c>
      <c r="D68" s="2">
        <f t="shared" si="4"/>
        <v>606</v>
      </c>
      <c r="E68" s="2">
        <f t="shared" si="5"/>
        <v>775689090</v>
      </c>
      <c r="F68" s="2"/>
    </row>
    <row r="69" spans="1:6">
      <c r="A69" s="2" t="s">
        <v>5440</v>
      </c>
      <c r="B69" s="18">
        <v>300000</v>
      </c>
      <c r="C69" s="2">
        <v>7</v>
      </c>
      <c r="D69" s="2">
        <f t="shared" si="4"/>
        <v>606</v>
      </c>
      <c r="E69" s="2">
        <f t="shared" si="5"/>
        <v>181800000</v>
      </c>
      <c r="F69" s="2"/>
    </row>
    <row r="70" spans="1:6">
      <c r="A70" s="2" t="s">
        <v>5447</v>
      </c>
      <c r="B70" s="18">
        <v>3000000</v>
      </c>
      <c r="C70" s="2">
        <v>3</v>
      </c>
      <c r="D70" s="2">
        <f t="shared" si="4"/>
        <v>599</v>
      </c>
      <c r="E70" s="2">
        <f t="shared" si="5"/>
        <v>1797000000</v>
      </c>
      <c r="F70" s="2"/>
    </row>
    <row r="71" spans="1:6">
      <c r="A71" s="2" t="s">
        <v>5462</v>
      </c>
      <c r="B71" s="18">
        <v>300000</v>
      </c>
      <c r="C71" s="2">
        <v>8</v>
      </c>
      <c r="D71" s="2">
        <f t="shared" si="4"/>
        <v>596</v>
      </c>
      <c r="E71" s="2">
        <f t="shared" si="5"/>
        <v>178800000</v>
      </c>
      <c r="F71" s="2"/>
    </row>
    <row r="72" spans="1:6">
      <c r="A72" s="2" t="s">
        <v>5481</v>
      </c>
      <c r="B72" s="18">
        <v>-3500000</v>
      </c>
      <c r="C72" s="2">
        <v>6</v>
      </c>
      <c r="D72" s="2">
        <f t="shared" si="4"/>
        <v>588</v>
      </c>
      <c r="E72" s="2">
        <f t="shared" si="5"/>
        <v>-2058000000</v>
      </c>
      <c r="F72" s="2"/>
    </row>
    <row r="73" spans="1:6">
      <c r="A73" s="2" t="s">
        <v>5486</v>
      </c>
      <c r="B73" s="18">
        <v>-70000</v>
      </c>
      <c r="C73" s="2">
        <v>1</v>
      </c>
      <c r="D73" s="2">
        <f t="shared" si="4"/>
        <v>582</v>
      </c>
      <c r="E73" s="2">
        <f t="shared" si="5"/>
        <v>-40740000</v>
      </c>
      <c r="F73" s="2"/>
    </row>
    <row r="74" spans="1:6">
      <c r="A74" s="2" t="s">
        <v>5490</v>
      </c>
      <c r="B74" s="18">
        <v>70085</v>
      </c>
      <c r="C74" s="2">
        <v>7</v>
      </c>
      <c r="D74" s="2">
        <f t="shared" si="4"/>
        <v>581</v>
      </c>
      <c r="E74" s="2">
        <f t="shared" si="5"/>
        <v>40719385</v>
      </c>
      <c r="F74" s="2" t="s">
        <v>5491</v>
      </c>
    </row>
    <row r="75" spans="1:6">
      <c r="A75" s="2" t="s">
        <v>5497</v>
      </c>
      <c r="B75" s="18">
        <v>-1000000</v>
      </c>
      <c r="C75" s="2">
        <v>31</v>
      </c>
      <c r="D75" s="2">
        <f t="shared" si="4"/>
        <v>574</v>
      </c>
      <c r="E75" s="2">
        <f t="shared" si="5"/>
        <v>-574000000</v>
      </c>
      <c r="F75" s="2"/>
    </row>
    <row r="76" spans="1:6">
      <c r="A76" s="2" t="s">
        <v>5524</v>
      </c>
      <c r="B76" s="18">
        <v>6000000</v>
      </c>
      <c r="C76" s="2">
        <v>1</v>
      </c>
      <c r="D76" s="2">
        <f t="shared" si="4"/>
        <v>543</v>
      </c>
      <c r="E76" s="2">
        <f t="shared" si="5"/>
        <v>3258000000</v>
      </c>
      <c r="F76" s="2"/>
    </row>
    <row r="77" spans="1:6">
      <c r="A77" s="2" t="s">
        <v>5525</v>
      </c>
      <c r="B77" s="18">
        <v>6000000</v>
      </c>
      <c r="C77" s="2">
        <v>11</v>
      </c>
      <c r="D77" s="2">
        <f t="shared" si="4"/>
        <v>542</v>
      </c>
      <c r="E77" s="2">
        <f t="shared" si="5"/>
        <v>3252000000</v>
      </c>
      <c r="F77" s="2"/>
    </row>
    <row r="78" spans="1:6">
      <c r="A78" s="2" t="s">
        <v>5540</v>
      </c>
      <c r="B78" s="18">
        <v>48000000</v>
      </c>
      <c r="C78" s="2">
        <v>8</v>
      </c>
      <c r="D78" s="2">
        <f t="shared" si="4"/>
        <v>531</v>
      </c>
      <c r="E78" s="2">
        <f t="shared" si="5"/>
        <v>25488000000</v>
      </c>
      <c r="F78" s="2"/>
    </row>
    <row r="79" spans="1:6">
      <c r="A79" s="2" t="s">
        <v>5556</v>
      </c>
      <c r="B79" s="18">
        <v>-400000</v>
      </c>
      <c r="C79" s="2">
        <v>23</v>
      </c>
      <c r="D79" s="2">
        <f t="shared" si="4"/>
        <v>523</v>
      </c>
      <c r="E79" s="2">
        <f t="shared" si="5"/>
        <v>-209200000</v>
      </c>
      <c r="F79" s="2"/>
    </row>
    <row r="80" spans="1:6">
      <c r="A80" s="2" t="s">
        <v>5580</v>
      </c>
      <c r="B80" s="18">
        <v>500000</v>
      </c>
      <c r="C80" s="2">
        <v>4</v>
      </c>
      <c r="D80" s="2">
        <f t="shared" si="4"/>
        <v>500</v>
      </c>
      <c r="E80" s="2">
        <f t="shared" si="5"/>
        <v>250000000</v>
      </c>
      <c r="F80" s="2"/>
    </row>
    <row r="81" spans="1:6">
      <c r="A81" s="2" t="s">
        <v>5584</v>
      </c>
      <c r="B81" s="18">
        <v>-500000</v>
      </c>
      <c r="C81" s="2">
        <v>48</v>
      </c>
      <c r="D81" s="2">
        <f t="shared" si="4"/>
        <v>496</v>
      </c>
      <c r="E81" s="2">
        <f t="shared" si="5"/>
        <v>-248000000</v>
      </c>
      <c r="F81" s="2"/>
    </row>
    <row r="82" spans="1:6">
      <c r="A82" s="2" t="s">
        <v>5631</v>
      </c>
      <c r="B82" s="18">
        <v>2000000</v>
      </c>
      <c r="C82" s="2">
        <v>11</v>
      </c>
      <c r="D82" s="2">
        <f t="shared" si="4"/>
        <v>448</v>
      </c>
      <c r="E82" s="2">
        <f t="shared" si="5"/>
        <v>896000000</v>
      </c>
      <c r="F82" s="2"/>
    </row>
    <row r="83" spans="1:6">
      <c r="A83" s="2" t="s">
        <v>5641</v>
      </c>
      <c r="B83" s="18">
        <v>-2000000</v>
      </c>
      <c r="C83" s="2">
        <v>1</v>
      </c>
      <c r="D83" s="2">
        <f t="shared" si="4"/>
        <v>437</v>
      </c>
      <c r="E83" s="2">
        <f t="shared" si="5"/>
        <v>-874000000</v>
      </c>
      <c r="F83" s="2"/>
    </row>
    <row r="84" spans="1:6">
      <c r="A84" s="2" t="s">
        <v>5642</v>
      </c>
      <c r="B84" s="18">
        <v>-42203</v>
      </c>
      <c r="C84" s="2">
        <v>2</v>
      </c>
      <c r="D84" s="2">
        <f t="shared" si="4"/>
        <v>436</v>
      </c>
      <c r="E84" s="2">
        <f t="shared" si="5"/>
        <v>-18400508</v>
      </c>
      <c r="F84" s="2" t="s">
        <v>5644</v>
      </c>
    </row>
    <row r="85" spans="1:6">
      <c r="A85" s="2" t="s">
        <v>5646</v>
      </c>
      <c r="B85" s="18">
        <v>-365000</v>
      </c>
      <c r="C85" s="2">
        <v>5</v>
      </c>
      <c r="D85" s="2">
        <f t="shared" si="4"/>
        <v>434</v>
      </c>
      <c r="E85" s="2">
        <f t="shared" si="5"/>
        <v>-158410000</v>
      </c>
      <c r="F85" s="2" t="s">
        <v>5647</v>
      </c>
    </row>
    <row r="86" spans="1:6">
      <c r="A86" s="2" t="s">
        <v>5652</v>
      </c>
      <c r="B86" s="18">
        <v>12000000</v>
      </c>
      <c r="C86" s="2">
        <v>9</v>
      </c>
      <c r="D86" s="2">
        <f t="shared" si="4"/>
        <v>429</v>
      </c>
      <c r="E86" s="2">
        <f t="shared" si="5"/>
        <v>5148000000</v>
      </c>
      <c r="F86" s="2" t="s">
        <v>5653</v>
      </c>
    </row>
    <row r="87" spans="1:6">
      <c r="A87" s="2" t="s">
        <v>5662</v>
      </c>
      <c r="B87" s="18">
        <v>-4000000</v>
      </c>
      <c r="C87" s="2">
        <v>1</v>
      </c>
      <c r="D87" s="2">
        <f t="shared" si="4"/>
        <v>420</v>
      </c>
      <c r="E87" s="2">
        <f t="shared" si="5"/>
        <v>-1680000000</v>
      </c>
      <c r="F87" s="2"/>
    </row>
    <row r="88" spans="1:6">
      <c r="A88" s="2" t="s">
        <v>5666</v>
      </c>
      <c r="B88" s="18">
        <v>-5000000</v>
      </c>
      <c r="C88" s="2">
        <v>2</v>
      </c>
      <c r="D88" s="2">
        <f t="shared" si="4"/>
        <v>419</v>
      </c>
      <c r="E88" s="2">
        <f t="shared" si="5"/>
        <v>-2095000000</v>
      </c>
      <c r="F88" s="2"/>
    </row>
    <row r="89" spans="1:6">
      <c r="A89" s="2" t="s">
        <v>5664</v>
      </c>
      <c r="B89" s="18">
        <v>-2500000</v>
      </c>
      <c r="C89" s="2">
        <v>1</v>
      </c>
      <c r="D89" s="2">
        <f t="shared" si="4"/>
        <v>417</v>
      </c>
      <c r="E89" s="2">
        <f t="shared" si="5"/>
        <v>-1042500000</v>
      </c>
      <c r="F89" s="2"/>
    </row>
    <row r="90" spans="1:6">
      <c r="A90" s="2" t="s">
        <v>5665</v>
      </c>
      <c r="B90" s="18">
        <v>-500000</v>
      </c>
      <c r="C90" s="2">
        <v>17</v>
      </c>
      <c r="D90" s="2">
        <f t="shared" si="4"/>
        <v>416</v>
      </c>
      <c r="E90" s="2">
        <f t="shared" si="5"/>
        <v>-208000000</v>
      </c>
      <c r="F90" s="2"/>
    </row>
    <row r="91" spans="1:6">
      <c r="A91" s="2" t="s">
        <v>5667</v>
      </c>
      <c r="B91" s="18">
        <v>-192797</v>
      </c>
      <c r="C91" s="2">
        <v>15</v>
      </c>
      <c r="D91" s="2">
        <f t="shared" si="4"/>
        <v>399</v>
      </c>
      <c r="E91" s="2">
        <f t="shared" si="5"/>
        <v>-76926003</v>
      </c>
      <c r="F91" s="2"/>
    </row>
    <row r="92" spans="1:6">
      <c r="A92" s="2" t="s">
        <v>5672</v>
      </c>
      <c r="B92" s="18">
        <v>2000000</v>
      </c>
      <c r="C92" s="2">
        <v>12</v>
      </c>
      <c r="D92" s="2">
        <f t="shared" si="4"/>
        <v>384</v>
      </c>
      <c r="E92" s="2">
        <f t="shared" si="5"/>
        <v>768000000</v>
      </c>
      <c r="F92" s="2"/>
    </row>
    <row r="93" spans="1:6">
      <c r="A93" s="2" t="s">
        <v>5678</v>
      </c>
      <c r="B93" s="18">
        <v>-2000000</v>
      </c>
      <c r="C93" s="2">
        <v>0</v>
      </c>
      <c r="D93" s="2">
        <f t="shared" si="4"/>
        <v>372</v>
      </c>
      <c r="E93" s="2">
        <f t="shared" si="5"/>
        <v>-744000000</v>
      </c>
      <c r="F93" s="2"/>
    </row>
    <row r="94" spans="1:6">
      <c r="A94" s="2" t="s">
        <v>5678</v>
      </c>
      <c r="B94" s="18">
        <v>-4000000</v>
      </c>
      <c r="C94" s="2">
        <v>1</v>
      </c>
      <c r="D94" s="2">
        <f t="shared" si="4"/>
        <v>372</v>
      </c>
      <c r="E94" s="2">
        <f t="shared" si="5"/>
        <v>-1488000000</v>
      </c>
      <c r="F94" s="2"/>
    </row>
    <row r="95" spans="1:6">
      <c r="A95" s="2" t="s">
        <v>5679</v>
      </c>
      <c r="B95" s="18">
        <v>-3000000</v>
      </c>
      <c r="C95" s="2">
        <v>3</v>
      </c>
      <c r="D95" s="2">
        <f t="shared" si="4"/>
        <v>371</v>
      </c>
      <c r="E95" s="2">
        <f t="shared" si="5"/>
        <v>-1113000000</v>
      </c>
      <c r="F95" s="2"/>
    </row>
    <row r="96" spans="1:6">
      <c r="A96" s="2" t="s">
        <v>5686</v>
      </c>
      <c r="B96" s="18">
        <v>-6000000</v>
      </c>
      <c r="C96" s="2">
        <v>1</v>
      </c>
      <c r="D96" s="2">
        <f t="shared" si="4"/>
        <v>368</v>
      </c>
      <c r="E96" s="2">
        <f t="shared" si="5"/>
        <v>-2208000000</v>
      </c>
      <c r="F96" s="2"/>
    </row>
    <row r="97" spans="1:6">
      <c r="A97" s="2" t="s">
        <v>5688</v>
      </c>
      <c r="B97" s="18">
        <v>-10000000</v>
      </c>
      <c r="C97" s="2">
        <v>0</v>
      </c>
      <c r="D97" s="2">
        <f t="shared" si="4"/>
        <v>367</v>
      </c>
      <c r="E97" s="2">
        <f t="shared" si="5"/>
        <v>-3670000000</v>
      </c>
      <c r="F97" s="2"/>
    </row>
    <row r="98" spans="1:6">
      <c r="A98" s="2" t="s">
        <v>5688</v>
      </c>
      <c r="B98" s="18">
        <v>-5500000</v>
      </c>
      <c r="C98" s="2">
        <v>1</v>
      </c>
      <c r="D98" s="2">
        <f t="shared" si="4"/>
        <v>367</v>
      </c>
      <c r="E98" s="2">
        <f t="shared" si="5"/>
        <v>-2018500000</v>
      </c>
      <c r="F98" s="2"/>
    </row>
    <row r="99" spans="1:6">
      <c r="A99" s="2" t="s">
        <v>5689</v>
      </c>
      <c r="B99" s="18">
        <v>-1500000</v>
      </c>
      <c r="C99" s="2">
        <v>9</v>
      </c>
      <c r="D99" s="2">
        <f t="shared" ref="D99:D130" si="6">C99+D100</f>
        <v>366</v>
      </c>
      <c r="E99" s="2">
        <f t="shared" ref="E99:E130" si="7">B99*D99</f>
        <v>-549000000</v>
      </c>
      <c r="F99" s="2"/>
    </row>
    <row r="100" spans="1:6">
      <c r="A100" s="2" t="s">
        <v>5716</v>
      </c>
      <c r="B100" s="18">
        <v>-22545000</v>
      </c>
      <c r="C100" s="2">
        <v>18</v>
      </c>
      <c r="D100" s="2">
        <f t="shared" si="6"/>
        <v>357</v>
      </c>
      <c r="E100" s="2">
        <f t="shared" si="7"/>
        <v>-8048565000</v>
      </c>
      <c r="F100" s="2" t="s">
        <v>5720</v>
      </c>
    </row>
    <row r="101" spans="1:6">
      <c r="A101" s="2" t="s">
        <v>5727</v>
      </c>
      <c r="B101" s="18">
        <v>5000000</v>
      </c>
      <c r="C101" s="2">
        <v>9</v>
      </c>
      <c r="D101" s="2">
        <f t="shared" si="6"/>
        <v>339</v>
      </c>
      <c r="E101" s="2">
        <f t="shared" si="7"/>
        <v>1695000000</v>
      </c>
      <c r="F101" s="2"/>
    </row>
    <row r="102" spans="1:6">
      <c r="A102" s="2" t="s">
        <v>5731</v>
      </c>
      <c r="B102" s="18">
        <v>3000000</v>
      </c>
      <c r="C102" s="2">
        <v>0</v>
      </c>
      <c r="D102" s="2">
        <f t="shared" si="6"/>
        <v>330</v>
      </c>
      <c r="E102" s="2">
        <f t="shared" si="7"/>
        <v>990000000</v>
      </c>
      <c r="F102" s="2"/>
    </row>
    <row r="103" spans="1:6">
      <c r="A103" s="2" t="s">
        <v>5731</v>
      </c>
      <c r="B103" s="18">
        <v>-3000000</v>
      </c>
      <c r="C103" s="2">
        <v>1</v>
      </c>
      <c r="D103" s="2">
        <f t="shared" si="6"/>
        <v>330</v>
      </c>
      <c r="E103" s="2">
        <f t="shared" si="7"/>
        <v>-990000000</v>
      </c>
      <c r="F103" s="2"/>
    </row>
    <row r="104" spans="1:6">
      <c r="A104" s="2" t="s">
        <v>5732</v>
      </c>
      <c r="B104" s="18">
        <v>-11455000</v>
      </c>
      <c r="C104" s="2">
        <v>14</v>
      </c>
      <c r="D104" s="2">
        <f t="shared" si="6"/>
        <v>329</v>
      </c>
      <c r="E104" s="2">
        <f t="shared" si="7"/>
        <v>-3768695000</v>
      </c>
      <c r="F104" s="2"/>
    </row>
    <row r="105" spans="1:6">
      <c r="A105" s="2" t="s">
        <v>6107</v>
      </c>
      <c r="B105" s="18">
        <v>2317100</v>
      </c>
      <c r="C105" s="2">
        <v>3</v>
      </c>
      <c r="D105" s="2">
        <f t="shared" si="6"/>
        <v>315</v>
      </c>
      <c r="E105" s="2">
        <f t="shared" si="7"/>
        <v>729886500</v>
      </c>
      <c r="F105" s="2"/>
    </row>
    <row r="106" spans="1:6">
      <c r="A106" s="2" t="s">
        <v>6108</v>
      </c>
      <c r="B106" s="18">
        <v>699000</v>
      </c>
      <c r="C106" s="2">
        <v>3</v>
      </c>
      <c r="D106" s="2">
        <f t="shared" si="6"/>
        <v>312</v>
      </c>
      <c r="E106" s="2">
        <f t="shared" si="7"/>
        <v>218088000</v>
      </c>
      <c r="F106" s="2"/>
    </row>
    <row r="107" spans="1:6">
      <c r="A107" s="2" t="s">
        <v>6110</v>
      </c>
      <c r="B107" s="18">
        <v>-1016100</v>
      </c>
      <c r="C107" s="2">
        <v>5</v>
      </c>
      <c r="D107" s="2">
        <f t="shared" si="6"/>
        <v>309</v>
      </c>
      <c r="E107" s="2">
        <f t="shared" si="7"/>
        <v>-313974900</v>
      </c>
      <c r="F107" s="2"/>
    </row>
    <row r="108" spans="1:6">
      <c r="A108" s="2" t="s">
        <v>6117</v>
      </c>
      <c r="B108" s="18">
        <v>-680000</v>
      </c>
      <c r="C108" s="2">
        <v>3</v>
      </c>
      <c r="D108" s="2">
        <f t="shared" si="6"/>
        <v>304</v>
      </c>
      <c r="E108" s="2">
        <f t="shared" si="7"/>
        <v>-206720000</v>
      </c>
      <c r="F108" s="2"/>
    </row>
    <row r="109" spans="1:6">
      <c r="A109" s="2" t="s">
        <v>6118</v>
      </c>
      <c r="B109" s="18">
        <v>-216000</v>
      </c>
      <c r="C109" s="2">
        <v>3</v>
      </c>
      <c r="D109" s="2">
        <f t="shared" si="6"/>
        <v>301</v>
      </c>
      <c r="E109" s="2">
        <f t="shared" si="7"/>
        <v>-65016000</v>
      </c>
      <c r="F109" s="2"/>
    </row>
    <row r="110" spans="1:6">
      <c r="A110" s="2" t="s">
        <v>6119</v>
      </c>
      <c r="B110" s="18">
        <v>-619000</v>
      </c>
      <c r="C110" s="2">
        <v>3</v>
      </c>
      <c r="D110" s="2">
        <f t="shared" si="6"/>
        <v>298</v>
      </c>
      <c r="E110" s="2">
        <f t="shared" si="7"/>
        <v>-184462000</v>
      </c>
      <c r="F110" s="2"/>
    </row>
    <row r="111" spans="1:6" ht="30">
      <c r="A111" s="147" t="s">
        <v>6121</v>
      </c>
      <c r="B111" s="187">
        <v>-485000</v>
      </c>
      <c r="C111" s="147">
        <v>11</v>
      </c>
      <c r="D111" s="2">
        <f t="shared" si="6"/>
        <v>295</v>
      </c>
      <c r="E111" s="2">
        <f t="shared" si="7"/>
        <v>-143075000</v>
      </c>
      <c r="F111" s="172" t="s">
        <v>6303</v>
      </c>
    </row>
    <row r="112" spans="1:6">
      <c r="A112" s="2" t="s">
        <v>6128</v>
      </c>
      <c r="B112" s="18">
        <v>3000000</v>
      </c>
      <c r="C112" s="2">
        <v>1</v>
      </c>
      <c r="D112" s="2">
        <f t="shared" si="6"/>
        <v>284</v>
      </c>
      <c r="E112" s="18">
        <f t="shared" si="7"/>
        <v>852000000</v>
      </c>
      <c r="F112" s="2"/>
    </row>
    <row r="113" spans="1:6">
      <c r="A113" s="2" t="s">
        <v>6129</v>
      </c>
      <c r="B113" s="18">
        <v>255000</v>
      </c>
      <c r="C113" s="2">
        <v>1</v>
      </c>
      <c r="D113" s="2">
        <f t="shared" si="6"/>
        <v>283</v>
      </c>
      <c r="E113" s="18">
        <f t="shared" si="7"/>
        <v>72165000</v>
      </c>
      <c r="F113" s="2" t="s">
        <v>6130</v>
      </c>
    </row>
    <row r="114" spans="1:6">
      <c r="A114" s="2" t="s">
        <v>6131</v>
      </c>
      <c r="B114" s="18">
        <v>-3255000</v>
      </c>
      <c r="C114" s="2">
        <v>9</v>
      </c>
      <c r="D114" s="2">
        <f t="shared" si="6"/>
        <v>282</v>
      </c>
      <c r="E114" s="18">
        <f t="shared" si="7"/>
        <v>-917910000</v>
      </c>
      <c r="F114" s="2"/>
    </row>
    <row r="115" spans="1:6">
      <c r="A115" s="2" t="s">
        <v>6145</v>
      </c>
      <c r="B115" s="18">
        <v>60000000</v>
      </c>
      <c r="C115" s="2">
        <v>19</v>
      </c>
      <c r="D115" s="2">
        <f t="shared" si="6"/>
        <v>273</v>
      </c>
      <c r="E115" s="18">
        <f t="shared" si="7"/>
        <v>16380000000</v>
      </c>
      <c r="F115" s="2"/>
    </row>
    <row r="116" spans="1:6">
      <c r="A116" s="2" t="s">
        <v>6150</v>
      </c>
      <c r="B116" s="18">
        <v>473628</v>
      </c>
      <c r="C116" s="2">
        <v>2</v>
      </c>
      <c r="D116" s="2">
        <f t="shared" si="6"/>
        <v>254</v>
      </c>
      <c r="E116" s="18">
        <f t="shared" si="7"/>
        <v>120301512</v>
      </c>
      <c r="F116" s="2" t="s">
        <v>6151</v>
      </c>
    </row>
    <row r="117" spans="1:6">
      <c r="A117" s="2" t="s">
        <v>6152</v>
      </c>
      <c r="B117" s="18">
        <v>-473628</v>
      </c>
      <c r="C117" s="2">
        <v>1</v>
      </c>
      <c r="D117" s="2">
        <f t="shared" si="6"/>
        <v>252</v>
      </c>
      <c r="E117" s="18">
        <f t="shared" si="7"/>
        <v>-119354256</v>
      </c>
      <c r="F117" s="2"/>
    </row>
    <row r="118" spans="1:6">
      <c r="A118" s="2" t="s">
        <v>6154</v>
      </c>
      <c r="B118" s="18">
        <v>-6000000</v>
      </c>
      <c r="C118" s="2">
        <v>3</v>
      </c>
      <c r="D118" s="2">
        <f t="shared" si="6"/>
        <v>251</v>
      </c>
      <c r="E118" s="18">
        <f t="shared" si="7"/>
        <v>-1506000000</v>
      </c>
      <c r="F118" s="2"/>
    </row>
    <row r="119" spans="1:6">
      <c r="A119" s="2" t="s">
        <v>6156</v>
      </c>
      <c r="B119" s="18">
        <v>-475000</v>
      </c>
      <c r="C119" s="2">
        <v>1</v>
      </c>
      <c r="D119" s="2">
        <f t="shared" si="6"/>
        <v>248</v>
      </c>
      <c r="E119" s="18">
        <f t="shared" si="7"/>
        <v>-117800000</v>
      </c>
      <c r="F119" s="2" t="s">
        <v>6157</v>
      </c>
    </row>
    <row r="120" spans="1:6">
      <c r="A120" s="2" t="s">
        <v>6158</v>
      </c>
      <c r="B120" s="18">
        <v>-837000</v>
      </c>
      <c r="C120" s="2">
        <v>1</v>
      </c>
      <c r="D120" s="2">
        <f t="shared" si="6"/>
        <v>247</v>
      </c>
      <c r="E120" s="18">
        <f t="shared" si="7"/>
        <v>-206739000</v>
      </c>
      <c r="F120" s="2" t="s">
        <v>6157</v>
      </c>
    </row>
    <row r="121" spans="1:6">
      <c r="A121" s="2" t="s">
        <v>6159</v>
      </c>
      <c r="B121" s="18">
        <v>-493000</v>
      </c>
      <c r="C121" s="2">
        <v>1</v>
      </c>
      <c r="D121" s="2">
        <f t="shared" si="6"/>
        <v>246</v>
      </c>
      <c r="E121" s="18">
        <f t="shared" si="7"/>
        <v>-121278000</v>
      </c>
      <c r="F121" s="2" t="s">
        <v>6157</v>
      </c>
    </row>
    <row r="122" spans="1:6">
      <c r="A122" s="301" t="s">
        <v>6160</v>
      </c>
      <c r="B122" s="18">
        <v>54000</v>
      </c>
      <c r="C122" s="2">
        <v>3</v>
      </c>
      <c r="D122" s="2">
        <f t="shared" si="6"/>
        <v>245</v>
      </c>
      <c r="E122" s="18">
        <f t="shared" si="7"/>
        <v>13230000</v>
      </c>
      <c r="F122" s="2" t="s">
        <v>6161</v>
      </c>
    </row>
    <row r="123" spans="1:6">
      <c r="A123" s="2" t="s">
        <v>6163</v>
      </c>
      <c r="B123" s="18">
        <v>-400000</v>
      </c>
      <c r="C123" s="2">
        <v>2</v>
      </c>
      <c r="D123" s="2">
        <f t="shared" si="6"/>
        <v>242</v>
      </c>
      <c r="E123" s="18">
        <f t="shared" si="7"/>
        <v>-96800000</v>
      </c>
      <c r="F123" s="2" t="s">
        <v>6165</v>
      </c>
    </row>
    <row r="124" spans="1:6">
      <c r="A124" s="2" t="s">
        <v>6167</v>
      </c>
      <c r="B124" s="18">
        <v>-938000</v>
      </c>
      <c r="C124" s="2">
        <v>9</v>
      </c>
      <c r="D124" s="2">
        <f t="shared" si="6"/>
        <v>240</v>
      </c>
      <c r="E124" s="18">
        <f t="shared" si="7"/>
        <v>-225120000</v>
      </c>
      <c r="F124" s="2" t="s">
        <v>6157</v>
      </c>
    </row>
    <row r="125" spans="1:6">
      <c r="A125" s="2" t="s">
        <v>6269</v>
      </c>
      <c r="B125" s="18">
        <v>-7911000</v>
      </c>
      <c r="C125" s="2">
        <v>12</v>
      </c>
      <c r="D125" s="2">
        <f t="shared" si="6"/>
        <v>231</v>
      </c>
      <c r="E125" s="18">
        <f t="shared" si="7"/>
        <v>-1827441000</v>
      </c>
      <c r="F125" s="2" t="s">
        <v>6270</v>
      </c>
    </row>
    <row r="126" spans="1:6">
      <c r="A126" s="2" t="s">
        <v>6275</v>
      </c>
      <c r="B126" s="18">
        <v>1000000</v>
      </c>
      <c r="C126" s="2">
        <v>1</v>
      </c>
      <c r="D126" s="2">
        <f t="shared" si="6"/>
        <v>219</v>
      </c>
      <c r="E126" s="18">
        <f t="shared" si="7"/>
        <v>219000000</v>
      </c>
      <c r="F126" s="2" t="s">
        <v>6281</v>
      </c>
    </row>
    <row r="127" spans="1:6">
      <c r="A127" s="2" t="s">
        <v>6276</v>
      </c>
      <c r="B127" s="18">
        <v>-1000000</v>
      </c>
      <c r="C127" s="2">
        <v>19</v>
      </c>
      <c r="D127" s="2">
        <f t="shared" si="6"/>
        <v>218</v>
      </c>
      <c r="E127" s="18">
        <f t="shared" si="7"/>
        <v>-218000000</v>
      </c>
      <c r="F127" s="2" t="s">
        <v>6270</v>
      </c>
    </row>
    <row r="128" spans="1:6">
      <c r="A128" s="2" t="s">
        <v>6291</v>
      </c>
      <c r="B128" s="18">
        <v>400000</v>
      </c>
      <c r="C128" s="2">
        <v>0</v>
      </c>
      <c r="D128" s="2">
        <f t="shared" si="6"/>
        <v>199</v>
      </c>
      <c r="E128" s="18">
        <f t="shared" si="7"/>
        <v>79600000</v>
      </c>
      <c r="F128" s="2"/>
    </row>
    <row r="129" spans="1:6">
      <c r="A129" s="2" t="s">
        <v>6291</v>
      </c>
      <c r="B129" s="18">
        <v>-400000</v>
      </c>
      <c r="C129" s="2">
        <v>11</v>
      </c>
      <c r="D129" s="2">
        <f t="shared" si="6"/>
        <v>199</v>
      </c>
      <c r="E129" s="18">
        <f t="shared" si="7"/>
        <v>-79600000</v>
      </c>
      <c r="F129" s="2"/>
    </row>
    <row r="130" spans="1:6">
      <c r="A130" s="2" t="s">
        <v>6299</v>
      </c>
      <c r="B130" s="18">
        <v>600000</v>
      </c>
      <c r="C130" s="2">
        <v>5</v>
      </c>
      <c r="D130" s="2">
        <f t="shared" si="6"/>
        <v>188</v>
      </c>
      <c r="E130" s="18">
        <f t="shared" si="7"/>
        <v>112800000</v>
      </c>
      <c r="F130" s="2"/>
    </row>
    <row r="131" spans="1:6">
      <c r="A131" s="2" t="s">
        <v>6302</v>
      </c>
      <c r="B131" s="18">
        <v>-600000</v>
      </c>
      <c r="C131" s="2">
        <v>30</v>
      </c>
      <c r="D131" s="2">
        <f t="shared" ref="D131:D143" si="8">C131+D132</f>
        <v>183</v>
      </c>
      <c r="E131" s="18">
        <f t="shared" ref="E131:E143" si="9">B131*D131</f>
        <v>-109800000</v>
      </c>
      <c r="F131" s="2"/>
    </row>
    <row r="132" spans="1:6">
      <c r="A132" s="2" t="s">
        <v>6613</v>
      </c>
      <c r="B132" s="18">
        <v>650000</v>
      </c>
      <c r="C132" s="2">
        <v>4</v>
      </c>
      <c r="D132" s="2">
        <f t="shared" si="8"/>
        <v>153</v>
      </c>
      <c r="E132" s="18">
        <f t="shared" si="9"/>
        <v>99450000</v>
      </c>
      <c r="F132" s="2"/>
    </row>
    <row r="133" spans="1:6">
      <c r="A133" s="2" t="s">
        <v>6615</v>
      </c>
      <c r="B133" s="18">
        <v>-650000</v>
      </c>
      <c r="C133" s="2">
        <v>15</v>
      </c>
      <c r="D133" s="2">
        <f t="shared" si="8"/>
        <v>149</v>
      </c>
      <c r="E133" s="18">
        <f t="shared" si="9"/>
        <v>-96850000</v>
      </c>
      <c r="F133" s="2"/>
    </row>
    <row r="134" spans="1:6">
      <c r="A134" s="2" t="s">
        <v>6619</v>
      </c>
      <c r="B134" s="18">
        <v>700000</v>
      </c>
      <c r="C134" s="2">
        <v>6</v>
      </c>
      <c r="D134" s="2">
        <f t="shared" si="8"/>
        <v>134</v>
      </c>
      <c r="E134" s="18">
        <f t="shared" si="9"/>
        <v>93800000</v>
      </c>
      <c r="F134" s="2"/>
    </row>
    <row r="135" spans="1:6">
      <c r="A135" s="2" t="s">
        <v>6621</v>
      </c>
      <c r="B135" s="18">
        <v>-700000</v>
      </c>
      <c r="C135" s="2">
        <v>22</v>
      </c>
      <c r="D135" s="2">
        <f t="shared" si="8"/>
        <v>128</v>
      </c>
      <c r="E135" s="18">
        <f t="shared" si="9"/>
        <v>-89600000</v>
      </c>
      <c r="F135" s="2"/>
    </row>
    <row r="136" spans="1:6">
      <c r="A136" s="2" t="s">
        <v>6692</v>
      </c>
      <c r="B136" s="18">
        <v>1000000</v>
      </c>
      <c r="C136" s="2">
        <v>7</v>
      </c>
      <c r="D136" s="2">
        <f t="shared" si="8"/>
        <v>106</v>
      </c>
      <c r="E136" s="18">
        <f t="shared" si="9"/>
        <v>106000000</v>
      </c>
      <c r="F136" s="2"/>
    </row>
    <row r="137" spans="1:6">
      <c r="A137" s="2" t="s">
        <v>6707</v>
      </c>
      <c r="B137" s="18">
        <v>-1000000</v>
      </c>
      <c r="C137" s="2">
        <v>33</v>
      </c>
      <c r="D137" s="2">
        <f t="shared" si="8"/>
        <v>99</v>
      </c>
      <c r="E137" s="18">
        <f t="shared" si="9"/>
        <v>-99000000</v>
      </c>
      <c r="F137" s="2"/>
    </row>
    <row r="138" spans="1:6">
      <c r="A138" s="2" t="s">
        <v>6731</v>
      </c>
      <c r="B138" s="18">
        <v>2000000</v>
      </c>
      <c r="C138" s="2">
        <v>21</v>
      </c>
      <c r="D138" s="2">
        <f t="shared" si="8"/>
        <v>66</v>
      </c>
      <c r="E138" s="18">
        <f t="shared" si="9"/>
        <v>132000000</v>
      </c>
      <c r="F138" s="2"/>
    </row>
    <row r="139" spans="1:6">
      <c r="A139" s="2" t="s">
        <v>6735</v>
      </c>
      <c r="B139" s="18">
        <v>-2000000</v>
      </c>
      <c r="C139" s="2">
        <v>45</v>
      </c>
      <c r="D139" s="2">
        <f t="shared" si="8"/>
        <v>45</v>
      </c>
      <c r="E139" s="18">
        <f t="shared" si="9"/>
        <v>-90000000</v>
      </c>
      <c r="F139" s="2"/>
    </row>
    <row r="140" spans="1:6">
      <c r="A140" s="2"/>
      <c r="B140" s="18"/>
      <c r="C140" s="2"/>
      <c r="D140" s="2">
        <f t="shared" si="8"/>
        <v>0</v>
      </c>
      <c r="E140" s="18">
        <f t="shared" si="9"/>
        <v>0</v>
      </c>
      <c r="F140" s="2"/>
    </row>
    <row r="141" spans="1:6">
      <c r="A141" s="2"/>
      <c r="B141" s="18"/>
      <c r="C141" s="2"/>
      <c r="D141" s="2">
        <f t="shared" si="8"/>
        <v>0</v>
      </c>
      <c r="E141" s="18">
        <f t="shared" si="9"/>
        <v>0</v>
      </c>
      <c r="F141" s="2"/>
    </row>
    <row r="142" spans="1:6">
      <c r="A142" s="2"/>
      <c r="B142" s="18"/>
      <c r="C142" s="2"/>
      <c r="D142" s="2">
        <f t="shared" si="8"/>
        <v>0</v>
      </c>
      <c r="E142" s="18">
        <f t="shared" si="9"/>
        <v>0</v>
      </c>
      <c r="F142" s="2"/>
    </row>
    <row r="143" spans="1:6">
      <c r="A143" s="2"/>
      <c r="B143" s="18"/>
      <c r="C143" s="2"/>
      <c r="D143" s="2">
        <f t="shared" si="8"/>
        <v>0</v>
      </c>
      <c r="E143" s="18">
        <f t="shared" si="9"/>
        <v>0</v>
      </c>
      <c r="F143" s="2"/>
    </row>
    <row r="144" spans="1:6" ht="60">
      <c r="A144" s="2"/>
      <c r="B144" s="18">
        <f>SUM(B3:B143)</f>
        <v>43000000</v>
      </c>
      <c r="C144" s="2"/>
      <c r="D144" s="2"/>
      <c r="E144" s="18">
        <f>SUM(E112:E143)</f>
        <v>12359054256</v>
      </c>
      <c r="F144" s="60" t="s">
        <v>6738</v>
      </c>
    </row>
    <row r="145" spans="2:2">
      <c r="B145" s="36" t="s">
        <v>4859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4718</v>
      </c>
      <c r="B2" s="3">
        <f>اسفند97!B34</f>
        <v>1093523</v>
      </c>
      <c r="C2" s="1">
        <f>اسفند97!C34</f>
        <v>0</v>
      </c>
      <c r="D2" s="3">
        <f>B2-C2</f>
        <v>1093523</v>
      </c>
      <c r="E2" s="2" t="s">
        <v>59</v>
      </c>
      <c r="F2">
        <v>31</v>
      </c>
      <c r="G2">
        <f>B2*F2</f>
        <v>33899213</v>
      </c>
      <c r="H2">
        <f>C2*F2</f>
        <v>0</v>
      </c>
      <c r="I2">
        <f>D2*F2</f>
        <v>33899213</v>
      </c>
    </row>
    <row r="3" spans="1:17">
      <c r="A3" s="20" t="s">
        <v>4720</v>
      </c>
      <c r="B3" s="18">
        <v>-80575</v>
      </c>
      <c r="C3" s="18">
        <v>0</v>
      </c>
      <c r="D3" s="3">
        <f t="shared" ref="D3:D33" si="0">B3-C3</f>
        <v>-80575</v>
      </c>
      <c r="E3" s="20" t="s">
        <v>3976</v>
      </c>
      <c r="F3">
        <v>30</v>
      </c>
      <c r="G3">
        <f t="shared" ref="G3:G32" si="1">B3*F3</f>
        <v>-2417250</v>
      </c>
      <c r="H3">
        <f t="shared" ref="H3:H32" si="2">C3*F3</f>
        <v>0</v>
      </c>
      <c r="I3">
        <f t="shared" ref="I3:I32" si="3">D3*F3</f>
        <v>-2417250</v>
      </c>
    </row>
    <row r="4" spans="1:17">
      <c r="A4" s="20" t="s">
        <v>4717</v>
      </c>
      <c r="B4" s="18">
        <v>-960200</v>
      </c>
      <c r="C4" s="18">
        <v>0</v>
      </c>
      <c r="D4" s="3">
        <f t="shared" si="0"/>
        <v>-960200</v>
      </c>
      <c r="E4" s="11" t="s">
        <v>4721</v>
      </c>
      <c r="F4">
        <v>25</v>
      </c>
      <c r="G4">
        <f t="shared" si="1"/>
        <v>-24005000</v>
      </c>
      <c r="H4">
        <f t="shared" si="2"/>
        <v>0</v>
      </c>
      <c r="I4">
        <f t="shared" si="3"/>
        <v>-24005000</v>
      </c>
    </row>
    <row r="5" spans="1:17">
      <c r="A5" s="27" t="s">
        <v>4639</v>
      </c>
      <c r="B5" s="18">
        <v>0</v>
      </c>
      <c r="C5" s="18">
        <v>0</v>
      </c>
      <c r="D5" s="3">
        <f t="shared" si="0"/>
        <v>0</v>
      </c>
      <c r="E5" s="20"/>
      <c r="F5">
        <v>0</v>
      </c>
      <c r="G5">
        <f t="shared" si="1"/>
        <v>0</v>
      </c>
      <c r="H5">
        <f t="shared" si="2"/>
        <v>0</v>
      </c>
      <c r="I5">
        <f t="shared" si="3"/>
        <v>0</v>
      </c>
      <c r="O5">
        <v>1</v>
      </c>
      <c r="P5">
        <v>30</v>
      </c>
      <c r="Q5">
        <v>31</v>
      </c>
    </row>
    <row r="6" spans="1:17">
      <c r="A6" s="17" t="s">
        <v>4639</v>
      </c>
      <c r="B6" s="18">
        <v>0</v>
      </c>
      <c r="C6" s="18">
        <v>0</v>
      </c>
      <c r="D6" s="3">
        <f t="shared" si="0"/>
        <v>0</v>
      </c>
      <c r="E6" s="19"/>
      <c r="F6">
        <v>0</v>
      </c>
      <c r="G6">
        <f t="shared" si="1"/>
        <v>0</v>
      </c>
      <c r="H6">
        <f t="shared" si="2"/>
        <v>0</v>
      </c>
      <c r="I6">
        <f t="shared" si="3"/>
        <v>0</v>
      </c>
      <c r="O6">
        <v>2</v>
      </c>
      <c r="P6">
        <v>29</v>
      </c>
      <c r="Q6">
        <v>30</v>
      </c>
    </row>
    <row r="7" spans="1:17">
      <c r="A7" s="17" t="s">
        <v>4639</v>
      </c>
      <c r="B7" s="18">
        <v>0</v>
      </c>
      <c r="C7" s="18">
        <v>0</v>
      </c>
      <c r="D7" s="3">
        <f t="shared" si="0"/>
        <v>0</v>
      </c>
      <c r="E7" s="19"/>
      <c r="F7">
        <v>0</v>
      </c>
      <c r="G7">
        <f t="shared" si="1"/>
        <v>0</v>
      </c>
      <c r="H7">
        <f t="shared" si="2"/>
        <v>0</v>
      </c>
      <c r="I7">
        <f t="shared" si="3"/>
        <v>0</v>
      </c>
      <c r="O7">
        <v>3</v>
      </c>
      <c r="P7">
        <v>28</v>
      </c>
      <c r="Q7">
        <v>29</v>
      </c>
    </row>
    <row r="8" spans="1:17">
      <c r="A8" s="17" t="s">
        <v>4647</v>
      </c>
      <c r="B8" s="18">
        <v>0</v>
      </c>
      <c r="C8" s="18">
        <v>0</v>
      </c>
      <c r="D8" s="3">
        <f t="shared" si="0"/>
        <v>0</v>
      </c>
      <c r="E8" s="19"/>
      <c r="F8">
        <v>0</v>
      </c>
      <c r="G8">
        <f t="shared" si="1"/>
        <v>0</v>
      </c>
      <c r="H8">
        <f t="shared" si="2"/>
        <v>0</v>
      </c>
      <c r="I8">
        <f t="shared" si="3"/>
        <v>0</v>
      </c>
      <c r="O8">
        <v>4</v>
      </c>
      <c r="P8">
        <v>27</v>
      </c>
      <c r="Q8">
        <v>28</v>
      </c>
    </row>
    <row r="9" spans="1:17">
      <c r="A9" s="17" t="s">
        <v>4647</v>
      </c>
      <c r="B9" s="18">
        <v>0</v>
      </c>
      <c r="C9" s="18">
        <v>0</v>
      </c>
      <c r="D9" s="3">
        <f t="shared" si="0"/>
        <v>0</v>
      </c>
      <c r="E9" s="21"/>
      <c r="F9">
        <v>0</v>
      </c>
      <c r="G9">
        <f t="shared" si="1"/>
        <v>0</v>
      </c>
      <c r="H9">
        <f t="shared" si="2"/>
        <v>0</v>
      </c>
      <c r="I9">
        <f t="shared" si="3"/>
        <v>0</v>
      </c>
      <c r="O9">
        <v>5</v>
      </c>
      <c r="P9">
        <v>26</v>
      </c>
      <c r="Q9">
        <v>27</v>
      </c>
    </row>
    <row r="10" spans="1:17">
      <c r="A10" s="17" t="s">
        <v>4647</v>
      </c>
      <c r="B10" s="18">
        <v>0</v>
      </c>
      <c r="C10" s="18">
        <v>0</v>
      </c>
      <c r="D10" s="3">
        <f t="shared" si="0"/>
        <v>0</v>
      </c>
      <c r="E10" s="19"/>
      <c r="F10">
        <v>0</v>
      </c>
      <c r="G10">
        <f t="shared" si="1"/>
        <v>0</v>
      </c>
      <c r="H10">
        <f t="shared" si="2"/>
        <v>0</v>
      </c>
      <c r="I10">
        <f t="shared" si="3"/>
        <v>0</v>
      </c>
      <c r="O10">
        <v>6</v>
      </c>
      <c r="P10">
        <v>25</v>
      </c>
      <c r="Q10">
        <v>26</v>
      </c>
    </row>
    <row r="11" spans="1:17">
      <c r="A11" s="17" t="s">
        <v>4651</v>
      </c>
      <c r="B11" s="18">
        <v>0</v>
      </c>
      <c r="C11" s="18">
        <v>0</v>
      </c>
      <c r="D11" s="3">
        <f t="shared" si="0"/>
        <v>0</v>
      </c>
      <c r="E11" s="19"/>
      <c r="F11">
        <v>0</v>
      </c>
      <c r="G11">
        <f t="shared" si="1"/>
        <v>0</v>
      </c>
      <c r="H11">
        <f t="shared" si="2"/>
        <v>0</v>
      </c>
      <c r="I11">
        <f t="shared" si="3"/>
        <v>0</v>
      </c>
      <c r="O11">
        <v>7</v>
      </c>
      <c r="P11">
        <v>24</v>
      </c>
      <c r="Q11">
        <v>25</v>
      </c>
    </row>
    <row r="12" spans="1:17">
      <c r="A12" s="20" t="s">
        <v>4652</v>
      </c>
      <c r="B12" s="18">
        <v>0</v>
      </c>
      <c r="C12" s="18">
        <v>0</v>
      </c>
      <c r="D12" s="3">
        <f t="shared" si="0"/>
        <v>0</v>
      </c>
      <c r="E12" s="20"/>
      <c r="F12">
        <v>0</v>
      </c>
      <c r="G12">
        <f t="shared" si="1"/>
        <v>0</v>
      </c>
      <c r="H12">
        <f t="shared" si="2"/>
        <v>0</v>
      </c>
      <c r="I12">
        <f t="shared" si="3"/>
        <v>0</v>
      </c>
      <c r="O12">
        <v>8</v>
      </c>
      <c r="P12">
        <v>23</v>
      </c>
      <c r="Q12">
        <v>24</v>
      </c>
    </row>
    <row r="13" spans="1:17">
      <c r="A13" s="20" t="s">
        <v>4652</v>
      </c>
      <c r="B13" s="18">
        <v>0</v>
      </c>
      <c r="C13" s="18">
        <v>0</v>
      </c>
      <c r="D13" s="3">
        <f t="shared" si="0"/>
        <v>0</v>
      </c>
      <c r="E13" s="20"/>
      <c r="F13">
        <v>0</v>
      </c>
      <c r="G13">
        <f>B13*F13</f>
        <v>0</v>
      </c>
      <c r="H13">
        <f t="shared" si="2"/>
        <v>0</v>
      </c>
      <c r="I13">
        <f t="shared" si="3"/>
        <v>0</v>
      </c>
      <c r="O13">
        <v>9</v>
      </c>
      <c r="P13">
        <v>22</v>
      </c>
      <c r="Q13">
        <v>23</v>
      </c>
    </row>
    <row r="14" spans="1:17">
      <c r="A14" s="20" t="s">
        <v>4657</v>
      </c>
      <c r="B14" s="18">
        <v>0</v>
      </c>
      <c r="C14" s="18">
        <v>0</v>
      </c>
      <c r="D14" s="3">
        <f t="shared" si="0"/>
        <v>0</v>
      </c>
      <c r="E14" s="20"/>
      <c r="F14">
        <v>0</v>
      </c>
      <c r="G14">
        <f t="shared" si="1"/>
        <v>0</v>
      </c>
      <c r="H14">
        <f t="shared" si="2"/>
        <v>0</v>
      </c>
      <c r="I14">
        <f t="shared" si="3"/>
        <v>0</v>
      </c>
      <c r="O14">
        <v>10</v>
      </c>
      <c r="P14">
        <v>21</v>
      </c>
      <c r="Q14">
        <v>22</v>
      </c>
    </row>
    <row r="15" spans="1:17">
      <c r="A15" s="20" t="s">
        <v>4657</v>
      </c>
      <c r="B15" s="18">
        <v>0</v>
      </c>
      <c r="C15" s="18">
        <v>0</v>
      </c>
      <c r="D15" s="3">
        <f t="shared" si="0"/>
        <v>0</v>
      </c>
      <c r="E15" s="20"/>
      <c r="F15">
        <v>0</v>
      </c>
      <c r="G15">
        <f t="shared" si="1"/>
        <v>0</v>
      </c>
      <c r="H15">
        <f t="shared" si="2"/>
        <v>0</v>
      </c>
      <c r="I15">
        <f t="shared" si="3"/>
        <v>0</v>
      </c>
      <c r="O15">
        <v>11</v>
      </c>
      <c r="P15">
        <v>20</v>
      </c>
      <c r="Q15">
        <v>21</v>
      </c>
    </row>
    <row r="16" spans="1:17">
      <c r="A16" s="20" t="s">
        <v>4666</v>
      </c>
      <c r="B16" s="18">
        <v>0</v>
      </c>
      <c r="C16" s="18">
        <v>0</v>
      </c>
      <c r="D16" s="3">
        <f t="shared" si="0"/>
        <v>0</v>
      </c>
      <c r="E16" s="20"/>
      <c r="F16">
        <v>0</v>
      </c>
      <c r="G16">
        <f t="shared" si="1"/>
        <v>0</v>
      </c>
      <c r="H16">
        <f t="shared" si="2"/>
        <v>0</v>
      </c>
      <c r="I16">
        <f t="shared" si="3"/>
        <v>0</v>
      </c>
      <c r="O16">
        <v>12</v>
      </c>
      <c r="P16">
        <v>19</v>
      </c>
      <c r="Q16">
        <v>20</v>
      </c>
    </row>
    <row r="17" spans="1:19">
      <c r="A17" s="20" t="s">
        <v>937</v>
      </c>
      <c r="B17" s="18">
        <v>0</v>
      </c>
      <c r="C17" s="18">
        <v>0</v>
      </c>
      <c r="D17" s="3">
        <f t="shared" si="0"/>
        <v>0</v>
      </c>
      <c r="E17" s="20"/>
      <c r="F17">
        <v>0</v>
      </c>
      <c r="G17">
        <f t="shared" si="1"/>
        <v>0</v>
      </c>
      <c r="H17">
        <f t="shared" si="2"/>
        <v>0</v>
      </c>
      <c r="I17">
        <f t="shared" si="3"/>
        <v>0</v>
      </c>
      <c r="O17">
        <v>13</v>
      </c>
      <c r="P17">
        <v>18</v>
      </c>
      <c r="Q17">
        <v>19</v>
      </c>
    </row>
    <row r="18" spans="1:19">
      <c r="A18" s="20" t="s">
        <v>937</v>
      </c>
      <c r="B18" s="18">
        <v>0</v>
      </c>
      <c r="C18" s="18">
        <v>0</v>
      </c>
      <c r="D18" s="3">
        <f t="shared" si="0"/>
        <v>0</v>
      </c>
      <c r="E18" s="20"/>
      <c r="F18">
        <v>0</v>
      </c>
      <c r="G18">
        <f t="shared" si="1"/>
        <v>0</v>
      </c>
      <c r="H18">
        <f t="shared" si="2"/>
        <v>0</v>
      </c>
      <c r="I18">
        <f t="shared" si="3"/>
        <v>0</v>
      </c>
      <c r="O18">
        <v>14</v>
      </c>
      <c r="P18">
        <v>17</v>
      </c>
      <c r="Q18">
        <v>18</v>
      </c>
    </row>
    <row r="19" spans="1:19">
      <c r="A19" s="20" t="s">
        <v>4686</v>
      </c>
      <c r="B19" s="18">
        <v>0</v>
      </c>
      <c r="C19" s="18">
        <v>0</v>
      </c>
      <c r="D19" s="3">
        <f t="shared" si="0"/>
        <v>0</v>
      </c>
      <c r="E19" s="20"/>
      <c r="F19">
        <v>0</v>
      </c>
      <c r="G19">
        <f t="shared" si="1"/>
        <v>0</v>
      </c>
      <c r="H19">
        <f t="shared" si="2"/>
        <v>0</v>
      </c>
      <c r="I19">
        <f t="shared" si="3"/>
        <v>0</v>
      </c>
      <c r="O19">
        <v>15</v>
      </c>
      <c r="P19">
        <v>16</v>
      </c>
      <c r="Q19">
        <v>17</v>
      </c>
    </row>
    <row r="20" spans="1:19">
      <c r="A20" s="19" t="s">
        <v>4691</v>
      </c>
      <c r="B20" s="18">
        <v>0</v>
      </c>
      <c r="C20" s="18">
        <v>0</v>
      </c>
      <c r="D20" s="3">
        <f t="shared" si="0"/>
        <v>0</v>
      </c>
      <c r="E20" s="19"/>
      <c r="F20">
        <v>0</v>
      </c>
      <c r="G20">
        <f t="shared" si="1"/>
        <v>0</v>
      </c>
      <c r="H20">
        <f t="shared" si="2"/>
        <v>0</v>
      </c>
      <c r="I20">
        <f t="shared" si="3"/>
        <v>0</v>
      </c>
      <c r="O20">
        <v>16</v>
      </c>
      <c r="P20">
        <v>15</v>
      </c>
      <c r="Q20">
        <v>16</v>
      </c>
    </row>
    <row r="21" spans="1:19">
      <c r="A21" s="19" t="s">
        <v>4694</v>
      </c>
      <c r="B21" s="18">
        <v>0</v>
      </c>
      <c r="C21" s="18">
        <v>0</v>
      </c>
      <c r="D21" s="3">
        <f t="shared" si="0"/>
        <v>0</v>
      </c>
      <c r="E21" s="19"/>
      <c r="F21">
        <v>0</v>
      </c>
      <c r="G21">
        <f t="shared" si="1"/>
        <v>0</v>
      </c>
      <c r="H21">
        <f t="shared" si="2"/>
        <v>0</v>
      </c>
      <c r="I21">
        <f t="shared" si="3"/>
        <v>0</v>
      </c>
      <c r="O21">
        <v>17</v>
      </c>
      <c r="P21">
        <v>14</v>
      </c>
      <c r="Q21">
        <v>15</v>
      </c>
    </row>
    <row r="22" spans="1:19">
      <c r="A22" s="19" t="s">
        <v>4694</v>
      </c>
      <c r="B22" s="18">
        <v>0</v>
      </c>
      <c r="C22" s="18">
        <v>0</v>
      </c>
      <c r="D22" s="3">
        <f t="shared" si="0"/>
        <v>0</v>
      </c>
      <c r="E22" s="19"/>
      <c r="F22">
        <v>0</v>
      </c>
      <c r="G22">
        <f t="shared" si="1"/>
        <v>0</v>
      </c>
      <c r="H22">
        <f t="shared" si="2"/>
        <v>0</v>
      </c>
      <c r="I22">
        <f t="shared" si="3"/>
        <v>0</v>
      </c>
      <c r="O22">
        <v>18</v>
      </c>
      <c r="P22">
        <v>13</v>
      </c>
      <c r="Q22">
        <v>14</v>
      </c>
    </row>
    <row r="23" spans="1:19">
      <c r="A23" s="19" t="s">
        <v>4694</v>
      </c>
      <c r="B23" s="18">
        <v>0</v>
      </c>
      <c r="C23" s="18">
        <v>0</v>
      </c>
      <c r="D23" s="3">
        <f t="shared" si="0"/>
        <v>0</v>
      </c>
      <c r="E23" s="19"/>
      <c r="F23">
        <v>0</v>
      </c>
      <c r="G23">
        <f t="shared" si="1"/>
        <v>0</v>
      </c>
      <c r="H23">
        <f t="shared" si="2"/>
        <v>0</v>
      </c>
      <c r="I23">
        <f t="shared" si="3"/>
        <v>0</v>
      </c>
      <c r="O23">
        <v>19</v>
      </c>
      <c r="P23">
        <v>12</v>
      </c>
      <c r="Q23">
        <v>13</v>
      </c>
    </row>
    <row r="24" spans="1:19">
      <c r="A24" s="19" t="s">
        <v>4696</v>
      </c>
      <c r="B24" s="18">
        <v>0</v>
      </c>
      <c r="C24" s="18">
        <v>0</v>
      </c>
      <c r="D24" s="3">
        <f t="shared" si="0"/>
        <v>0</v>
      </c>
      <c r="E24" s="19"/>
      <c r="F24">
        <v>0</v>
      </c>
      <c r="G24">
        <f t="shared" si="1"/>
        <v>0</v>
      </c>
      <c r="H24">
        <f t="shared" si="2"/>
        <v>0</v>
      </c>
      <c r="I24">
        <f t="shared" si="3"/>
        <v>0</v>
      </c>
      <c r="O24">
        <v>20</v>
      </c>
      <c r="P24">
        <v>11</v>
      </c>
      <c r="Q24">
        <v>12</v>
      </c>
    </row>
    <row r="25" spans="1:19">
      <c r="A25" s="19" t="s">
        <v>4696</v>
      </c>
      <c r="B25" s="18">
        <v>0</v>
      </c>
      <c r="C25" s="18">
        <v>0</v>
      </c>
      <c r="D25" s="3">
        <f t="shared" si="0"/>
        <v>0</v>
      </c>
      <c r="E25" s="19"/>
      <c r="F25">
        <v>0</v>
      </c>
      <c r="G25">
        <f t="shared" si="1"/>
        <v>0</v>
      </c>
      <c r="H25">
        <f t="shared" si="2"/>
        <v>0</v>
      </c>
      <c r="I25">
        <f t="shared" si="3"/>
        <v>0</v>
      </c>
      <c r="O25">
        <v>21</v>
      </c>
      <c r="P25">
        <v>10</v>
      </c>
      <c r="Q25">
        <v>11</v>
      </c>
    </row>
    <row r="26" spans="1:19">
      <c r="A26" s="19" t="s">
        <v>4697</v>
      </c>
      <c r="B26" s="18">
        <v>0</v>
      </c>
      <c r="C26" s="18">
        <v>0</v>
      </c>
      <c r="D26" s="3">
        <f t="shared" si="0"/>
        <v>0</v>
      </c>
      <c r="E26" s="19"/>
      <c r="F26">
        <v>0</v>
      </c>
      <c r="G26">
        <f t="shared" si="1"/>
        <v>0</v>
      </c>
      <c r="H26">
        <f t="shared" si="2"/>
        <v>0</v>
      </c>
      <c r="I26">
        <f t="shared" si="3"/>
        <v>0</v>
      </c>
      <c r="O26">
        <v>22</v>
      </c>
      <c r="P26">
        <v>9</v>
      </c>
      <c r="Q26">
        <v>10</v>
      </c>
    </row>
    <row r="27" spans="1:19">
      <c r="A27" s="19" t="s">
        <v>4697</v>
      </c>
      <c r="B27" s="18">
        <v>0</v>
      </c>
      <c r="C27" s="18">
        <v>0</v>
      </c>
      <c r="D27" s="3">
        <f t="shared" si="0"/>
        <v>0</v>
      </c>
      <c r="E27" s="19"/>
      <c r="F27">
        <v>0</v>
      </c>
      <c r="G27">
        <f t="shared" si="1"/>
        <v>0</v>
      </c>
      <c r="H27">
        <f t="shared" si="2"/>
        <v>0</v>
      </c>
      <c r="I27">
        <f t="shared" si="3"/>
        <v>0</v>
      </c>
      <c r="O27">
        <v>23</v>
      </c>
      <c r="P27">
        <v>8</v>
      </c>
      <c r="Q27">
        <v>9</v>
      </c>
    </row>
    <row r="28" spans="1:19">
      <c r="A28" s="19" t="s">
        <v>4702</v>
      </c>
      <c r="B28" s="18">
        <v>0</v>
      </c>
      <c r="C28" s="18">
        <v>0</v>
      </c>
      <c r="D28" s="3">
        <f t="shared" si="0"/>
        <v>0</v>
      </c>
      <c r="E28" s="19"/>
      <c r="F28">
        <v>0</v>
      </c>
      <c r="G28">
        <f t="shared" si="1"/>
        <v>0</v>
      </c>
      <c r="H28">
        <f t="shared" si="2"/>
        <v>0</v>
      </c>
      <c r="I28">
        <f t="shared" si="3"/>
        <v>0</v>
      </c>
      <c r="O28">
        <v>24</v>
      </c>
      <c r="P28">
        <v>7</v>
      </c>
      <c r="Q28">
        <v>8</v>
      </c>
    </row>
    <row r="29" spans="1:19">
      <c r="A29" s="19" t="s">
        <v>4711</v>
      </c>
      <c r="B29" s="18">
        <v>0</v>
      </c>
      <c r="C29" s="18">
        <v>0</v>
      </c>
      <c r="D29" s="3">
        <f t="shared" si="0"/>
        <v>0</v>
      </c>
      <c r="E29" s="19"/>
      <c r="F29">
        <v>0</v>
      </c>
      <c r="G29">
        <f t="shared" si="1"/>
        <v>0</v>
      </c>
      <c r="H29">
        <f t="shared" si="2"/>
        <v>0</v>
      </c>
      <c r="I29">
        <f t="shared" si="3"/>
        <v>0</v>
      </c>
      <c r="O29">
        <v>25</v>
      </c>
      <c r="P29">
        <v>6</v>
      </c>
      <c r="Q29">
        <v>7</v>
      </c>
    </row>
    <row r="30" spans="1:19">
      <c r="A30" s="19" t="s">
        <v>4711</v>
      </c>
      <c r="B30" s="18">
        <v>0</v>
      </c>
      <c r="C30" s="18">
        <v>0</v>
      </c>
      <c r="D30" s="3">
        <f t="shared" si="0"/>
        <v>0</v>
      </c>
      <c r="E30" s="19"/>
      <c r="F30">
        <v>0</v>
      </c>
      <c r="G30">
        <f t="shared" si="1"/>
        <v>0</v>
      </c>
      <c r="H30">
        <f t="shared" si="2"/>
        <v>0</v>
      </c>
      <c r="I30">
        <f t="shared" si="3"/>
        <v>0</v>
      </c>
      <c r="O30">
        <v>26</v>
      </c>
      <c r="P30">
        <v>5</v>
      </c>
      <c r="Q30">
        <v>6</v>
      </c>
      <c r="S30" t="s">
        <v>25</v>
      </c>
    </row>
    <row r="31" spans="1:19">
      <c r="A31" s="19" t="s">
        <v>4711</v>
      </c>
      <c r="B31" s="18">
        <v>0</v>
      </c>
      <c r="C31" s="18">
        <v>0</v>
      </c>
      <c r="D31" s="3">
        <f t="shared" si="0"/>
        <v>0</v>
      </c>
      <c r="E31" s="19"/>
      <c r="F31">
        <v>0</v>
      </c>
      <c r="G31">
        <f t="shared" si="1"/>
        <v>0</v>
      </c>
      <c r="H31">
        <f t="shared" si="2"/>
        <v>0</v>
      </c>
      <c r="I31">
        <f t="shared" si="3"/>
        <v>0</v>
      </c>
      <c r="L31" t="s">
        <v>25</v>
      </c>
      <c r="O31">
        <v>27</v>
      </c>
      <c r="P31">
        <v>4</v>
      </c>
      <c r="Q31">
        <v>5</v>
      </c>
    </row>
    <row r="32" spans="1:19">
      <c r="A32" s="19" t="s">
        <v>944</v>
      </c>
      <c r="B32" s="18">
        <v>0</v>
      </c>
      <c r="C32" s="18">
        <v>0</v>
      </c>
      <c r="D32" s="3">
        <f t="shared" si="0"/>
        <v>0</v>
      </c>
      <c r="E32" s="19"/>
      <c r="F32">
        <v>0</v>
      </c>
      <c r="G32">
        <f t="shared" si="1"/>
        <v>0</v>
      </c>
      <c r="H32">
        <f t="shared" si="2"/>
        <v>0</v>
      </c>
      <c r="I32">
        <f t="shared" si="3"/>
        <v>0</v>
      </c>
      <c r="O32">
        <v>28</v>
      </c>
      <c r="P32">
        <v>3</v>
      </c>
      <c r="Q32">
        <v>4</v>
      </c>
    </row>
    <row r="33" spans="1:17">
      <c r="A33" s="2" t="s">
        <v>4520</v>
      </c>
      <c r="B33" s="2">
        <v>0</v>
      </c>
      <c r="C33" s="2">
        <v>0</v>
      </c>
      <c r="D33" s="2">
        <f t="shared" si="0"/>
        <v>0</v>
      </c>
      <c r="E33" s="2"/>
      <c r="F33">
        <v>0</v>
      </c>
      <c r="G33">
        <f>B33*F33</f>
        <v>0</v>
      </c>
      <c r="H33">
        <f>C33*F33</f>
        <v>0</v>
      </c>
      <c r="I33">
        <f>D33*F33</f>
        <v>0</v>
      </c>
      <c r="O33">
        <v>29</v>
      </c>
      <c r="P33">
        <v>2</v>
      </c>
      <c r="Q33">
        <v>3</v>
      </c>
    </row>
    <row r="34" spans="1:17">
      <c r="A34" s="2" t="s">
        <v>6</v>
      </c>
      <c r="B34" s="3">
        <f>SUM(B2:B33)</f>
        <v>52748</v>
      </c>
      <c r="C34" s="3">
        <f>SUM(C2:C33)</f>
        <v>0</v>
      </c>
      <c r="D34" s="3">
        <f>SUM(D2:D33)</f>
        <v>52748</v>
      </c>
      <c r="E34" s="2"/>
      <c r="O34">
        <v>30</v>
      </c>
      <c r="P34">
        <v>1</v>
      </c>
      <c r="Q34">
        <v>2</v>
      </c>
    </row>
    <row r="35" spans="1:17">
      <c r="G35" s="18">
        <f>SUM(G2:G33)</f>
        <v>7476963</v>
      </c>
      <c r="H35" s="18">
        <f>SUM(H2:H33)</f>
        <v>0</v>
      </c>
      <c r="I35" s="18">
        <f>SUM(I2:I33)</f>
        <v>7476963</v>
      </c>
      <c r="O35">
        <v>31</v>
      </c>
      <c r="P35">
        <v>0</v>
      </c>
      <c r="Q35">
        <v>1</v>
      </c>
    </row>
    <row r="36" spans="1:17">
      <c r="B36" t="s">
        <v>25</v>
      </c>
      <c r="G36" t="s">
        <v>62</v>
      </c>
      <c r="H36" t="s">
        <v>36</v>
      </c>
      <c r="I36" t="s">
        <v>37</v>
      </c>
      <c r="P36" t="s">
        <v>60</v>
      </c>
      <c r="Q36" t="s">
        <v>61</v>
      </c>
    </row>
    <row r="37" spans="1:17">
      <c r="D37" t="s">
        <v>25</v>
      </c>
    </row>
    <row r="38" spans="1:17">
      <c r="F38" t="s">
        <v>25</v>
      </c>
    </row>
    <row r="39" spans="1:17">
      <c r="C39" t="s">
        <v>25</v>
      </c>
      <c r="E39" t="s">
        <v>85</v>
      </c>
    </row>
    <row r="40" spans="1:17">
      <c r="D40" s="18">
        <v>1297607</v>
      </c>
      <c r="E40" t="s">
        <v>95</v>
      </c>
      <c r="G40" s="18">
        <v>600</v>
      </c>
      <c r="H40" s="18">
        <f>G40*H35/G35</f>
        <v>0</v>
      </c>
      <c r="I40" s="18">
        <f>G40*I35/G35</f>
        <v>600</v>
      </c>
      <c r="L40" s="9" t="s">
        <v>25</v>
      </c>
    </row>
    <row r="41" spans="1:17">
      <c r="D41" s="18">
        <v>170775</v>
      </c>
      <c r="E41" t="s">
        <v>4722</v>
      </c>
      <c r="G41" s="9" t="s">
        <v>1000</v>
      </c>
      <c r="H41" s="9" t="s">
        <v>38</v>
      </c>
      <c r="I41" s="9" t="s">
        <v>39</v>
      </c>
    </row>
    <row r="42" spans="1:17">
      <c r="B42" s="7"/>
      <c r="D42" s="18">
        <v>870000</v>
      </c>
      <c r="E42" t="s">
        <v>4719</v>
      </c>
    </row>
    <row r="43" spans="1:17">
      <c r="D43" s="18">
        <v>252830</v>
      </c>
      <c r="E43" t="s">
        <v>4724</v>
      </c>
    </row>
    <row r="44" spans="1:17">
      <c r="D44" s="18">
        <v>178820</v>
      </c>
      <c r="E44" t="s">
        <v>4728</v>
      </c>
    </row>
    <row r="45" spans="1:17">
      <c r="D45" s="18">
        <v>382000</v>
      </c>
      <c r="E45" t="s">
        <v>4735</v>
      </c>
    </row>
    <row r="46" spans="1:17">
      <c r="D46" s="18">
        <v>-200000</v>
      </c>
      <c r="E46" t="s">
        <v>4736</v>
      </c>
    </row>
    <row r="47" spans="1:17">
      <c r="D47" s="18">
        <v>-2336075</v>
      </c>
      <c r="E47" t="s">
        <v>4739</v>
      </c>
      <c r="G47" t="s">
        <v>25</v>
      </c>
    </row>
    <row r="48" spans="1:17">
      <c r="D48" s="18">
        <v>-506588</v>
      </c>
      <c r="E48" t="s">
        <v>4742</v>
      </c>
      <c r="G48" t="s">
        <v>25</v>
      </c>
      <c r="O48" t="s">
        <v>25</v>
      </c>
    </row>
    <row r="49" spans="4:8">
      <c r="D49" s="18">
        <v>70767</v>
      </c>
      <c r="E49" t="s">
        <v>4749</v>
      </c>
      <c r="F49" t="s">
        <v>25</v>
      </c>
    </row>
    <row r="50" spans="4:8">
      <c r="D50" s="18">
        <v>10000</v>
      </c>
      <c r="E50" t="s">
        <v>4751</v>
      </c>
    </row>
    <row r="51" spans="4:8">
      <c r="D51" s="18">
        <v>-40000</v>
      </c>
      <c r="E51" t="s">
        <v>4752</v>
      </c>
      <c r="H51" t="s">
        <v>25</v>
      </c>
    </row>
    <row r="52" spans="4:8">
      <c r="D52" s="18">
        <v>2000000</v>
      </c>
      <c r="E52" t="s">
        <v>4763</v>
      </c>
    </row>
    <row r="53" spans="4:8">
      <c r="D53" s="18">
        <v>160000</v>
      </c>
      <c r="E53" t="s">
        <v>4766</v>
      </c>
    </row>
    <row r="54" spans="4:8">
      <c r="D54" s="18">
        <v>-224012</v>
      </c>
      <c r="E54" t="s">
        <v>4795</v>
      </c>
      <c r="F54" s="7" t="s">
        <v>25</v>
      </c>
      <c r="G54" s="36" t="s">
        <v>25</v>
      </c>
    </row>
    <row r="55" spans="4:8">
      <c r="D55" s="18">
        <v>1100000</v>
      </c>
      <c r="E55" t="s">
        <v>4796</v>
      </c>
      <c r="F55" s="7"/>
      <c r="G55" s="36"/>
    </row>
    <row r="56" spans="4:8">
      <c r="D56" s="18">
        <v>1465000</v>
      </c>
      <c r="E56" t="s">
        <v>4803</v>
      </c>
      <c r="F56" s="7"/>
      <c r="G56" s="36"/>
    </row>
    <row r="57" spans="4:8">
      <c r="D57" s="18">
        <v>2600000</v>
      </c>
      <c r="E57" t="s">
        <v>4833</v>
      </c>
      <c r="F57" s="7"/>
      <c r="G57" s="36"/>
    </row>
    <row r="58" spans="4:8">
      <c r="D58" s="18">
        <v>-1170000</v>
      </c>
      <c r="E58" t="s">
        <v>4842</v>
      </c>
      <c r="H58" t="s">
        <v>25</v>
      </c>
    </row>
    <row r="59" spans="4:8">
      <c r="D59" s="18">
        <v>-800000</v>
      </c>
      <c r="E59" t="s">
        <v>4841</v>
      </c>
      <c r="F59" s="7"/>
    </row>
    <row r="60" spans="4:8">
      <c r="D60" s="18">
        <v>360000</v>
      </c>
      <c r="E60" t="s">
        <v>4849</v>
      </c>
      <c r="G60" t="s">
        <v>25</v>
      </c>
    </row>
    <row r="61" spans="4:8" ht="45">
      <c r="D61" s="18">
        <v>6888285</v>
      </c>
      <c r="E61" s="22" t="s">
        <v>4866</v>
      </c>
    </row>
    <row r="62" spans="4:8">
      <c r="D62" s="18">
        <v>-550000</v>
      </c>
      <c r="E62" s="22" t="s">
        <v>4869</v>
      </c>
    </row>
    <row r="63" spans="4:8">
      <c r="D63" s="18">
        <v>-850000</v>
      </c>
      <c r="E63" s="22" t="s">
        <v>4873</v>
      </c>
      <c r="G63" t="s">
        <v>25</v>
      </c>
      <c r="H63" t="s">
        <v>25</v>
      </c>
    </row>
    <row r="64" spans="4:8">
      <c r="D64" s="18">
        <v>400000</v>
      </c>
      <c r="E64" s="22" t="s">
        <v>4876</v>
      </c>
      <c r="H64" t="s">
        <v>25</v>
      </c>
    </row>
    <row r="65" spans="4:10">
      <c r="D65" s="18">
        <v>300000</v>
      </c>
      <c r="E65" s="22" t="s">
        <v>4880</v>
      </c>
    </row>
    <row r="66" spans="4:10">
      <c r="D66" s="18">
        <v>-2290500</v>
      </c>
      <c r="E66" s="22" t="s">
        <v>4881</v>
      </c>
    </row>
    <row r="67" spans="4:10">
      <c r="D67" s="18">
        <v>1700000</v>
      </c>
      <c r="E67" s="22" t="s">
        <v>4888</v>
      </c>
    </row>
    <row r="68" spans="4:10">
      <c r="D68" s="18">
        <v>-150000</v>
      </c>
      <c r="E68" s="22" t="s">
        <v>4893</v>
      </c>
    </row>
    <row r="69" spans="4:10">
      <c r="D69" s="18">
        <v>-550000</v>
      </c>
      <c r="E69" s="22" t="s">
        <v>4896</v>
      </c>
      <c r="G69" t="s">
        <v>25</v>
      </c>
    </row>
    <row r="70" spans="4:10">
      <c r="D70" s="18">
        <v>13350000</v>
      </c>
      <c r="E70" s="22" t="s">
        <v>4914</v>
      </c>
      <c r="G70" t="s">
        <v>25</v>
      </c>
    </row>
    <row r="71" spans="4:10">
      <c r="D71" s="18">
        <v>-200000</v>
      </c>
      <c r="E71" s="22" t="s">
        <v>4928</v>
      </c>
    </row>
    <row r="72" spans="4:10">
      <c r="D72" s="18">
        <v>1500000</v>
      </c>
      <c r="E72" s="22" t="s">
        <v>4929</v>
      </c>
    </row>
    <row r="73" spans="4:10">
      <c r="D73" s="18">
        <v>-550000</v>
      </c>
      <c r="E73" s="22" t="s">
        <v>4933</v>
      </c>
    </row>
    <row r="74" spans="4:10">
      <c r="D74" s="18">
        <v>-50000</v>
      </c>
      <c r="E74" s="22" t="s">
        <v>4934</v>
      </c>
    </row>
    <row r="75" spans="4:10">
      <c r="D75" s="18">
        <v>-60000</v>
      </c>
      <c r="E75" s="22" t="s">
        <v>4935</v>
      </c>
    </row>
    <row r="76" spans="4:10">
      <c r="D76" s="18">
        <v>-43000</v>
      </c>
      <c r="E76" s="22" t="s">
        <v>4943</v>
      </c>
      <c r="I76" t="s">
        <v>25</v>
      </c>
    </row>
    <row r="77" spans="4:10">
      <c r="D77" s="18">
        <v>-320000</v>
      </c>
      <c r="E77" s="22" t="s">
        <v>4949</v>
      </c>
      <c r="H77" t="s">
        <v>25</v>
      </c>
      <c r="J77" t="s">
        <v>25</v>
      </c>
    </row>
    <row r="78" spans="4:10">
      <c r="D78" s="18">
        <v>-500000</v>
      </c>
      <c r="E78" s="22" t="s">
        <v>4950</v>
      </c>
    </row>
    <row r="79" spans="4:10">
      <c r="D79" s="18">
        <v>-750000</v>
      </c>
      <c r="E79" s="22" t="s">
        <v>4956</v>
      </c>
    </row>
    <row r="80" spans="4:10">
      <c r="D80" s="18">
        <v>50000</v>
      </c>
      <c r="E80" s="22" t="s">
        <v>4968</v>
      </c>
    </row>
    <row r="81" spans="4:9">
      <c r="D81" s="18">
        <v>500000</v>
      </c>
      <c r="E81" s="22" t="s">
        <v>4981</v>
      </c>
    </row>
    <row r="82" spans="4:9">
      <c r="D82" s="18">
        <v>1500000</v>
      </c>
      <c r="E82" s="22" t="s">
        <v>4980</v>
      </c>
    </row>
    <row r="83" spans="4:9">
      <c r="D83" s="18">
        <v>-510000</v>
      </c>
      <c r="E83" s="22" t="s">
        <v>4982</v>
      </c>
      <c r="H83" t="s">
        <v>25</v>
      </c>
    </row>
    <row r="84" spans="4:9">
      <c r="D84" s="18">
        <v>-400000</v>
      </c>
      <c r="E84" s="22" t="s">
        <v>4996</v>
      </c>
    </row>
    <row r="85" spans="4:9">
      <c r="D85" s="18">
        <v>250000</v>
      </c>
      <c r="E85" s="22" t="s">
        <v>5002</v>
      </c>
    </row>
    <row r="86" spans="4:9">
      <c r="D86" s="18">
        <v>-50000</v>
      </c>
      <c r="E86" s="22" t="s">
        <v>5003</v>
      </c>
    </row>
    <row r="87" spans="4:9">
      <c r="D87" s="18">
        <v>-300000</v>
      </c>
      <c r="E87" s="22" t="s">
        <v>5007</v>
      </c>
    </row>
    <row r="88" spans="4:9">
      <c r="D88" s="18">
        <v>-100000</v>
      </c>
      <c r="E88" s="22" t="s">
        <v>5018</v>
      </c>
      <c r="I88" t="s">
        <v>25</v>
      </c>
    </row>
    <row r="89" spans="4:9">
      <c r="D89" s="18">
        <v>-250000</v>
      </c>
      <c r="E89" s="22" t="s">
        <v>5028</v>
      </c>
    </row>
    <row r="90" spans="4:9">
      <c r="D90" s="18">
        <v>-45000</v>
      </c>
      <c r="E90" s="22" t="s">
        <v>5051</v>
      </c>
    </row>
    <row r="91" spans="4:9">
      <c r="D91" s="18">
        <v>3000000</v>
      </c>
      <c r="E91" s="22" t="s">
        <v>5052</v>
      </c>
      <c r="I91" t="s">
        <v>25</v>
      </c>
    </row>
    <row r="92" spans="4:9">
      <c r="D92" s="18">
        <v>-550000</v>
      </c>
      <c r="E92" s="22" t="s">
        <v>5053</v>
      </c>
    </row>
    <row r="93" spans="4:9">
      <c r="D93" s="18">
        <v>-200000</v>
      </c>
      <c r="E93" s="22" t="s">
        <v>5065</v>
      </c>
      <c r="G93" t="s">
        <v>25</v>
      </c>
    </row>
    <row r="94" spans="4:9">
      <c r="D94" s="18">
        <v>-30500</v>
      </c>
      <c r="E94" s="22" t="s">
        <v>5066</v>
      </c>
    </row>
    <row r="95" spans="4:9">
      <c r="D95" s="18">
        <v>2500000</v>
      </c>
      <c r="E95" s="22" t="s">
        <v>5098</v>
      </c>
      <c r="I95" t="s">
        <v>25</v>
      </c>
    </row>
    <row r="96" spans="4:9">
      <c r="D96" s="18">
        <v>-230000</v>
      </c>
      <c r="E96" s="22" t="s">
        <v>5104</v>
      </c>
    </row>
    <row r="97" spans="4:10">
      <c r="D97" s="18">
        <v>-168950</v>
      </c>
      <c r="E97" s="22" t="s">
        <v>4349</v>
      </c>
      <c r="J97" t="s">
        <v>25</v>
      </c>
    </row>
    <row r="98" spans="4:10">
      <c r="D98" s="18">
        <v>-250000</v>
      </c>
      <c r="E98" s="22" t="s">
        <v>5115</v>
      </c>
    </row>
    <row r="99" spans="4:10">
      <c r="D99" s="18">
        <v>500000</v>
      </c>
      <c r="E99" s="22" t="s">
        <v>5126</v>
      </c>
    </row>
    <row r="100" spans="4:10">
      <c r="D100" s="18">
        <v>-520000</v>
      </c>
      <c r="E100" s="22" t="s">
        <v>5125</v>
      </c>
      <c r="J100" t="s">
        <v>25</v>
      </c>
    </row>
    <row r="101" spans="4:10">
      <c r="D101" s="18">
        <v>500000</v>
      </c>
      <c r="E101" s="22" t="s">
        <v>5136</v>
      </c>
    </row>
    <row r="102" spans="4:10">
      <c r="D102" s="18">
        <v>-200000</v>
      </c>
      <c r="E102" s="22" t="s">
        <v>5140</v>
      </c>
    </row>
    <row r="103" spans="4:10">
      <c r="D103" s="18">
        <v>-300000</v>
      </c>
      <c r="E103" s="22" t="s">
        <v>5141</v>
      </c>
    </row>
    <row r="104" spans="4:10">
      <c r="D104" s="18">
        <v>-530000</v>
      </c>
      <c r="E104" s="22" t="s">
        <v>5159</v>
      </c>
    </row>
    <row r="105" spans="4:10">
      <c r="D105" s="18">
        <v>-550000</v>
      </c>
      <c r="E105" s="22" t="s">
        <v>5161</v>
      </c>
    </row>
    <row r="106" spans="4:10">
      <c r="D106" s="18">
        <v>-200000</v>
      </c>
      <c r="E106" s="22" t="s">
        <v>5183</v>
      </c>
    </row>
    <row r="107" spans="4:10">
      <c r="D107" s="18">
        <v>-1600000</v>
      </c>
      <c r="E107" s="22" t="s">
        <v>5185</v>
      </c>
      <c r="G107" t="s">
        <v>25</v>
      </c>
    </row>
    <row r="108" spans="4:10">
      <c r="D108" s="18">
        <v>1600000</v>
      </c>
      <c r="E108" s="22" t="s">
        <v>5189</v>
      </c>
    </row>
    <row r="109" spans="4:10">
      <c r="D109" s="18">
        <v>-550000</v>
      </c>
      <c r="E109" s="22" t="s">
        <v>5191</v>
      </c>
    </row>
    <row r="110" spans="4:10">
      <c r="D110" s="18">
        <v>-15000</v>
      </c>
      <c r="E110" s="22" t="s">
        <v>5196</v>
      </c>
    </row>
    <row r="111" spans="4:10">
      <c r="D111" s="18">
        <v>-325000</v>
      </c>
      <c r="E111" s="22" t="s">
        <v>5209</v>
      </c>
    </row>
    <row r="112" spans="4:10">
      <c r="D112" s="18">
        <v>-130000</v>
      </c>
      <c r="E112" s="22" t="s">
        <v>5210</v>
      </c>
    </row>
    <row r="113" spans="4:10">
      <c r="D113" s="18">
        <v>-250000</v>
      </c>
      <c r="E113" s="22" t="s">
        <v>5218</v>
      </c>
      <c r="J113" t="s">
        <v>25</v>
      </c>
    </row>
    <row r="114" spans="4:10">
      <c r="D114" s="18">
        <v>-750000</v>
      </c>
      <c r="E114" s="22" t="s">
        <v>5221</v>
      </c>
    </row>
    <row r="115" spans="4:10">
      <c r="D115" s="18">
        <v>250000</v>
      </c>
      <c r="E115" s="22" t="s">
        <v>5227</v>
      </c>
    </row>
    <row r="116" spans="4:10">
      <c r="D116" s="18">
        <v>-2100000</v>
      </c>
      <c r="E116" s="22" t="s">
        <v>5239</v>
      </c>
    </row>
    <row r="117" spans="4:10">
      <c r="D117" s="18">
        <v>-1000000</v>
      </c>
      <c r="E117" s="22" t="s">
        <v>5247</v>
      </c>
    </row>
    <row r="118" spans="4:10">
      <c r="D118" s="18">
        <v>-100000</v>
      </c>
      <c r="E118" s="22" t="s">
        <v>5248</v>
      </c>
    </row>
    <row r="119" spans="4:10">
      <c r="D119" s="18">
        <v>-550000</v>
      </c>
      <c r="E119" s="22" t="s">
        <v>5278</v>
      </c>
    </row>
    <row r="120" spans="4:10">
      <c r="D120" s="18">
        <v>-550000</v>
      </c>
      <c r="E120" s="22" t="s">
        <v>5279</v>
      </c>
    </row>
    <row r="121" spans="4:10">
      <c r="D121" s="18">
        <v>-390000</v>
      </c>
      <c r="E121" s="22" t="s">
        <v>5301</v>
      </c>
      <c r="H121" t="s">
        <v>25</v>
      </c>
      <c r="J121" t="s">
        <v>25</v>
      </c>
    </row>
    <row r="122" spans="4:10">
      <c r="D122" s="18">
        <v>2432520</v>
      </c>
      <c r="E122" s="22" t="s">
        <v>5302</v>
      </c>
    </row>
    <row r="123" spans="4:10">
      <c r="D123" s="18">
        <v>8000000</v>
      </c>
      <c r="E123" s="22" t="s">
        <v>5315</v>
      </c>
    </row>
    <row r="124" spans="4:10">
      <c r="D124" s="18">
        <v>-83930</v>
      </c>
      <c r="E124" s="22" t="s">
        <v>5324</v>
      </c>
    </row>
    <row r="125" spans="4:10">
      <c r="D125" s="18">
        <v>1000000</v>
      </c>
      <c r="E125" s="22" t="s">
        <v>5352</v>
      </c>
    </row>
    <row r="126" spans="4:10">
      <c r="D126" s="18">
        <v>-1333333</v>
      </c>
      <c r="E126" s="22" t="s">
        <v>5353</v>
      </c>
      <c r="J126" t="s">
        <v>25</v>
      </c>
    </row>
    <row r="127" spans="4:10">
      <c r="D127" s="18">
        <v>-1050000</v>
      </c>
      <c r="E127" s="22" t="s">
        <v>5368</v>
      </c>
    </row>
    <row r="128" spans="4:10">
      <c r="D128" s="18">
        <v>-2000000</v>
      </c>
      <c r="E128" s="22" t="s">
        <v>5374</v>
      </c>
      <c r="I128" t="s">
        <v>25</v>
      </c>
    </row>
    <row r="129" spans="4:5">
      <c r="D129" s="18">
        <v>-250000</v>
      </c>
      <c r="E129" s="22" t="s">
        <v>5382</v>
      </c>
    </row>
    <row r="130" spans="4:5">
      <c r="D130" s="18">
        <v>-550000</v>
      </c>
      <c r="E130" s="22" t="s">
        <v>5386</v>
      </c>
    </row>
    <row r="131" spans="4:5">
      <c r="D131" s="18">
        <v>210000</v>
      </c>
      <c r="E131" s="22" t="s">
        <v>5387</v>
      </c>
    </row>
    <row r="132" spans="4:5">
      <c r="D132" s="18">
        <v>-724200</v>
      </c>
      <c r="E132" s="22" t="s">
        <v>5409</v>
      </c>
    </row>
    <row r="133" spans="4:5">
      <c r="D133" s="18">
        <v>-400000</v>
      </c>
      <c r="E133" s="22" t="s">
        <v>5419</v>
      </c>
    </row>
    <row r="134" spans="4:5">
      <c r="D134" s="18">
        <v>-550000</v>
      </c>
      <c r="E134" s="22" t="s">
        <v>5427</v>
      </c>
    </row>
    <row r="135" spans="4:5">
      <c r="D135" s="18">
        <v>-2167000</v>
      </c>
      <c r="E135" s="22" t="s">
        <v>5430</v>
      </c>
    </row>
    <row r="136" spans="4:5">
      <c r="D136" s="18">
        <v>-125000</v>
      </c>
      <c r="E136" s="22" t="s">
        <v>5437</v>
      </c>
    </row>
    <row r="137" spans="4:5">
      <c r="D137" s="18">
        <v>-200000</v>
      </c>
      <c r="E137" s="22" t="s">
        <v>5444</v>
      </c>
    </row>
    <row r="138" spans="4:5">
      <c r="D138" s="18">
        <v>-2000000</v>
      </c>
      <c r="E138" s="22" t="s">
        <v>5455</v>
      </c>
    </row>
    <row r="139" spans="4:5">
      <c r="D139" s="18">
        <v>-1287000</v>
      </c>
      <c r="E139" s="22" t="s">
        <v>5461</v>
      </c>
    </row>
    <row r="140" spans="4:5">
      <c r="D140" s="18">
        <v>-2000000</v>
      </c>
      <c r="E140" s="22" t="s">
        <v>5465</v>
      </c>
    </row>
    <row r="141" spans="4:5">
      <c r="D141" s="18">
        <v>-2500000</v>
      </c>
      <c r="E141" s="22" t="s">
        <v>5466</v>
      </c>
    </row>
    <row r="142" spans="4:5">
      <c r="D142" s="18">
        <v>-500000</v>
      </c>
      <c r="E142" s="22" t="s">
        <v>5480</v>
      </c>
    </row>
    <row r="143" spans="4:5">
      <c r="D143" s="18">
        <v>-83930</v>
      </c>
      <c r="E143" s="22" t="s">
        <v>5488</v>
      </c>
    </row>
    <row r="144" spans="4:5">
      <c r="D144" s="18">
        <v>-550000</v>
      </c>
      <c r="E144" s="22" t="s">
        <v>5487</v>
      </c>
    </row>
    <row r="145" spans="4:9">
      <c r="D145" s="18">
        <v>-25000</v>
      </c>
      <c r="E145" s="22" t="s">
        <v>5496</v>
      </c>
      <c r="I145" t="s">
        <v>25</v>
      </c>
    </row>
    <row r="146" spans="4:9">
      <c r="D146" s="18">
        <v>-180000</v>
      </c>
      <c r="E146" s="22" t="s">
        <v>5546</v>
      </c>
      <c r="G146" t="s">
        <v>25</v>
      </c>
    </row>
    <row r="147" spans="4:9">
      <c r="D147" s="18">
        <v>-30000</v>
      </c>
      <c r="E147" s="22" t="s">
        <v>5545</v>
      </c>
    </row>
    <row r="148" spans="4:9">
      <c r="D148" s="18">
        <v>-47000</v>
      </c>
      <c r="E148" s="22" t="s">
        <v>5544</v>
      </c>
    </row>
    <row r="149" spans="4:9">
      <c r="D149" s="18">
        <v>-1000000</v>
      </c>
      <c r="E149" s="22" t="s">
        <v>5547</v>
      </c>
    </row>
    <row r="150" spans="4:9">
      <c r="D150" s="18">
        <v>-500000</v>
      </c>
      <c r="E150" s="22" t="s">
        <v>5558</v>
      </c>
    </row>
    <row r="151" spans="4:9">
      <c r="D151" s="18">
        <v>-5000000</v>
      </c>
      <c r="E151" s="22" t="s">
        <v>5561</v>
      </c>
    </row>
    <row r="152" spans="4:9">
      <c r="D152" s="18">
        <v>-200000</v>
      </c>
      <c r="E152" s="22" t="s">
        <v>5569</v>
      </c>
    </row>
    <row r="153" spans="4:9">
      <c r="D153" s="18">
        <v>-268000</v>
      </c>
      <c r="E153" s="22" t="s">
        <v>5590</v>
      </c>
      <c r="I153" t="s">
        <v>25</v>
      </c>
    </row>
    <row r="154" spans="4:9">
      <c r="D154" s="18">
        <v>-1800000</v>
      </c>
      <c r="E154" s="22" t="s">
        <v>5606</v>
      </c>
    </row>
    <row r="155" spans="4:9" ht="30">
      <c r="D155" s="18">
        <v>-3200000</v>
      </c>
      <c r="E155" s="22" t="s">
        <v>5607</v>
      </c>
      <c r="I155" t="s">
        <v>25</v>
      </c>
    </row>
    <row r="156" spans="4:9">
      <c r="D156" s="18">
        <v>-300000</v>
      </c>
      <c r="E156" s="22" t="s">
        <v>5615</v>
      </c>
    </row>
    <row r="157" spans="4:9">
      <c r="D157" s="18">
        <v>-1300000</v>
      </c>
      <c r="E157" s="22" t="s">
        <v>5616</v>
      </c>
    </row>
    <row r="158" spans="4:9">
      <c r="D158" s="18">
        <v>860000</v>
      </c>
      <c r="E158" s="22" t="s">
        <v>5630</v>
      </c>
    </row>
    <row r="159" spans="4:9">
      <c r="D159" s="18">
        <v>-83900</v>
      </c>
      <c r="E159" s="22" t="s">
        <v>5638</v>
      </c>
      <c r="I159" t="s">
        <v>25</v>
      </c>
    </row>
    <row r="160" spans="4:9">
      <c r="D160" s="18">
        <v>-3810000</v>
      </c>
      <c r="E160" s="22" t="s">
        <v>5651</v>
      </c>
      <c r="H160" t="s">
        <v>25</v>
      </c>
    </row>
    <row r="161" spans="4:11">
      <c r="D161" s="18">
        <v>30000000</v>
      </c>
      <c r="E161" s="22" t="s">
        <v>5749</v>
      </c>
      <c r="I161" t="s">
        <v>25</v>
      </c>
    </row>
    <row r="162" spans="4:11">
      <c r="D162" s="18">
        <v>50000000</v>
      </c>
      <c r="E162" s="22" t="s">
        <v>5758</v>
      </c>
    </row>
    <row r="163" spans="4:11">
      <c r="D163" s="18">
        <v>-19100000</v>
      </c>
      <c r="E163" s="22" t="s">
        <v>5757</v>
      </c>
    </row>
    <row r="164" spans="4:11">
      <c r="D164" s="18">
        <v>1470000</v>
      </c>
      <c r="E164" s="22" t="s">
        <v>6292</v>
      </c>
      <c r="I164" t="s">
        <v>25</v>
      </c>
    </row>
    <row r="165" spans="4:11">
      <c r="D165" s="18">
        <v>-2540000</v>
      </c>
      <c r="E165" s="22" t="s">
        <v>6293</v>
      </c>
      <c r="K165" t="s">
        <v>25</v>
      </c>
    </row>
    <row r="166" spans="4:11">
      <c r="D166" s="18">
        <v>-1040000</v>
      </c>
      <c r="E166" s="22" t="s">
        <v>6294</v>
      </c>
    </row>
    <row r="167" spans="4:11">
      <c r="D167" s="18">
        <v>-50252149</v>
      </c>
      <c r="E167" s="22" t="s">
        <v>6300</v>
      </c>
    </row>
    <row r="168" spans="4:11">
      <c r="D168" s="18">
        <v>-1500000</v>
      </c>
      <c r="E168" s="22" t="s">
        <v>6587</v>
      </c>
    </row>
    <row r="169" spans="4:11">
      <c r="D169" s="18">
        <v>-2500000</v>
      </c>
      <c r="E169" s="22" t="s">
        <v>6588</v>
      </c>
      <c r="H169" t="s">
        <v>25</v>
      </c>
    </row>
    <row r="170" spans="4:11">
      <c r="D170" s="18">
        <v>-2600000</v>
      </c>
      <c r="E170" s="22" t="s">
        <v>6592</v>
      </c>
    </row>
    <row r="171" spans="4:11">
      <c r="D171" s="18">
        <v>-2060000</v>
      </c>
      <c r="E171" s="22" t="s">
        <v>6634</v>
      </c>
    </row>
    <row r="172" spans="4:11">
      <c r="D172" s="18"/>
      <c r="E172" s="22"/>
    </row>
    <row r="173" spans="4:11">
      <c r="D173" s="18"/>
      <c r="E173" s="22"/>
    </row>
    <row r="174" spans="4:11">
      <c r="D174" s="18"/>
    </row>
    <row r="175" spans="4:11">
      <c r="D175" s="18"/>
      <c r="E175" t="s">
        <v>25</v>
      </c>
      <c r="J175" t="s">
        <v>25</v>
      </c>
    </row>
    <row r="176" spans="4:11">
      <c r="D176" s="18">
        <f>SUM(D40:D175)</f>
        <v>-3846463</v>
      </c>
      <c r="E176" t="s">
        <v>6</v>
      </c>
    </row>
    <row r="181" spans="5:5">
      <c r="E181" t="s">
        <v>25</v>
      </c>
    </row>
    <row r="182" spans="5:5">
      <c r="E182" t="s">
        <v>25</v>
      </c>
    </row>
    <row r="183" spans="5:5">
      <c r="E183"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B14" sqref="B14"/>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28" t="s">
        <v>6106</v>
      </c>
      <c r="B1" s="229" t="s">
        <v>6104</v>
      </c>
      <c r="C1" s="28" t="s">
        <v>6116</v>
      </c>
      <c r="D1" s="186" t="s">
        <v>1078</v>
      </c>
      <c r="E1" s="28" t="s">
        <v>6105</v>
      </c>
      <c r="F1" s="2" t="s">
        <v>5752</v>
      </c>
      <c r="G1" s="2" t="s">
        <v>6115</v>
      </c>
    </row>
    <row r="2" spans="1:7">
      <c r="A2" s="228">
        <v>1390</v>
      </c>
      <c r="B2" s="229">
        <v>354</v>
      </c>
      <c r="C2" s="28"/>
      <c r="D2" s="186">
        <v>1900</v>
      </c>
      <c r="E2" s="28">
        <f t="shared" ref="E2:E11" si="0">B2*1000/D2</f>
        <v>186.31578947368422</v>
      </c>
      <c r="F2" s="18">
        <v>700000</v>
      </c>
      <c r="G2" s="2">
        <f t="shared" ref="G2:G11" si="1">B2*1000*1000/F2</f>
        <v>505.71428571428572</v>
      </c>
    </row>
    <row r="3" spans="1:7">
      <c r="A3" s="228">
        <v>1391</v>
      </c>
      <c r="B3" s="229">
        <v>460</v>
      </c>
      <c r="C3" s="28">
        <f t="shared" ref="C3:C11" si="2">(B3-B2)*100/B2</f>
        <v>29.943502824858758</v>
      </c>
      <c r="D3" s="186">
        <v>3200</v>
      </c>
      <c r="E3" s="28">
        <f t="shared" si="0"/>
        <v>143.75</v>
      </c>
      <c r="F3" s="18">
        <v>1200000</v>
      </c>
      <c r="G3" s="2">
        <f t="shared" si="1"/>
        <v>383.33333333333331</v>
      </c>
    </row>
    <row r="4" spans="1:7">
      <c r="A4" s="228">
        <v>1392</v>
      </c>
      <c r="B4" s="229">
        <v>640</v>
      </c>
      <c r="C4" s="28">
        <f t="shared" si="2"/>
        <v>39.130434782608695</v>
      </c>
      <c r="D4" s="186">
        <v>3100</v>
      </c>
      <c r="E4" s="28">
        <f t="shared" si="0"/>
        <v>206.45161290322579</v>
      </c>
      <c r="F4" s="18">
        <v>970000</v>
      </c>
      <c r="G4" s="2">
        <f t="shared" si="1"/>
        <v>659.79381443298973</v>
      </c>
    </row>
    <row r="5" spans="1:7">
      <c r="A5" s="228">
        <v>1393</v>
      </c>
      <c r="B5" s="229">
        <v>782</v>
      </c>
      <c r="C5" s="28">
        <f t="shared" si="2"/>
        <v>22.1875</v>
      </c>
      <c r="D5" s="186">
        <v>3300</v>
      </c>
      <c r="E5" s="28">
        <f t="shared" si="0"/>
        <v>236.96969696969697</v>
      </c>
      <c r="F5" s="18">
        <v>1000000</v>
      </c>
      <c r="G5" s="2">
        <f t="shared" si="1"/>
        <v>782</v>
      </c>
    </row>
    <row r="6" spans="1:7">
      <c r="A6" s="228">
        <v>1394</v>
      </c>
      <c r="B6" s="229">
        <v>1017</v>
      </c>
      <c r="C6" s="28">
        <f t="shared" si="2"/>
        <v>30.051150895140665</v>
      </c>
      <c r="D6" s="186">
        <v>3500</v>
      </c>
      <c r="E6" s="28">
        <f t="shared" si="0"/>
        <v>290.57142857142856</v>
      </c>
      <c r="F6" s="18">
        <v>1000000</v>
      </c>
      <c r="G6" s="2">
        <f t="shared" si="1"/>
        <v>1017</v>
      </c>
    </row>
    <row r="7" spans="1:7">
      <c r="A7" s="228">
        <v>1395</v>
      </c>
      <c r="B7" s="229">
        <v>1253</v>
      </c>
      <c r="C7" s="28">
        <f t="shared" si="2"/>
        <v>23.2055063913471</v>
      </c>
      <c r="D7" s="186">
        <v>3800</v>
      </c>
      <c r="E7" s="28">
        <f t="shared" si="0"/>
        <v>329.73684210526318</v>
      </c>
      <c r="F7" s="18">
        <v>1100000</v>
      </c>
      <c r="G7" s="2">
        <f t="shared" si="1"/>
        <v>1139.090909090909</v>
      </c>
    </row>
    <row r="8" spans="1:7">
      <c r="A8" s="228">
        <v>1396</v>
      </c>
      <c r="B8" s="229">
        <v>1530</v>
      </c>
      <c r="C8" s="28">
        <f t="shared" si="2"/>
        <v>22.106943335993616</v>
      </c>
      <c r="D8" s="186">
        <v>4500</v>
      </c>
      <c r="E8" s="28">
        <f t="shared" si="0"/>
        <v>340</v>
      </c>
      <c r="F8" s="18">
        <v>1400000</v>
      </c>
      <c r="G8" s="2">
        <f t="shared" si="1"/>
        <v>1092.8571428571429</v>
      </c>
    </row>
    <row r="9" spans="1:7">
      <c r="A9" s="228">
        <v>1397</v>
      </c>
      <c r="B9" s="229">
        <v>1882</v>
      </c>
      <c r="C9" s="28">
        <f t="shared" si="2"/>
        <v>23.006535947712418</v>
      </c>
      <c r="D9" s="186">
        <v>12000</v>
      </c>
      <c r="E9" s="28">
        <f t="shared" si="0"/>
        <v>156.83333333333334</v>
      </c>
      <c r="F9" s="18">
        <v>4750000</v>
      </c>
      <c r="G9" s="2">
        <f t="shared" si="1"/>
        <v>396.21052631578948</v>
      </c>
    </row>
    <row r="10" spans="1:7">
      <c r="A10" s="228">
        <v>1398</v>
      </c>
      <c r="B10" s="229">
        <v>2472</v>
      </c>
      <c r="C10" s="28">
        <f t="shared" si="2"/>
        <v>31.349628055260361</v>
      </c>
      <c r="D10" s="186">
        <v>15000</v>
      </c>
      <c r="E10" s="28">
        <f t="shared" si="0"/>
        <v>164.8</v>
      </c>
      <c r="F10" s="18">
        <v>6600000</v>
      </c>
      <c r="G10" s="2">
        <f t="shared" si="1"/>
        <v>374.54545454545456</v>
      </c>
    </row>
    <row r="11" spans="1:7">
      <c r="A11" s="228">
        <v>1399</v>
      </c>
      <c r="B11" s="229">
        <v>3476</v>
      </c>
      <c r="C11" s="28">
        <f t="shared" si="2"/>
        <v>40.614886731391586</v>
      </c>
      <c r="D11" s="186">
        <v>25000</v>
      </c>
      <c r="E11" s="28">
        <f t="shared" si="0"/>
        <v>139.04</v>
      </c>
      <c r="F11" s="18">
        <v>12000000</v>
      </c>
      <c r="G11" s="2">
        <f t="shared" si="1"/>
        <v>289.66666666666669</v>
      </c>
    </row>
    <row r="12" spans="1:7">
      <c r="A12" s="228">
        <v>1400</v>
      </c>
      <c r="B12" s="229">
        <v>4832</v>
      </c>
      <c r="C12" s="28">
        <f>(B12-B11)*100/B11</f>
        <v>39.010356731875717</v>
      </c>
      <c r="D12" s="186">
        <v>29000</v>
      </c>
      <c r="E12" s="28">
        <f>B12*1000/D12</f>
        <v>166.62068965517241</v>
      </c>
      <c r="F12" s="18">
        <v>12000001</v>
      </c>
      <c r="G12" s="2">
        <f>B12*1000*1000/F12</f>
        <v>402.66663311111392</v>
      </c>
    </row>
    <row r="13" spans="1:7">
      <c r="A13" s="228">
        <v>1401</v>
      </c>
      <c r="B13" s="229">
        <v>6000</v>
      </c>
      <c r="C13" s="28">
        <f>(B13-B12)*100/B12</f>
        <v>24.172185430463575</v>
      </c>
      <c r="D13" s="186">
        <v>40000</v>
      </c>
      <c r="E13" s="28">
        <f>B13*1000/D13</f>
        <v>150</v>
      </c>
      <c r="F13" s="18">
        <v>12000002</v>
      </c>
      <c r="G13" s="2">
        <f>B13*1000*1000/F13</f>
        <v>499.99991666668058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4" workbookViewId="0">
      <selection activeCell="H51" sqref="H5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440</v>
      </c>
      <c r="B7" s="18">
        <v>-4000000</v>
      </c>
      <c r="C7" s="18">
        <f t="shared" si="0"/>
        <v>500000</v>
      </c>
      <c r="D7" s="18" t="s">
        <v>442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55" t="s">
        <v>232</v>
      </c>
      <c r="P12" s="55" t="s">
        <v>234</v>
      </c>
      <c r="Q12" s="55" t="s">
        <v>233</v>
      </c>
      <c r="R12" s="55" t="s">
        <v>235</v>
      </c>
      <c r="S12" s="11"/>
      <c r="T12" s="11"/>
      <c r="U12" s="11"/>
    </row>
    <row r="13" spans="1:21">
      <c r="B13" s="18"/>
      <c r="C13" s="18">
        <f t="shared" si="0"/>
        <v>500000</v>
      </c>
      <c r="D13" s="18"/>
      <c r="F13" s="18"/>
      <c r="O13" s="56">
        <v>6</v>
      </c>
      <c r="P13" s="56">
        <v>36</v>
      </c>
      <c r="Q13" s="55">
        <v>0.5</v>
      </c>
      <c r="R13" s="11">
        <f>P13/Q13</f>
        <v>72</v>
      </c>
      <c r="S13" s="11">
        <f t="shared" ref="S13:S19" si="2">$R$13*$O$13/O13</f>
        <v>72</v>
      </c>
      <c r="T13" s="11"/>
      <c r="U13" s="11">
        <f>O13*R13*30.5</f>
        <v>13176</v>
      </c>
    </row>
    <row r="14" spans="1:21">
      <c r="B14" s="18"/>
      <c r="C14" s="18">
        <f t="shared" si="0"/>
        <v>500000</v>
      </c>
      <c r="D14" s="18"/>
      <c r="F14" s="18"/>
      <c r="O14" s="56">
        <v>9</v>
      </c>
      <c r="P14" s="56">
        <v>37</v>
      </c>
      <c r="Q14" s="55">
        <v>0.75</v>
      </c>
      <c r="R14" s="11">
        <f t="shared" ref="R14:R19" si="3">P14/Q14</f>
        <v>49.333333333333336</v>
      </c>
      <c r="S14" s="11">
        <f t="shared" si="2"/>
        <v>48</v>
      </c>
      <c r="T14" s="11"/>
      <c r="U14" s="11">
        <f t="shared" ref="U14:U19" si="4">O14*R14*30.5</f>
        <v>13542</v>
      </c>
    </row>
    <row r="15" spans="1:21">
      <c r="B15" s="18"/>
      <c r="C15" s="18">
        <f t="shared" si="0"/>
        <v>500000</v>
      </c>
      <c r="D15" s="18"/>
      <c r="F15" s="18"/>
      <c r="O15" s="56">
        <v>12</v>
      </c>
      <c r="P15" s="56">
        <v>38</v>
      </c>
      <c r="Q15" s="55">
        <v>1</v>
      </c>
      <c r="R15" s="11">
        <f t="shared" si="3"/>
        <v>38</v>
      </c>
      <c r="S15" s="11">
        <f t="shared" si="2"/>
        <v>36</v>
      </c>
      <c r="T15" s="11"/>
      <c r="U15" s="11">
        <f t="shared" si="4"/>
        <v>13908</v>
      </c>
    </row>
    <row r="16" spans="1:21">
      <c r="B16" s="18"/>
      <c r="C16" s="18">
        <f t="shared" si="0"/>
        <v>500000</v>
      </c>
      <c r="D16" s="18"/>
      <c r="F16" s="18"/>
      <c r="O16" s="56">
        <v>18</v>
      </c>
      <c r="P16" s="56">
        <v>41</v>
      </c>
      <c r="Q16" s="55">
        <v>2</v>
      </c>
      <c r="R16" s="11">
        <f t="shared" si="3"/>
        <v>20.5</v>
      </c>
      <c r="S16" s="11">
        <f t="shared" si="2"/>
        <v>24</v>
      </c>
      <c r="T16" s="11"/>
      <c r="U16" s="11">
        <f>O16*R16*30.5</f>
        <v>11254.5</v>
      </c>
    </row>
    <row r="17" spans="2:21">
      <c r="B17" s="18"/>
      <c r="C17" s="18">
        <f t="shared" si="0"/>
        <v>500000</v>
      </c>
      <c r="D17" s="18"/>
      <c r="F17" s="18"/>
      <c r="O17" s="56">
        <v>24</v>
      </c>
      <c r="P17" s="56">
        <v>44</v>
      </c>
      <c r="Q17" s="55">
        <v>3</v>
      </c>
      <c r="R17" s="11">
        <f t="shared" si="3"/>
        <v>14.666666666666666</v>
      </c>
      <c r="S17" s="11">
        <f t="shared" si="2"/>
        <v>18</v>
      </c>
      <c r="T17" s="11"/>
      <c r="U17" s="11">
        <f t="shared" si="4"/>
        <v>10736</v>
      </c>
    </row>
    <row r="18" spans="2:21">
      <c r="B18" s="18"/>
      <c r="C18" s="18">
        <f t="shared" si="0"/>
        <v>500000</v>
      </c>
      <c r="D18" s="18"/>
      <c r="F18" s="18"/>
      <c r="O18" s="56">
        <v>30</v>
      </c>
      <c r="P18" s="56">
        <v>47</v>
      </c>
      <c r="Q18" s="55">
        <v>4</v>
      </c>
      <c r="R18" s="11">
        <f t="shared" si="3"/>
        <v>11.75</v>
      </c>
      <c r="S18" s="11">
        <f t="shared" si="2"/>
        <v>14.4</v>
      </c>
      <c r="T18" s="11"/>
      <c r="U18" s="11">
        <f t="shared" si="4"/>
        <v>10751.25</v>
      </c>
    </row>
    <row r="19" spans="2:21">
      <c r="B19" s="18"/>
      <c r="C19" s="18">
        <f t="shared" si="0"/>
        <v>500000</v>
      </c>
      <c r="D19" s="18"/>
      <c r="F19" s="18"/>
      <c r="O19" s="56">
        <v>36</v>
      </c>
      <c r="P19" s="56">
        <v>50</v>
      </c>
      <c r="Q19" s="5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546</v>
      </c>
      <c r="H28" s="11" t="s">
        <v>180</v>
      </c>
      <c r="I28" s="11" t="s">
        <v>545</v>
      </c>
      <c r="J28" s="11" t="s">
        <v>5467</v>
      </c>
    </row>
    <row r="29" spans="2:21">
      <c r="G29" s="11">
        <f t="shared" ref="G29:G50" si="5">$I$51-I29</f>
        <v>34700</v>
      </c>
      <c r="H29" s="11" t="s">
        <v>5243</v>
      </c>
      <c r="I29" s="11">
        <v>270000</v>
      </c>
      <c r="J29" s="11" t="s">
        <v>540</v>
      </c>
    </row>
    <row r="30" spans="2:21">
      <c r="G30" s="11">
        <f t="shared" si="5"/>
        <v>34700</v>
      </c>
      <c r="H30" s="11" t="s">
        <v>5243</v>
      </c>
      <c r="I30" s="11">
        <v>270000</v>
      </c>
      <c r="J30" s="11" t="s">
        <v>541</v>
      </c>
    </row>
    <row r="31" spans="2:21">
      <c r="G31" s="11">
        <f t="shared" si="5"/>
        <v>600</v>
      </c>
      <c r="H31" s="11" t="s">
        <v>6941</v>
      </c>
      <c r="I31" s="11">
        <v>304100</v>
      </c>
      <c r="J31" s="11" t="s">
        <v>456</v>
      </c>
    </row>
    <row r="32" spans="2:21">
      <c r="G32" s="11">
        <f t="shared" si="5"/>
        <v>119700</v>
      </c>
      <c r="H32" s="48" t="s">
        <v>758</v>
      </c>
      <c r="I32" s="11">
        <v>185000</v>
      </c>
      <c r="J32" s="11" t="s">
        <v>535</v>
      </c>
    </row>
    <row r="33" spans="6:23">
      <c r="G33" s="11">
        <f t="shared" si="5"/>
        <v>20700</v>
      </c>
      <c r="H33" s="11" t="s">
        <v>6159</v>
      </c>
      <c r="I33" s="11">
        <v>284000</v>
      </c>
      <c r="J33" s="11" t="s">
        <v>542</v>
      </c>
    </row>
    <row r="34" spans="6:23">
      <c r="G34" s="11">
        <f t="shared" si="5"/>
        <v>20700</v>
      </c>
      <c r="H34" s="11" t="s">
        <v>6159</v>
      </c>
      <c r="I34" s="11">
        <v>284000</v>
      </c>
      <c r="J34" s="11" t="s">
        <v>543</v>
      </c>
    </row>
    <row r="35" spans="6:23">
      <c r="G35" s="11">
        <f t="shared" si="5"/>
        <v>600</v>
      </c>
      <c r="H35" s="11" t="s">
        <v>6941</v>
      </c>
      <c r="I35" s="11">
        <v>304100</v>
      </c>
      <c r="J35" s="11" t="s">
        <v>544</v>
      </c>
    </row>
    <row r="36" spans="6:23">
      <c r="F36" t="s">
        <v>25</v>
      </c>
      <c r="G36" s="11">
        <f t="shared" si="5"/>
        <v>40700</v>
      </c>
      <c r="H36" s="11" t="s">
        <v>5285</v>
      </c>
      <c r="I36" s="11">
        <v>264000</v>
      </c>
      <c r="J36" s="11" t="s">
        <v>615</v>
      </c>
      <c r="O36" s="22"/>
    </row>
    <row r="37" spans="6:23">
      <c r="G37" s="11">
        <f t="shared" si="5"/>
        <v>6700</v>
      </c>
      <c r="H37" s="11" t="s">
        <v>6823</v>
      </c>
      <c r="I37" s="11">
        <v>298000</v>
      </c>
      <c r="J37" s="11" t="s">
        <v>624</v>
      </c>
    </row>
    <row r="38" spans="6:23">
      <c r="G38" s="11">
        <f t="shared" si="5"/>
        <v>80200</v>
      </c>
      <c r="H38" s="11" t="s">
        <v>682</v>
      </c>
      <c r="I38" s="11">
        <v>224500</v>
      </c>
      <c r="J38" s="11" t="s">
        <v>681</v>
      </c>
    </row>
    <row r="39" spans="6:23">
      <c r="G39" s="11">
        <f t="shared" si="5"/>
        <v>114700</v>
      </c>
      <c r="H39" s="11" t="s">
        <v>716</v>
      </c>
      <c r="I39" s="11">
        <v>190000</v>
      </c>
      <c r="J39" s="11" t="s">
        <v>715</v>
      </c>
    </row>
    <row r="40" spans="6:23">
      <c r="G40" s="11">
        <f t="shared" si="5"/>
        <v>0</v>
      </c>
      <c r="H40" s="11" t="s">
        <v>6967</v>
      </c>
      <c r="I40" s="11">
        <v>304700</v>
      </c>
      <c r="J40" s="11" t="s">
        <v>713</v>
      </c>
    </row>
    <row r="41" spans="6:23">
      <c r="G41" s="11">
        <f t="shared" si="5"/>
        <v>3700</v>
      </c>
      <c r="H41" s="11" t="s">
        <v>6839</v>
      </c>
      <c r="I41" s="11">
        <v>301000</v>
      </c>
      <c r="J41" s="11" t="s">
        <v>752</v>
      </c>
      <c r="O41" s="58"/>
      <c r="Q41" s="58"/>
      <c r="R41" s="58"/>
      <c r="S41" s="7"/>
      <c r="T41" s="7"/>
      <c r="U41" s="7"/>
      <c r="V41" s="7"/>
      <c r="W41" s="7"/>
    </row>
    <row r="42" spans="6:23">
      <c r="G42" s="11">
        <f t="shared" si="5"/>
        <v>88700</v>
      </c>
      <c r="H42" s="11" t="s">
        <v>753</v>
      </c>
      <c r="I42" s="11">
        <v>216000</v>
      </c>
      <c r="J42" s="11" t="s">
        <v>754</v>
      </c>
      <c r="O42" s="58"/>
      <c r="Q42" s="58"/>
      <c r="R42" s="58"/>
      <c r="S42" s="7"/>
      <c r="T42" s="7"/>
      <c r="V42" s="7"/>
      <c r="W42" s="7"/>
    </row>
    <row r="43" spans="6:23">
      <c r="G43" s="11">
        <f t="shared" si="5"/>
        <v>77700</v>
      </c>
      <c r="H43" s="11" t="s">
        <v>775</v>
      </c>
      <c r="I43" s="11">
        <v>227000</v>
      </c>
      <c r="J43" s="11" t="s">
        <v>776</v>
      </c>
      <c r="Q43" s="7"/>
      <c r="S43" s="7"/>
    </row>
    <row r="44" spans="6:23">
      <c r="G44" s="11">
        <f t="shared" si="5"/>
        <v>75700</v>
      </c>
      <c r="H44" s="11" t="s">
        <v>838</v>
      </c>
      <c r="I44" s="11">
        <v>229000</v>
      </c>
      <c r="J44" s="11" t="s">
        <v>457</v>
      </c>
    </row>
    <row r="45" spans="6:23">
      <c r="G45" s="11">
        <f t="shared" si="5"/>
        <v>73700</v>
      </c>
      <c r="H45" s="11" t="s">
        <v>1065</v>
      </c>
      <c r="I45" s="11">
        <v>231000</v>
      </c>
      <c r="J45" s="11" t="s">
        <v>1064</v>
      </c>
      <c r="S45" s="7"/>
    </row>
    <row r="46" spans="6:23">
      <c r="G46" s="11">
        <f t="shared" si="5"/>
        <v>56500</v>
      </c>
      <c r="H46" s="11" t="s">
        <v>4674</v>
      </c>
      <c r="I46" s="11">
        <v>248200</v>
      </c>
      <c r="J46" s="11" t="s">
        <v>4683</v>
      </c>
    </row>
    <row r="47" spans="6:23">
      <c r="G47" s="11">
        <f t="shared" si="5"/>
        <v>47700</v>
      </c>
      <c r="H47" s="11" t="s">
        <v>5058</v>
      </c>
      <c r="I47" s="11">
        <v>257000</v>
      </c>
      <c r="J47" s="11" t="s">
        <v>5089</v>
      </c>
    </row>
    <row r="48" spans="6:23">
      <c r="G48" s="11">
        <f t="shared" si="5"/>
        <v>3700</v>
      </c>
      <c r="H48" s="11" t="s">
        <v>6863</v>
      </c>
      <c r="I48" s="11">
        <v>301000</v>
      </c>
      <c r="J48" s="11" t="s">
        <v>6267</v>
      </c>
    </row>
    <row r="49" spans="7:21">
      <c r="G49" s="11">
        <f t="shared" si="5"/>
        <v>1500</v>
      </c>
      <c r="H49" s="11" t="s">
        <v>6918</v>
      </c>
      <c r="I49" s="11">
        <v>303200</v>
      </c>
      <c r="J49" s="11" t="s">
        <v>5687</v>
      </c>
    </row>
    <row r="50" spans="7:21">
      <c r="G50" s="11">
        <f t="shared" si="5"/>
        <v>0</v>
      </c>
      <c r="H50" s="11" t="s">
        <v>6967</v>
      </c>
      <c r="I50" s="11">
        <v>304700</v>
      </c>
      <c r="J50" s="11" t="s">
        <v>6955</v>
      </c>
      <c r="O50" t="s">
        <v>25</v>
      </c>
    </row>
    <row r="51" spans="7:21">
      <c r="G51" s="11"/>
      <c r="H51" s="11" t="s">
        <v>6921</v>
      </c>
      <c r="I51" s="11">
        <v>304700</v>
      </c>
      <c r="J51" s="11" t="s">
        <v>547</v>
      </c>
      <c r="Q51" s="58"/>
      <c r="S51" s="58"/>
      <c r="U51" s="7"/>
    </row>
    <row r="52" spans="7:21">
      <c r="O52" s="57"/>
      <c r="Q52" s="58"/>
      <c r="S52" s="58"/>
      <c r="U52" s="7"/>
    </row>
    <row r="53" spans="7:21">
      <c r="M53" t="s">
        <v>25</v>
      </c>
      <c r="O53" s="57"/>
      <c r="Q53" s="58"/>
      <c r="S53" s="58"/>
    </row>
    <row r="54" spans="7:21">
      <c r="Q54" s="58"/>
      <c r="S54" s="58"/>
    </row>
    <row r="55" spans="7:21">
      <c r="G55" s="11" t="s">
        <v>546</v>
      </c>
      <c r="H55" s="11" t="s">
        <v>180</v>
      </c>
      <c r="I55" s="11" t="s">
        <v>545</v>
      </c>
      <c r="J55" s="11" t="s">
        <v>5468</v>
      </c>
      <c r="Q55" s="58"/>
      <c r="S55" s="58"/>
      <c r="U55" s="7"/>
    </row>
    <row r="56" spans="7:21">
      <c r="G56" s="11">
        <f>$I$77-I56</f>
        <v>28300</v>
      </c>
      <c r="H56" s="11" t="s">
        <v>5243</v>
      </c>
      <c r="I56" s="11">
        <v>38000</v>
      </c>
      <c r="J56" s="11" t="s">
        <v>540</v>
      </c>
      <c r="Q56" s="58"/>
      <c r="S56" s="58"/>
    </row>
    <row r="57" spans="7:21">
      <c r="G57" s="11">
        <f t="shared" ref="G57:G74" si="6">$I$77-I57</f>
        <v>28300</v>
      </c>
      <c r="H57" s="11" t="s">
        <v>5243</v>
      </c>
      <c r="I57" s="11">
        <v>38000</v>
      </c>
      <c r="J57" s="11" t="s">
        <v>541</v>
      </c>
      <c r="Q57" s="58"/>
      <c r="S57" s="58"/>
    </row>
    <row r="58" spans="7:21">
      <c r="G58" s="11">
        <f t="shared" si="6"/>
        <v>3300</v>
      </c>
      <c r="H58" s="11" t="s">
        <v>6914</v>
      </c>
      <c r="I58" s="11">
        <v>63000</v>
      </c>
      <c r="J58" s="11" t="s">
        <v>456</v>
      </c>
      <c r="Q58" s="58"/>
      <c r="S58" s="58"/>
    </row>
    <row r="59" spans="7:21">
      <c r="G59" s="11">
        <f t="shared" si="6"/>
        <v>36300</v>
      </c>
      <c r="H59" s="48" t="s">
        <v>758</v>
      </c>
      <c r="I59" s="11">
        <v>30000</v>
      </c>
      <c r="J59" s="11" t="s">
        <v>535</v>
      </c>
      <c r="Q59" s="58"/>
      <c r="S59" s="58"/>
    </row>
    <row r="60" spans="7:21">
      <c r="G60" s="11">
        <f t="shared" si="6"/>
        <v>3300</v>
      </c>
      <c r="H60" s="11" t="s">
        <v>6914</v>
      </c>
      <c r="I60" s="11">
        <v>63000</v>
      </c>
      <c r="J60" s="11" t="s">
        <v>542</v>
      </c>
      <c r="Q60" s="58"/>
      <c r="S60" s="58"/>
    </row>
    <row r="61" spans="7:21">
      <c r="G61" s="11">
        <f t="shared" si="6"/>
        <v>23800</v>
      </c>
      <c r="H61" s="11" t="s">
        <v>5658</v>
      </c>
      <c r="I61" s="11">
        <v>42500</v>
      </c>
      <c r="J61" s="11" t="s">
        <v>543</v>
      </c>
      <c r="Q61" s="58"/>
      <c r="S61" s="58"/>
    </row>
    <row r="62" spans="7:21">
      <c r="G62" s="11">
        <f t="shared" si="6"/>
        <v>3300</v>
      </c>
      <c r="H62" s="11" t="s">
        <v>6914</v>
      </c>
      <c r="I62" s="11">
        <v>63000</v>
      </c>
      <c r="J62" s="11" t="s">
        <v>544</v>
      </c>
      <c r="S62" s="58"/>
    </row>
    <row r="63" spans="7:21">
      <c r="G63" s="11">
        <f t="shared" si="6"/>
        <v>66300</v>
      </c>
      <c r="H63" s="11" t="s">
        <v>5285</v>
      </c>
      <c r="I63" s="11">
        <v>0</v>
      </c>
      <c r="J63" s="11" t="s">
        <v>615</v>
      </c>
      <c r="S63" s="7"/>
    </row>
    <row r="64" spans="7:21">
      <c r="G64" s="11">
        <f t="shared" si="6"/>
        <v>15800</v>
      </c>
      <c r="H64" s="11" t="s">
        <v>6168</v>
      </c>
      <c r="I64" s="11">
        <v>50500</v>
      </c>
      <c r="J64" s="11" t="s">
        <v>624</v>
      </c>
      <c r="N64" t="s">
        <v>25</v>
      </c>
    </row>
    <row r="65" spans="7:17">
      <c r="G65" s="11">
        <f t="shared" si="6"/>
        <v>66300</v>
      </c>
      <c r="H65" s="11" t="s">
        <v>682</v>
      </c>
      <c r="I65" s="11">
        <v>0</v>
      </c>
      <c r="J65" s="11" t="s">
        <v>681</v>
      </c>
    </row>
    <row r="66" spans="7:17">
      <c r="G66" s="11">
        <f t="shared" si="6"/>
        <v>66300</v>
      </c>
      <c r="H66" s="11" t="s">
        <v>716</v>
      </c>
      <c r="I66" s="11">
        <v>0</v>
      </c>
      <c r="J66" s="11" t="s">
        <v>715</v>
      </c>
    </row>
    <row r="67" spans="7:17">
      <c r="G67" s="11">
        <f t="shared" si="6"/>
        <v>66300</v>
      </c>
      <c r="H67" s="11" t="s">
        <v>714</v>
      </c>
      <c r="I67" s="11">
        <v>0</v>
      </c>
      <c r="J67" s="11" t="s">
        <v>713</v>
      </c>
    </row>
    <row r="68" spans="7:17">
      <c r="G68" s="11">
        <f t="shared" si="6"/>
        <v>66300</v>
      </c>
      <c r="H68" s="11" t="s">
        <v>1065</v>
      </c>
      <c r="I68" s="11">
        <v>0</v>
      </c>
      <c r="J68" s="11" t="s">
        <v>752</v>
      </c>
      <c r="M68" t="s">
        <v>25</v>
      </c>
    </row>
    <row r="69" spans="7:17">
      <c r="G69" s="11">
        <f t="shared" si="6"/>
        <v>15800</v>
      </c>
      <c r="H69" s="11" t="s">
        <v>6168</v>
      </c>
      <c r="I69" s="11">
        <v>50500</v>
      </c>
      <c r="J69" s="11" t="s">
        <v>6267</v>
      </c>
    </row>
    <row r="70" spans="7:17">
      <c r="G70" s="11">
        <f t="shared" si="6"/>
        <v>66300</v>
      </c>
      <c r="H70" s="11" t="s">
        <v>775</v>
      </c>
      <c r="I70" s="11">
        <v>0</v>
      </c>
      <c r="J70" s="11" t="s">
        <v>776</v>
      </c>
    </row>
    <row r="71" spans="7:17">
      <c r="G71" s="11">
        <f t="shared" si="6"/>
        <v>66300</v>
      </c>
      <c r="H71" s="11" t="s">
        <v>838</v>
      </c>
      <c r="I71" s="11">
        <v>0</v>
      </c>
      <c r="J71" s="11" t="s">
        <v>457</v>
      </c>
    </row>
    <row r="72" spans="7:17">
      <c r="G72" s="11">
        <f t="shared" si="6"/>
        <v>23800</v>
      </c>
      <c r="H72" s="11" t="s">
        <v>5658</v>
      </c>
      <c r="I72" s="11">
        <v>42500</v>
      </c>
      <c r="J72" s="11" t="s">
        <v>1064</v>
      </c>
    </row>
    <row r="73" spans="7:17">
      <c r="G73" s="11">
        <f t="shared" si="6"/>
        <v>66300</v>
      </c>
      <c r="H73" s="11" t="s">
        <v>4674</v>
      </c>
      <c r="I73" s="11">
        <v>0</v>
      </c>
      <c r="J73" s="11" t="s">
        <v>4683</v>
      </c>
      <c r="M73" t="s">
        <v>25</v>
      </c>
      <c r="O73">
        <v>105</v>
      </c>
      <c r="P73">
        <v>5.5</v>
      </c>
      <c r="Q73">
        <f>O73*P73</f>
        <v>577.5</v>
      </c>
    </row>
    <row r="74" spans="7:17">
      <c r="G74" s="11">
        <f t="shared" si="6"/>
        <v>66300</v>
      </c>
      <c r="H74" s="11" t="s">
        <v>5058</v>
      </c>
      <c r="I74" s="11">
        <v>0</v>
      </c>
      <c r="J74" s="11" t="s">
        <v>5089</v>
      </c>
      <c r="O74">
        <v>75</v>
      </c>
      <c r="P74">
        <v>10</v>
      </c>
      <c r="Q74">
        <f>O74*P74</f>
        <v>750</v>
      </c>
    </row>
    <row r="75" spans="7:17">
      <c r="G75" s="11">
        <f>$I$77-I75</f>
        <v>3300</v>
      </c>
      <c r="H75" s="11" t="s">
        <v>6914</v>
      </c>
      <c r="I75" s="11">
        <v>63000</v>
      </c>
      <c r="J75" s="11" t="s">
        <v>6915</v>
      </c>
      <c r="O75">
        <v>45</v>
      </c>
      <c r="P75">
        <v>5.5</v>
      </c>
      <c r="Q75">
        <f>O75*P75</f>
        <v>247.5</v>
      </c>
    </row>
    <row r="76" spans="7:17">
      <c r="G76" s="11">
        <f>$I$77-I76</f>
        <v>300</v>
      </c>
      <c r="H76" s="11" t="s">
        <v>6949</v>
      </c>
      <c r="I76" s="11">
        <v>66000</v>
      </c>
      <c r="J76" s="11" t="s">
        <v>6955</v>
      </c>
      <c r="O76">
        <v>15</v>
      </c>
      <c r="P76">
        <v>10</v>
      </c>
      <c r="Q76">
        <f>O76*P76</f>
        <v>150</v>
      </c>
    </row>
    <row r="77" spans="7:17">
      <c r="G77" s="11"/>
      <c r="H77" s="11" t="s">
        <v>6722</v>
      </c>
      <c r="I77" s="11">
        <v>66300</v>
      </c>
      <c r="J77" s="11" t="s">
        <v>547</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4"/>
  <sheetViews>
    <sheetView zoomScale="85" zoomScaleNormal="85" workbookViewId="0">
      <selection activeCell="B8" sqref="B8"/>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13">
      <c r="A1" s="11" t="s">
        <v>1074</v>
      </c>
      <c r="B1" s="11">
        <v>24</v>
      </c>
      <c r="C1" s="11"/>
      <c r="D1" s="11"/>
      <c r="F1" s="11" t="s">
        <v>1202</v>
      </c>
      <c r="G1" s="11" t="s">
        <v>1203</v>
      </c>
      <c r="I1" s="11" t="s">
        <v>1124</v>
      </c>
      <c r="J1" s="11"/>
    </row>
    <row r="2" spans="1:13">
      <c r="A2" s="11" t="s">
        <v>1073</v>
      </c>
      <c r="B2" s="11">
        <v>21.6</v>
      </c>
      <c r="C2" s="11"/>
      <c r="D2" s="11"/>
      <c r="F2" s="92">
        <v>-0.1</v>
      </c>
      <c r="G2" s="92">
        <v>-0.44</v>
      </c>
      <c r="I2" s="11" t="s">
        <v>3918</v>
      </c>
      <c r="J2" s="11" t="s">
        <v>3647</v>
      </c>
      <c r="L2" s="11" t="s">
        <v>3656</v>
      </c>
      <c r="M2" s="11"/>
    </row>
    <row r="3" spans="1:13">
      <c r="A3" s="11" t="s">
        <v>1075</v>
      </c>
      <c r="B3" s="11">
        <v>31.1</v>
      </c>
      <c r="C3" s="11"/>
      <c r="D3" s="11"/>
      <c r="F3" s="11">
        <v>0</v>
      </c>
      <c r="G3" s="92">
        <v>-0.14000000000000001</v>
      </c>
      <c r="I3" s="11" t="s">
        <v>1095</v>
      </c>
      <c r="J3" s="11" t="s">
        <v>3648</v>
      </c>
      <c r="L3" s="11" t="s">
        <v>3657</v>
      </c>
      <c r="M3" s="11">
        <v>6145</v>
      </c>
    </row>
    <row r="4" spans="1:13">
      <c r="A4" s="11" t="s">
        <v>1076</v>
      </c>
      <c r="B4" s="11">
        <v>8.1329999999999991</v>
      </c>
      <c r="C4" s="11"/>
      <c r="D4" s="11"/>
      <c r="F4" s="93">
        <v>0.113</v>
      </c>
      <c r="G4" s="92">
        <v>0.2</v>
      </c>
      <c r="I4" s="11" t="s">
        <v>3643</v>
      </c>
      <c r="J4" s="11" t="s">
        <v>3644</v>
      </c>
      <c r="L4" s="11" t="s">
        <v>3663</v>
      </c>
      <c r="M4" s="11">
        <v>6110</v>
      </c>
    </row>
    <row r="5" spans="1:13" ht="17.25" customHeight="1">
      <c r="A5" s="11" t="s">
        <v>1077</v>
      </c>
      <c r="B5" s="11">
        <v>1870</v>
      </c>
      <c r="C5" s="11"/>
      <c r="D5" s="11"/>
      <c r="F5" s="92">
        <v>0.2</v>
      </c>
      <c r="G5" s="92">
        <v>0.46</v>
      </c>
      <c r="I5" s="11"/>
      <c r="J5" s="11"/>
      <c r="L5" s="11" t="s">
        <v>3667</v>
      </c>
      <c r="M5" s="11">
        <v>6150</v>
      </c>
    </row>
    <row r="6" spans="1:13" ht="20.25" customHeight="1">
      <c r="A6" s="11" t="s">
        <v>1078</v>
      </c>
      <c r="B6" s="11">
        <v>41000</v>
      </c>
      <c r="C6" s="11"/>
      <c r="D6" s="11"/>
      <c r="F6" s="92">
        <v>0.25</v>
      </c>
      <c r="G6" s="92">
        <v>0.61</v>
      </c>
      <c r="I6" s="11"/>
      <c r="J6" s="11"/>
      <c r="L6" s="11" t="s">
        <v>3670</v>
      </c>
      <c r="M6" s="11">
        <v>6400</v>
      </c>
    </row>
    <row r="7" spans="1:13" ht="21.75" customHeight="1">
      <c r="A7" s="11" t="s">
        <v>1079</v>
      </c>
      <c r="B7" s="11">
        <v>5000</v>
      </c>
      <c r="C7" s="11"/>
      <c r="D7" s="11"/>
      <c r="F7" s="92">
        <v>0.5</v>
      </c>
      <c r="G7" s="92">
        <v>1.36</v>
      </c>
      <c r="I7" s="11" t="s">
        <v>3645</v>
      </c>
      <c r="J7" s="11" t="s">
        <v>3638</v>
      </c>
      <c r="L7" s="11"/>
      <c r="M7" s="11"/>
    </row>
    <row r="8" spans="1:13" ht="21.75" customHeight="1">
      <c r="A8" s="11" t="s">
        <v>4201</v>
      </c>
      <c r="B8" s="26">
        <f>B2*B4*B5*B6/(B1*B3)+B7</f>
        <v>18050061.061093245</v>
      </c>
      <c r="C8" s="11">
        <f>B2*B4*B5/(B1*B3)+B7/B6</f>
        <v>440.24539173398159</v>
      </c>
      <c r="D8" s="11" t="s">
        <v>4204</v>
      </c>
      <c r="I8" s="11" t="s">
        <v>3843</v>
      </c>
      <c r="J8" s="11" t="s">
        <v>3639</v>
      </c>
      <c r="L8" s="11"/>
      <c r="M8" s="11"/>
    </row>
    <row r="9" spans="1:13">
      <c r="A9" s="11" t="s">
        <v>4202</v>
      </c>
      <c r="B9" s="26">
        <v>21000000</v>
      </c>
      <c r="C9" s="11"/>
      <c r="D9" s="11"/>
      <c r="I9" s="11" t="s">
        <v>3649</v>
      </c>
      <c r="J9" s="11" t="s">
        <v>3650</v>
      </c>
      <c r="L9" s="11"/>
      <c r="M9" s="11"/>
    </row>
    <row r="10" spans="1:13">
      <c r="A10" s="11" t="s">
        <v>4203</v>
      </c>
      <c r="B10" s="26">
        <f>B9-B8</f>
        <v>2949938.9389067553</v>
      </c>
      <c r="C10" s="11"/>
      <c r="D10" s="11"/>
      <c r="I10" s="48">
        <v>35679</v>
      </c>
      <c r="J10" s="11" t="s">
        <v>3681</v>
      </c>
      <c r="L10" s="11"/>
      <c r="M10" s="11"/>
    </row>
    <row r="11" spans="1:13">
      <c r="A11" s="11"/>
      <c r="B11" s="11"/>
      <c r="C11" s="11"/>
      <c r="D11" s="11"/>
      <c r="I11" s="48" t="s">
        <v>4118</v>
      </c>
      <c r="J11" s="11" t="s">
        <v>4117</v>
      </c>
      <c r="L11" s="11"/>
      <c r="M11" s="11"/>
    </row>
    <row r="12" spans="1:13">
      <c r="I12" s="48"/>
      <c r="J12" s="11"/>
      <c r="L12" s="11"/>
      <c r="M12" s="11"/>
    </row>
    <row r="13" spans="1:13">
      <c r="I13" s="11" t="s">
        <v>3651</v>
      </c>
      <c r="J13" s="11" t="s">
        <v>3652</v>
      </c>
      <c r="L13" s="11"/>
      <c r="M13" s="11"/>
    </row>
    <row r="14" spans="1:13">
      <c r="I14" s="11" t="s">
        <v>3844</v>
      </c>
      <c r="J14" s="11" t="s">
        <v>3642</v>
      </c>
      <c r="L14" s="11"/>
      <c r="M14" s="11"/>
    </row>
    <row r="15" spans="1:13" ht="181.5">
      <c r="A15" s="184" t="s">
        <v>4864</v>
      </c>
      <c r="I15" s="11"/>
      <c r="J15" s="11"/>
      <c r="L15" s="11"/>
      <c r="M15" s="11"/>
    </row>
    <row r="16" spans="1:13">
      <c r="I16" s="11" t="s">
        <v>3653</v>
      </c>
      <c r="J16" s="11" t="s">
        <v>3654</v>
      </c>
      <c r="L16" s="11"/>
      <c r="M16" s="11"/>
    </row>
    <row r="17" spans="5:30">
      <c r="I17" s="11" t="s">
        <v>3646</v>
      </c>
      <c r="J17" s="11" t="s">
        <v>3655</v>
      </c>
    </row>
    <row r="18" spans="5:30">
      <c r="I18" s="48">
        <v>35715</v>
      </c>
      <c r="J18" s="11" t="s">
        <v>3682</v>
      </c>
    </row>
    <row r="20" spans="5:30">
      <c r="W20" s="36" t="s">
        <v>4905</v>
      </c>
      <c r="X20" s="36">
        <v>9194342556</v>
      </c>
      <c r="Y20" s="36">
        <v>200</v>
      </c>
      <c r="Z20" s="36" t="s">
        <v>4452</v>
      </c>
      <c r="AA20" t="s">
        <v>4887</v>
      </c>
    </row>
    <row r="21" spans="5:30">
      <c r="O21" s="11"/>
      <c r="P21" s="11"/>
      <c r="Q21" s="432" t="s">
        <v>1051</v>
      </c>
      <c r="R21" s="432"/>
      <c r="S21" s="432"/>
      <c r="T21" s="432"/>
      <c r="W21" s="36" t="s">
        <v>4904</v>
      </c>
      <c r="X21" s="36">
        <v>9035210431</v>
      </c>
      <c r="Y21" s="36">
        <v>50</v>
      </c>
      <c r="Z21" s="36" t="s">
        <v>5166</v>
      </c>
      <c r="AA21" t="s">
        <v>4922</v>
      </c>
    </row>
    <row r="22" spans="5:30">
      <c r="O22" s="11"/>
      <c r="P22" s="11"/>
      <c r="Q22" s="432"/>
      <c r="R22" s="432"/>
      <c r="S22" s="432"/>
      <c r="T22" s="432"/>
      <c r="W22" s="36" t="s">
        <v>4991</v>
      </c>
      <c r="X22" s="36">
        <v>9909620343</v>
      </c>
      <c r="Y22" s="36">
        <v>200</v>
      </c>
      <c r="Z22" s="36" t="s">
        <v>5167</v>
      </c>
      <c r="AA22" t="s">
        <v>5170</v>
      </c>
      <c r="AB22" s="36" t="s">
        <v>5178</v>
      </c>
    </row>
    <row r="23" spans="5:30" ht="15.75">
      <c r="O23" s="136"/>
      <c r="P23" s="11" t="s">
        <v>4047</v>
      </c>
      <c r="Q23" s="433" t="s">
        <v>1052</v>
      </c>
      <c r="R23" s="434" t="s">
        <v>1053</v>
      </c>
      <c r="S23" s="433" t="s">
        <v>1054</v>
      </c>
      <c r="T23" s="435" t="s">
        <v>1055</v>
      </c>
      <c r="W23" s="36" t="s">
        <v>4992</v>
      </c>
      <c r="X23" s="36">
        <v>9378807702</v>
      </c>
      <c r="Y23" s="36">
        <v>0</v>
      </c>
      <c r="Z23" s="36">
        <v>0</v>
      </c>
      <c r="AD23" t="s">
        <v>25</v>
      </c>
    </row>
    <row r="24" spans="5:30">
      <c r="O24" s="11"/>
      <c r="P24" s="11"/>
      <c r="Q24" s="433"/>
      <c r="R24" s="434"/>
      <c r="S24" s="433"/>
      <c r="T24" s="435"/>
      <c r="W24" s="36" t="s">
        <v>5013</v>
      </c>
      <c r="X24" s="36"/>
      <c r="Y24" s="36">
        <v>200</v>
      </c>
      <c r="Z24" s="36" t="s">
        <v>4452</v>
      </c>
      <c r="AA24" t="s">
        <v>5025</v>
      </c>
      <c r="AB24" t="s">
        <v>5073</v>
      </c>
    </row>
    <row r="25" spans="5:30">
      <c r="O25" s="131" t="s">
        <v>4098</v>
      </c>
      <c r="P25" s="131">
        <v>2182188507</v>
      </c>
      <c r="Q25" s="132" t="s">
        <v>1056</v>
      </c>
      <c r="R25" s="132" t="s">
        <v>4048</v>
      </c>
      <c r="S25" s="132" t="s">
        <v>4053</v>
      </c>
      <c r="T25" s="132" t="s">
        <v>1057</v>
      </c>
      <c r="W25" s="36" t="s">
        <v>5030</v>
      </c>
      <c r="X25" s="36">
        <v>9013075723</v>
      </c>
      <c r="Y25" s="36">
        <v>100</v>
      </c>
      <c r="Z25" s="36" t="s">
        <v>5166</v>
      </c>
      <c r="AA25" t="s">
        <v>5094</v>
      </c>
    </row>
    <row r="26" spans="5:30" ht="30">
      <c r="O26" s="131"/>
      <c r="P26" s="131">
        <v>2123095122</v>
      </c>
      <c r="Q26" s="133" t="s">
        <v>1058</v>
      </c>
      <c r="R26" s="133" t="s">
        <v>1059</v>
      </c>
      <c r="S26" s="133" t="s">
        <v>1060</v>
      </c>
      <c r="T26" s="133" t="s">
        <v>1061</v>
      </c>
      <c r="W26" s="36" t="s">
        <v>5168</v>
      </c>
      <c r="X26" s="36">
        <v>9214923916</v>
      </c>
      <c r="Y26" s="36">
        <v>100</v>
      </c>
      <c r="Z26" s="36" t="s">
        <v>4452</v>
      </c>
      <c r="AA26" s="158" t="s">
        <v>5162</v>
      </c>
    </row>
    <row r="27" spans="5:30" ht="30">
      <c r="O27" s="131" t="s">
        <v>4152</v>
      </c>
      <c r="P27" s="131">
        <v>2188831909</v>
      </c>
      <c r="Q27" s="11" t="s">
        <v>4050</v>
      </c>
      <c r="R27" s="11" t="s">
        <v>4051</v>
      </c>
      <c r="S27" s="11" t="s">
        <v>4052</v>
      </c>
      <c r="T27" s="134" t="s">
        <v>4054</v>
      </c>
      <c r="W27" s="36" t="s">
        <v>5169</v>
      </c>
      <c r="X27" s="36" t="s">
        <v>5217</v>
      </c>
      <c r="Y27" s="36">
        <v>80</v>
      </c>
      <c r="Z27" s="36" t="s">
        <v>5166</v>
      </c>
      <c r="AA27" s="158" t="s">
        <v>5162</v>
      </c>
    </row>
    <row r="28" spans="5:30" ht="60">
      <c r="E28" t="s">
        <v>25</v>
      </c>
      <c r="T28" s="22" t="s">
        <v>4041</v>
      </c>
      <c r="W28" s="36" t="s">
        <v>5478</v>
      </c>
      <c r="X28" s="36">
        <v>9373349244</v>
      </c>
      <c r="Y28" s="36" t="s">
        <v>6957</v>
      </c>
      <c r="Z28" s="36" t="s">
        <v>5479</v>
      </c>
      <c r="AA28" t="s">
        <v>5473</v>
      </c>
      <c r="AB28" s="36" t="s">
        <v>5542</v>
      </c>
    </row>
    <row r="29" spans="5:30">
      <c r="W29" s="36" t="s">
        <v>5504</v>
      </c>
      <c r="X29" s="36">
        <v>9332154549</v>
      </c>
      <c r="Y29" s="36">
        <v>260</v>
      </c>
      <c r="Z29" s="36" t="s">
        <v>5479</v>
      </c>
      <c r="AA29" t="s">
        <v>5503</v>
      </c>
      <c r="AB29" s="36" t="s">
        <v>5691</v>
      </c>
    </row>
    <row r="30" spans="5:30">
      <c r="W30" s="36" t="s">
        <v>5690</v>
      </c>
      <c r="X30" s="36">
        <v>9944625742</v>
      </c>
      <c r="Y30" s="36">
        <v>120</v>
      </c>
      <c r="Z30" s="36" t="s">
        <v>4452</v>
      </c>
      <c r="AA30" t="s">
        <v>5679</v>
      </c>
    </row>
    <row r="31" spans="5:30">
      <c r="W31" s="36" t="s">
        <v>6268</v>
      </c>
      <c r="X31" s="36">
        <v>9199190185</v>
      </c>
      <c r="Y31" s="36" t="s">
        <v>6958</v>
      </c>
      <c r="Z31" s="36" t="s">
        <v>5166</v>
      </c>
      <c r="AA31" t="s">
        <v>6120</v>
      </c>
      <c r="AB31" s="36" t="s">
        <v>6956</v>
      </c>
    </row>
    <row r="32" spans="5:30">
      <c r="W32" s="36" t="s">
        <v>6622</v>
      </c>
      <c r="Z32" s="36" t="s">
        <v>5166</v>
      </c>
      <c r="AA32" t="s">
        <v>6623</v>
      </c>
    </row>
    <row r="33" spans="23:27">
      <c r="W33" s="36" t="s">
        <v>6624</v>
      </c>
      <c r="X33" s="36">
        <v>9304634309</v>
      </c>
      <c r="Y33" s="36">
        <v>150</v>
      </c>
      <c r="Z33" s="36" t="s">
        <v>6625</v>
      </c>
      <c r="AA33" t="s">
        <v>6621</v>
      </c>
    </row>
    <row r="50" spans="1:10" ht="14.25" customHeight="1"/>
    <row r="54" spans="1:10" ht="37.5" customHeight="1"/>
    <row r="55" spans="1:10" ht="62.25" customHeight="1"/>
    <row r="60" spans="1:10">
      <c r="A60" s="91"/>
      <c r="B60" s="91"/>
      <c r="C60" s="91"/>
      <c r="D60" s="91"/>
      <c r="E60" s="90"/>
      <c r="F60" s="91"/>
      <c r="G60" s="91"/>
      <c r="H60" s="91"/>
      <c r="I60" s="91"/>
      <c r="J60" s="90"/>
    </row>
    <row r="61" spans="1:10">
      <c r="A61" s="90"/>
      <c r="B61" s="90"/>
      <c r="C61" s="90"/>
      <c r="D61" s="90"/>
      <c r="E61" s="90"/>
      <c r="F61" s="90"/>
      <c r="G61" s="90"/>
      <c r="H61" s="90"/>
      <c r="I61" s="90"/>
      <c r="J61" s="7"/>
    </row>
    <row r="62" spans="1:10">
      <c r="A62" s="90"/>
      <c r="B62" s="90"/>
      <c r="C62" s="90"/>
      <c r="D62" s="90"/>
      <c r="E62" s="90"/>
      <c r="F62" s="90"/>
      <c r="G62" s="90"/>
      <c r="H62" s="90"/>
      <c r="I62" s="90"/>
      <c r="J62" s="7"/>
    </row>
    <row r="63" spans="1:10">
      <c r="A63" s="90"/>
      <c r="B63" s="90"/>
      <c r="C63" s="90"/>
      <c r="D63" s="90"/>
    </row>
    <row r="64" spans="1:10">
      <c r="A64" s="90"/>
      <c r="B64" s="90"/>
      <c r="C64" s="90"/>
      <c r="D64" s="90"/>
    </row>
    <row r="65" spans="1:10">
      <c r="A65" s="90"/>
      <c r="B65" s="90"/>
      <c r="C65" s="90"/>
      <c r="D65" s="90"/>
    </row>
    <row r="66" spans="1:10">
      <c r="A66" s="90"/>
      <c r="B66" s="90"/>
      <c r="C66" s="90"/>
      <c r="D66" s="90"/>
    </row>
    <row r="67" spans="1:10">
      <c r="A67" s="90"/>
      <c r="B67" s="90"/>
      <c r="C67" s="90"/>
      <c r="D67" s="90"/>
    </row>
    <row r="68" spans="1:10">
      <c r="A68" s="90"/>
      <c r="B68" s="90"/>
      <c r="C68" s="90"/>
      <c r="D68" s="90"/>
      <c r="E68" s="90"/>
      <c r="H68" s="90"/>
      <c r="I68" s="90"/>
      <c r="J68" s="7"/>
    </row>
    <row r="69" spans="1:10">
      <c r="A69" s="90"/>
      <c r="B69" s="90"/>
      <c r="C69" s="90"/>
      <c r="D69" s="90"/>
      <c r="E69" s="90"/>
      <c r="H69" s="90"/>
      <c r="I69" s="90"/>
      <c r="J69" s="7"/>
    </row>
    <row r="70" spans="1:10">
      <c r="A70" s="90"/>
      <c r="B70" s="90"/>
      <c r="C70" s="90"/>
      <c r="D70" s="90"/>
      <c r="E70" s="90"/>
      <c r="H70" s="90"/>
      <c r="I70" s="90"/>
      <c r="J70" s="7"/>
    </row>
    <row r="71" spans="1:10">
      <c r="A71" s="90"/>
      <c r="B71" s="90"/>
      <c r="C71" s="90"/>
      <c r="D71" s="90"/>
      <c r="E71" s="90"/>
      <c r="H71" s="90"/>
      <c r="I71" s="90"/>
      <c r="J71" s="7"/>
    </row>
    <row r="72" spans="1:10">
      <c r="A72" s="90"/>
      <c r="B72" s="90"/>
      <c r="C72" s="90"/>
      <c r="D72" s="90"/>
      <c r="E72" s="90"/>
      <c r="F72" s="90"/>
      <c r="G72" s="90"/>
      <c r="H72" s="90"/>
      <c r="I72" s="90"/>
      <c r="J72" s="7"/>
    </row>
    <row r="73" spans="1:10">
      <c r="A73" s="90"/>
      <c r="B73" s="90"/>
      <c r="C73" s="90"/>
      <c r="D73" s="90"/>
      <c r="E73" s="90"/>
      <c r="F73" s="90"/>
      <c r="G73" s="90"/>
      <c r="H73" s="90"/>
      <c r="I73" s="90"/>
      <c r="J73" s="7"/>
    </row>
    <row r="74" spans="1:10">
      <c r="A74" s="90"/>
      <c r="B74" s="90"/>
      <c r="C74" s="90"/>
      <c r="D74" s="90"/>
      <c r="E74" s="90"/>
      <c r="F74" s="90"/>
      <c r="G74" s="90"/>
      <c r="H74" s="90"/>
      <c r="I74" s="90"/>
      <c r="J74" s="7"/>
    </row>
    <row r="75" spans="1:10">
      <c r="A75" s="90"/>
      <c r="B75" s="90"/>
      <c r="C75" s="90"/>
      <c r="D75" s="90"/>
      <c r="E75" s="90"/>
      <c r="F75" s="90"/>
      <c r="G75" s="90"/>
      <c r="H75" s="90"/>
      <c r="I75" s="90"/>
      <c r="J75" s="7"/>
    </row>
    <row r="80" spans="1:10">
      <c r="H80" s="90"/>
      <c r="I80" s="90"/>
      <c r="J80" s="90"/>
    </row>
    <row r="81" spans="1:12">
      <c r="H81" s="90"/>
      <c r="I81" s="90"/>
      <c r="J81" s="90"/>
    </row>
    <row r="82" spans="1:12">
      <c r="H82" s="90"/>
      <c r="I82" s="90"/>
      <c r="J82" s="90"/>
    </row>
    <row r="83" spans="1:12">
      <c r="H83" s="90"/>
      <c r="I83" s="90"/>
      <c r="J83" s="90"/>
    </row>
    <row r="84" spans="1:12">
      <c r="H84" s="90"/>
      <c r="I84" s="90"/>
      <c r="J84" s="90"/>
    </row>
    <row r="85" spans="1:12">
      <c r="G85" t="s">
        <v>25</v>
      </c>
      <c r="H85" s="90"/>
      <c r="I85" s="90"/>
      <c r="J85" s="90"/>
    </row>
    <row r="86" spans="1:12">
      <c r="H86" s="90"/>
      <c r="I86" s="90"/>
      <c r="J86" s="90"/>
    </row>
    <row r="89" spans="1:12">
      <c r="A89" s="11" t="s">
        <v>3840</v>
      </c>
      <c r="B89" s="82">
        <v>3000000</v>
      </c>
      <c r="C89" s="11"/>
      <c r="D89" s="11"/>
      <c r="E89" s="11"/>
      <c r="F89" s="11"/>
      <c r="G89" s="11"/>
      <c r="H89" s="11"/>
      <c r="I89" s="11"/>
      <c r="J89" s="11"/>
      <c r="K89" s="11"/>
      <c r="L89" s="11"/>
    </row>
    <row r="90" spans="1:12">
      <c r="A90" s="11" t="s">
        <v>3816</v>
      </c>
      <c r="B90" s="11" t="s">
        <v>3839</v>
      </c>
      <c r="C90" s="11">
        <v>18</v>
      </c>
      <c r="D90" s="11">
        <v>19</v>
      </c>
      <c r="E90" s="11">
        <v>20</v>
      </c>
      <c r="F90" s="11">
        <v>21</v>
      </c>
      <c r="G90" s="11">
        <v>22</v>
      </c>
      <c r="H90" s="11">
        <v>23</v>
      </c>
      <c r="I90" s="11">
        <v>24</v>
      </c>
      <c r="J90" s="11">
        <v>25</v>
      </c>
      <c r="K90" s="11">
        <v>26</v>
      </c>
      <c r="L90" s="11">
        <v>27</v>
      </c>
    </row>
    <row r="91" spans="1:12">
      <c r="A91" s="101" t="s">
        <v>3817</v>
      </c>
      <c r="B91" s="75">
        <f>116-'اوراق بدون ریسک'!$AD$19</f>
        <v>-142</v>
      </c>
      <c r="C91" s="102">
        <f t="shared" ref="C91:D112" si="0">$B$89/(1+(C$90/36500))^$B91</f>
        <v>3217557.1564527904</v>
      </c>
      <c r="D91" s="102">
        <f t="shared" si="0"/>
        <v>3230092.7909802683</v>
      </c>
      <c r="E91" s="102">
        <f t="shared" ref="E91:K106" si="1">$B$89/(1+(E$90/36500))^$B91</f>
        <v>3242676.9191975724</v>
      </c>
      <c r="F91" s="102">
        <f t="shared" si="1"/>
        <v>3255309.727365376</v>
      </c>
      <c r="G91" s="102">
        <f t="shared" si="1"/>
        <v>3267991.4024544512</v>
      </c>
      <c r="H91" s="102">
        <f t="shared" si="1"/>
        <v>3280722.132148996</v>
      </c>
      <c r="I91" s="102">
        <f t="shared" si="1"/>
        <v>3293502.1048485124</v>
      </c>
      <c r="J91" s="102">
        <f t="shared" si="1"/>
        <v>3306331.5096708997</v>
      </c>
      <c r="K91" s="102">
        <f>$B$89/(1+(K$90/36500))^$B91</f>
        <v>3319210.5364552746</v>
      </c>
      <c r="L91" s="102">
        <f>$B$89/(1+(L$90/36500))^$B91</f>
        <v>3332139.3757645991</v>
      </c>
    </row>
    <row r="92" spans="1:12">
      <c r="A92" s="103" t="s">
        <v>3818</v>
      </c>
      <c r="B92" s="77">
        <f>120-'اوراق بدون ریسک'!$AD$19</f>
        <v>-138</v>
      </c>
      <c r="C92" s="104">
        <f t="shared" si="0"/>
        <v>3211218.0117012928</v>
      </c>
      <c r="D92" s="104">
        <f t="shared" si="0"/>
        <v>3223375.8618033165</v>
      </c>
      <c r="E92" s="104">
        <f t="shared" si="1"/>
        <v>3235579.4073963067</v>
      </c>
      <c r="F92" s="104">
        <f t="shared" si="1"/>
        <v>3247828.8189692604</v>
      </c>
      <c r="G92" s="104">
        <f t="shared" si="1"/>
        <v>3260124.2676423932</v>
      </c>
      <c r="H92" s="104">
        <f t="shared" si="1"/>
        <v>3272465.9251700793</v>
      </c>
      <c r="I92" s="104">
        <f t="shared" si="1"/>
        <v>3284853.9639423825</v>
      </c>
      <c r="J92" s="104">
        <f t="shared" si="1"/>
        <v>3297288.5569877676</v>
      </c>
      <c r="K92" s="104">
        <f t="shared" si="1"/>
        <v>3309769.8779755398</v>
      </c>
      <c r="L92" s="104">
        <f t="shared" ref="L92:L112" si="2">$B$89/(1+(L$90/36500))^$B92</f>
        <v>3322298.1012181118</v>
      </c>
    </row>
    <row r="93" spans="1:12">
      <c r="A93" s="105" t="s">
        <v>3819</v>
      </c>
      <c r="B93" s="106">
        <f>137-'اوراق بدون ریسک'!$AD$19</f>
        <v>-121</v>
      </c>
      <c r="C93" s="107">
        <f t="shared" si="0"/>
        <v>3184415.6822321652</v>
      </c>
      <c r="D93" s="107">
        <f t="shared" si="0"/>
        <v>3194984.3899087701</v>
      </c>
      <c r="E93" s="107">
        <f t="shared" si="1"/>
        <v>3205587.883064114</v>
      </c>
      <c r="F93" s="107">
        <f t="shared" si="1"/>
        <v>3216226.2752327109</v>
      </c>
      <c r="G93" s="107">
        <f t="shared" si="1"/>
        <v>3226899.680316363</v>
      </c>
      <c r="H93" s="107">
        <f t="shared" si="1"/>
        <v>3237608.2125858543</v>
      </c>
      <c r="I93" s="107">
        <f t="shared" si="1"/>
        <v>3248351.9866814702</v>
      </c>
      <c r="J93" s="107">
        <f t="shared" si="1"/>
        <v>3259131.1176144872</v>
      </c>
      <c r="K93" s="107">
        <f t="shared" si="1"/>
        <v>3269945.7207684522</v>
      </c>
      <c r="L93" s="107">
        <f t="shared" si="2"/>
        <v>3280795.9119002968</v>
      </c>
    </row>
    <row r="94" spans="1:12">
      <c r="A94" s="108" t="s">
        <v>3820</v>
      </c>
      <c r="B94" s="109">
        <f>116-'اوراق بدون ریسک'!$AD$19</f>
        <v>-142</v>
      </c>
      <c r="C94" s="110">
        <f t="shared" si="0"/>
        <v>3217557.1564527904</v>
      </c>
      <c r="D94" s="110">
        <f t="shared" si="0"/>
        <v>3230092.7909802683</v>
      </c>
      <c r="E94" s="110">
        <f t="shared" si="1"/>
        <v>3242676.9191975724</v>
      </c>
      <c r="F94" s="110">
        <f t="shared" si="1"/>
        <v>3255309.727365376</v>
      </c>
      <c r="G94" s="110">
        <f t="shared" si="1"/>
        <v>3267991.4024544512</v>
      </c>
      <c r="H94" s="110">
        <f t="shared" si="1"/>
        <v>3280722.132148996</v>
      </c>
      <c r="I94" s="110">
        <f t="shared" si="1"/>
        <v>3293502.1048485124</v>
      </c>
      <c r="J94" s="110">
        <f t="shared" si="1"/>
        <v>3306331.5096708997</v>
      </c>
      <c r="K94" s="110">
        <f t="shared" si="1"/>
        <v>3319210.5364552746</v>
      </c>
      <c r="L94" s="110">
        <f t="shared" si="2"/>
        <v>3332139.3757645991</v>
      </c>
    </row>
    <row r="95" spans="1:12">
      <c r="A95" s="111" t="s">
        <v>3821</v>
      </c>
      <c r="B95" s="112">
        <f>167-'اوراق بدون ریسک'!$AD$19</f>
        <v>-91</v>
      </c>
      <c r="C95" s="113">
        <f t="shared" si="0"/>
        <v>3137662.0080064135</v>
      </c>
      <c r="D95" s="113">
        <f t="shared" si="0"/>
        <v>3145490.4590472835</v>
      </c>
      <c r="E95" s="113">
        <f t="shared" si="1"/>
        <v>3153338.2268681377</v>
      </c>
      <c r="F95" s="113">
        <f t="shared" si="1"/>
        <v>3161205.3586024311</v>
      </c>
      <c r="G95" s="113">
        <f t="shared" si="1"/>
        <v>3169091.9014972127</v>
      </c>
      <c r="H95" s="113">
        <f t="shared" si="1"/>
        <v>3176997.9029137958</v>
      </c>
      <c r="I95" s="113">
        <f t="shared" si="1"/>
        <v>3184923.4103275235</v>
      </c>
      <c r="J95" s="113">
        <f t="shared" si="1"/>
        <v>3192868.4713282729</v>
      </c>
      <c r="K95" s="113">
        <f t="shared" si="1"/>
        <v>3200833.133620793</v>
      </c>
      <c r="L95" s="113">
        <f t="shared" si="2"/>
        <v>3208817.4450249169</v>
      </c>
    </row>
    <row r="96" spans="1:12">
      <c r="A96" s="116" t="s">
        <v>3822</v>
      </c>
      <c r="B96" s="23">
        <f>181-'اوراق بدون ریسک'!$AD$19</f>
        <v>-77</v>
      </c>
      <c r="C96" s="117">
        <f t="shared" si="0"/>
        <v>3116079.1579030892</v>
      </c>
      <c r="D96" s="117">
        <f t="shared" si="0"/>
        <v>3122656.4058796666</v>
      </c>
      <c r="E96" s="117">
        <f t="shared" si="1"/>
        <v>3129247.3560755816</v>
      </c>
      <c r="F96" s="117">
        <f t="shared" si="1"/>
        <v>3135852.036659963</v>
      </c>
      <c r="G96" s="117">
        <f t="shared" si="1"/>
        <v>3142470.4758589836</v>
      </c>
      <c r="H96" s="117">
        <f t="shared" si="1"/>
        <v>3149102.7019563015</v>
      </c>
      <c r="I96" s="117">
        <f t="shared" si="1"/>
        <v>3155748.7432927461</v>
      </c>
      <c r="J96" s="117">
        <f t="shared" si="1"/>
        <v>3162408.6282666423</v>
      </c>
      <c r="K96" s="117">
        <f t="shared" si="1"/>
        <v>3169082.3853339623</v>
      </c>
      <c r="L96" s="117">
        <f t="shared" si="2"/>
        <v>3175770.0430084015</v>
      </c>
    </row>
    <row r="97" spans="1:12">
      <c r="A97" s="118" t="s">
        <v>3823</v>
      </c>
      <c r="B97" s="73">
        <f>197-'اوراق بدون ریسک'!$AD$19</f>
        <v>-61</v>
      </c>
      <c r="C97" s="100">
        <f t="shared" si="0"/>
        <v>3091594.7724468824</v>
      </c>
      <c r="D97" s="100">
        <f t="shared" si="0"/>
        <v>3096763.24529398</v>
      </c>
      <c r="E97" s="100">
        <f t="shared" si="1"/>
        <v>3101940.2168201357</v>
      </c>
      <c r="F97" s="100">
        <f t="shared" si="1"/>
        <v>3107125.7007667026</v>
      </c>
      <c r="G97" s="100">
        <f t="shared" si="1"/>
        <v>3112319.7108968063</v>
      </c>
      <c r="H97" s="100">
        <f t="shared" si="1"/>
        <v>3117522.2609956255</v>
      </c>
      <c r="I97" s="100">
        <f t="shared" si="1"/>
        <v>3122733.3648700994</v>
      </c>
      <c r="J97" s="100">
        <f t="shared" si="1"/>
        <v>3127953.036349121</v>
      </c>
      <c r="K97" s="100">
        <f t="shared" si="1"/>
        <v>3133181.2892836044</v>
      </c>
      <c r="L97" s="100">
        <f t="shared" si="2"/>
        <v>3138418.1375464816</v>
      </c>
    </row>
    <row r="98" spans="1:12">
      <c r="A98" s="119" t="s">
        <v>3824</v>
      </c>
      <c r="B98" s="23">
        <f>214-'اوراق بدون ریسک'!$AD$19</f>
        <v>-44</v>
      </c>
      <c r="C98" s="67">
        <f t="shared" si="0"/>
        <v>3065790.8745569815</v>
      </c>
      <c r="D98" s="67">
        <f t="shared" si="0"/>
        <v>3069486.9764341512</v>
      </c>
      <c r="E98" s="67">
        <f t="shared" si="1"/>
        <v>3073187.4329208727</v>
      </c>
      <c r="F98" s="67">
        <f t="shared" si="1"/>
        <v>3076892.249028136</v>
      </c>
      <c r="G98" s="67">
        <f t="shared" si="1"/>
        <v>3080601.4297725107</v>
      </c>
      <c r="H98" s="67">
        <f t="shared" si="1"/>
        <v>3084314.9801763268</v>
      </c>
      <c r="I98" s="67">
        <f t="shared" si="1"/>
        <v>3088032.9052674524</v>
      </c>
      <c r="J98" s="67">
        <f t="shared" si="1"/>
        <v>3091755.2100794073</v>
      </c>
      <c r="K98" s="67">
        <f t="shared" si="1"/>
        <v>3095481.8996513993</v>
      </c>
      <c r="L98" s="67">
        <f t="shared" si="2"/>
        <v>3099212.9790282971</v>
      </c>
    </row>
    <row r="99" spans="1:12">
      <c r="A99" s="120" t="s">
        <v>3825</v>
      </c>
      <c r="B99" s="121">
        <f>272-'اوراق بدون ریسک'!$AD$19</f>
        <v>14</v>
      </c>
      <c r="C99" s="122">
        <f t="shared" si="0"/>
        <v>2979364.0774102653</v>
      </c>
      <c r="D99" s="122">
        <f t="shared" si="0"/>
        <v>2978222.1054570926</v>
      </c>
      <c r="E99" s="122">
        <f t="shared" si="1"/>
        <v>2977080.6024669758</v>
      </c>
      <c r="F99" s="122">
        <f t="shared" si="1"/>
        <v>2975939.5682344954</v>
      </c>
      <c r="G99" s="122">
        <f t="shared" si="1"/>
        <v>2974799.0025543422</v>
      </c>
      <c r="H99" s="122">
        <f t="shared" si="1"/>
        <v>2973658.9052212676</v>
      </c>
      <c r="I99" s="122">
        <f t="shared" si="1"/>
        <v>2972519.2760301479</v>
      </c>
      <c r="J99" s="122">
        <f t="shared" si="1"/>
        <v>2971380.1147759538</v>
      </c>
      <c r="K99" s="122">
        <f t="shared" si="1"/>
        <v>2970241.4212537399</v>
      </c>
      <c r="L99" s="122">
        <f t="shared" si="2"/>
        <v>2969103.1952586579</v>
      </c>
    </row>
    <row r="100" spans="1:12">
      <c r="A100" s="105" t="s">
        <v>3826</v>
      </c>
      <c r="B100" s="106">
        <f>302-'اوراق بدون ریسک'!$AD$19</f>
        <v>44</v>
      </c>
      <c r="C100" s="107">
        <f t="shared" si="0"/>
        <v>2935620.9762026034</v>
      </c>
      <c r="D100" s="107">
        <f t="shared" si="0"/>
        <v>2932086.0681596296</v>
      </c>
      <c r="E100" s="107">
        <f t="shared" si="1"/>
        <v>2928555.5132724405</v>
      </c>
      <c r="F100" s="107">
        <f t="shared" si="1"/>
        <v>2925029.3060612478</v>
      </c>
      <c r="G100" s="107">
        <f t="shared" si="1"/>
        <v>2921507.4410533565</v>
      </c>
      <c r="H100" s="107">
        <f t="shared" si="1"/>
        <v>2917989.9127829936</v>
      </c>
      <c r="I100" s="107">
        <f t="shared" si="1"/>
        <v>2914476.71579151</v>
      </c>
      <c r="J100" s="107">
        <f t="shared" si="1"/>
        <v>2910967.8446272747</v>
      </c>
      <c r="K100" s="107">
        <f t="shared" si="1"/>
        <v>2907463.2938456344</v>
      </c>
      <c r="L100" s="107">
        <f t="shared" si="2"/>
        <v>2903963.0580089367</v>
      </c>
    </row>
    <row r="101" spans="1:12">
      <c r="A101" s="108" t="s">
        <v>3827</v>
      </c>
      <c r="B101" s="109">
        <f>319-'اوراق بدون ریسک'!$AD$19</f>
        <v>61</v>
      </c>
      <c r="C101" s="110">
        <f t="shared" si="0"/>
        <v>2911118.9086650042</v>
      </c>
      <c r="D101" s="110">
        <f t="shared" si="0"/>
        <v>2906260.2747164862</v>
      </c>
      <c r="E101" s="110">
        <f t="shared" si="1"/>
        <v>2901409.8824980226</v>
      </c>
      <c r="F101" s="110">
        <f t="shared" si="1"/>
        <v>2896567.7178040124</v>
      </c>
      <c r="G101" s="110">
        <f t="shared" si="1"/>
        <v>2891733.7664537923</v>
      </c>
      <c r="H101" s="110">
        <f t="shared" si="1"/>
        <v>2886908.0142913628</v>
      </c>
      <c r="I101" s="110">
        <f t="shared" si="1"/>
        <v>2882090.4471856453</v>
      </c>
      <c r="J101" s="110">
        <f t="shared" si="1"/>
        <v>2877281.0510302945</v>
      </c>
      <c r="K101" s="110">
        <f t="shared" si="1"/>
        <v>2872479.8117436199</v>
      </c>
      <c r="L101" s="110">
        <f t="shared" si="2"/>
        <v>2867686.7152685788</v>
      </c>
    </row>
    <row r="102" spans="1:12">
      <c r="A102" s="105" t="s">
        <v>3828</v>
      </c>
      <c r="B102" s="106">
        <f>334-'اوراق بدون ریسک'!$AD$19</f>
        <v>76</v>
      </c>
      <c r="C102" s="107">
        <f t="shared" si="0"/>
        <v>2889669.3247753568</v>
      </c>
      <c r="D102" s="107">
        <f t="shared" si="0"/>
        <v>2883661.7805762677</v>
      </c>
      <c r="E102" s="107">
        <f t="shared" si="1"/>
        <v>2877666.8898883355</v>
      </c>
      <c r="F102" s="107">
        <f t="shared" si="1"/>
        <v>2871684.6257144567</v>
      </c>
      <c r="G102" s="107">
        <f t="shared" si="1"/>
        <v>2865714.9611159493</v>
      </c>
      <c r="H102" s="107">
        <f t="shared" si="1"/>
        <v>2859757.8692121301</v>
      </c>
      <c r="I102" s="107">
        <f t="shared" si="1"/>
        <v>2853813.3231805689</v>
      </c>
      <c r="J102" s="107">
        <f t="shared" si="1"/>
        <v>2847881.2962567843</v>
      </c>
      <c r="K102" s="107">
        <f t="shared" si="1"/>
        <v>2841961.7617340675</v>
      </c>
      <c r="L102" s="107">
        <f t="shared" si="2"/>
        <v>2836054.692963406</v>
      </c>
    </row>
    <row r="103" spans="1:12">
      <c r="A103" s="108" t="s">
        <v>3829</v>
      </c>
      <c r="B103" s="109">
        <f>349-'اوراق بدون ریسک'!$AD$19</f>
        <v>91</v>
      </c>
      <c r="C103" s="110">
        <f t="shared" si="0"/>
        <v>2868377.7848074716</v>
      </c>
      <c r="D103" s="110">
        <f t="shared" si="0"/>
        <v>2861239.007771764</v>
      </c>
      <c r="E103" s="110">
        <f t="shared" si="1"/>
        <v>2854118.1923699649</v>
      </c>
      <c r="F103" s="110">
        <f t="shared" si="1"/>
        <v>2847015.2929194388</v>
      </c>
      <c r="G103" s="110">
        <f t="shared" si="1"/>
        <v>2839930.2638550876</v>
      </c>
      <c r="H103" s="110">
        <f t="shared" si="1"/>
        <v>2832863.0597286876</v>
      </c>
      <c r="I103" s="110">
        <f t="shared" si="1"/>
        <v>2825813.6352090426</v>
      </c>
      <c r="J103" s="110">
        <f t="shared" si="1"/>
        <v>2818781.9450814673</v>
      </c>
      <c r="K103" s="110">
        <f t="shared" si="1"/>
        <v>2811767.9442474311</v>
      </c>
      <c r="L103" s="110">
        <f t="shared" si="2"/>
        <v>2804771.5877243099</v>
      </c>
    </row>
    <row r="104" spans="1:12">
      <c r="A104" s="120" t="s">
        <v>3830</v>
      </c>
      <c r="B104" s="121">
        <f>361-'اوراق بدون ریسک'!$AD$19</f>
        <v>103</v>
      </c>
      <c r="C104" s="122">
        <f t="shared" si="0"/>
        <v>2851457.5616290164</v>
      </c>
      <c r="D104" s="122">
        <f t="shared" si="0"/>
        <v>2843426.3903290988</v>
      </c>
      <c r="E104" s="122">
        <f t="shared" si="1"/>
        <v>2835418.0579249351</v>
      </c>
      <c r="F104" s="122">
        <f t="shared" si="1"/>
        <v>2827432.4988449803</v>
      </c>
      <c r="G104" s="122">
        <f t="shared" si="1"/>
        <v>2819469.6477078465</v>
      </c>
      <c r="H104" s="122">
        <f t="shared" si="1"/>
        <v>2811529.4393213592</v>
      </c>
      <c r="I104" s="122">
        <f t="shared" si="1"/>
        <v>2803611.8086825064</v>
      </c>
      <c r="J104" s="122">
        <f t="shared" si="1"/>
        <v>2795716.6909766505</v>
      </c>
      <c r="K104" s="122">
        <f t="shared" si="1"/>
        <v>2787844.0215769149</v>
      </c>
      <c r="L104" s="122">
        <f t="shared" si="2"/>
        <v>2779993.7360436968</v>
      </c>
    </row>
    <row r="105" spans="1:12">
      <c r="A105" s="114" t="s">
        <v>3831</v>
      </c>
      <c r="B105" s="79">
        <f>372-'اوراق بدون ریسک'!$AD$19</f>
        <v>114</v>
      </c>
      <c r="C105" s="115">
        <f t="shared" si="0"/>
        <v>2836035.0521084503</v>
      </c>
      <c r="D105" s="115">
        <f t="shared" si="0"/>
        <v>2827195.590342632</v>
      </c>
      <c r="E105" s="115">
        <f t="shared" si="1"/>
        <v>2818383.9206638448</v>
      </c>
      <c r="F105" s="115">
        <f t="shared" si="1"/>
        <v>2809599.9549337644</v>
      </c>
      <c r="G105" s="115">
        <f t="shared" si="1"/>
        <v>2800843.6052961093</v>
      </c>
      <c r="H105" s="115">
        <f t="shared" si="1"/>
        <v>2792114.7841752972</v>
      </c>
      <c r="I105" s="115">
        <f t="shared" si="1"/>
        <v>2783413.4042761032</v>
      </c>
      <c r="J105" s="115">
        <f t="shared" si="1"/>
        <v>2774739.3785824878</v>
      </c>
      <c r="K105" s="115">
        <f t="shared" si="1"/>
        <v>2766092.6203566357</v>
      </c>
      <c r="L105" s="115">
        <f t="shared" si="2"/>
        <v>2757473.0431381152</v>
      </c>
    </row>
    <row r="106" spans="1:12">
      <c r="A106" s="108" t="s">
        <v>3832</v>
      </c>
      <c r="B106" s="109">
        <f>391-'اوراق بدون ریسک'!$AD$19</f>
        <v>133</v>
      </c>
      <c r="C106" s="110">
        <f t="shared" si="0"/>
        <v>2809592.3872270635</v>
      </c>
      <c r="D106" s="110">
        <f t="shared" si="0"/>
        <v>2799378.4914983031</v>
      </c>
      <c r="E106" s="110">
        <f t="shared" si="1"/>
        <v>2789202.0051749391</v>
      </c>
      <c r="F106" s="110">
        <f t="shared" si="1"/>
        <v>2779062.7902225852</v>
      </c>
      <c r="G106" s="110">
        <f t="shared" si="1"/>
        <v>2768960.7091200748</v>
      </c>
      <c r="H106" s="110">
        <f t="shared" si="1"/>
        <v>2758895.6248570471</v>
      </c>
      <c r="I106" s="110">
        <f t="shared" si="1"/>
        <v>2748867.4009326808</v>
      </c>
      <c r="J106" s="110">
        <f t="shared" si="1"/>
        <v>2738875.9013534798</v>
      </c>
      <c r="K106" s="110">
        <f t="shared" si="1"/>
        <v>2728920.990631301</v>
      </c>
      <c r="L106" s="110">
        <f t="shared" si="2"/>
        <v>2719002.533781535</v>
      </c>
    </row>
    <row r="107" spans="1:12">
      <c r="A107" s="114" t="s">
        <v>3833</v>
      </c>
      <c r="B107" s="79">
        <f>407-'اوراق بدون ریسک'!$AD$19</f>
        <v>149</v>
      </c>
      <c r="C107" s="115">
        <f t="shared" si="0"/>
        <v>2787516.2012581616</v>
      </c>
      <c r="D107" s="115">
        <f t="shared" si="0"/>
        <v>2776165.9610758075</v>
      </c>
      <c r="E107" s="115">
        <f t="shared" ref="E107:K112" si="3">$B$89/(1+(E$90/36500))^$B107</f>
        <v>2764862.2458334467</v>
      </c>
      <c r="F107" s="115">
        <f t="shared" si="3"/>
        <v>2753604.8635579641</v>
      </c>
      <c r="G107" s="115">
        <f t="shared" si="3"/>
        <v>2742393.6230737497</v>
      </c>
      <c r="H107" s="115">
        <f t="shared" si="3"/>
        <v>2731228.333998817</v>
      </c>
      <c r="I107" s="115">
        <f t="shared" si="3"/>
        <v>2720108.806742202</v>
      </c>
      <c r="J107" s="115">
        <f t="shared" si="3"/>
        <v>2709034.8525003167</v>
      </c>
      <c r="K107" s="115">
        <f t="shared" si="3"/>
        <v>2698006.2832535785</v>
      </c>
      <c r="L107" s="115">
        <f t="shared" si="2"/>
        <v>2687022.9117632098</v>
      </c>
    </row>
    <row r="108" spans="1:12">
      <c r="A108" s="105" t="s">
        <v>3834</v>
      </c>
      <c r="B108" s="106">
        <f>573-'اوراق بدون ریسک'!$AD$19</f>
        <v>315</v>
      </c>
      <c r="C108" s="107">
        <f t="shared" si="0"/>
        <v>2568464.1517544319</v>
      </c>
      <c r="D108" s="107">
        <f t="shared" si="0"/>
        <v>2546404.4611402908</v>
      </c>
      <c r="E108" s="107">
        <f t="shared" si="3"/>
        <v>2524534.8302110536</v>
      </c>
      <c r="F108" s="107">
        <f t="shared" si="3"/>
        <v>2502853.6163322767</v>
      </c>
      <c r="G108" s="107">
        <f t="shared" si="3"/>
        <v>2481359.1911110641</v>
      </c>
      <c r="H108" s="107">
        <f t="shared" si="3"/>
        <v>2460049.9402711424</v>
      </c>
      <c r="I108" s="107">
        <f t="shared" si="3"/>
        <v>2438924.2635314753</v>
      </c>
      <c r="J108" s="107">
        <f t="shared" si="3"/>
        <v>2417980.5744839157</v>
      </c>
      <c r="K108" s="107">
        <f t="shared" si="3"/>
        <v>2397217.3004723964</v>
      </c>
      <c r="L108" s="107">
        <f t="shared" si="2"/>
        <v>2376632.8824735112</v>
      </c>
    </row>
    <row r="109" spans="1:12">
      <c r="A109" s="114" t="s">
        <v>3835</v>
      </c>
      <c r="B109" s="79">
        <f>579-'اوراق بدون ریسک'!$AD$19</f>
        <v>321</v>
      </c>
      <c r="C109" s="115">
        <f t="shared" si="0"/>
        <v>2560877.4129197043</v>
      </c>
      <c r="D109" s="115">
        <f t="shared" si="0"/>
        <v>2538465.7773826942</v>
      </c>
      <c r="E109" s="115">
        <f t="shared" si="3"/>
        <v>2516250.8839459661</v>
      </c>
      <c r="F109" s="115">
        <f t="shared" si="3"/>
        <v>2494231.000178867</v>
      </c>
      <c r="G109" s="115">
        <f t="shared" si="3"/>
        <v>2472404.4089529421</v>
      </c>
      <c r="H109" s="115">
        <f t="shared" si="3"/>
        <v>2450769.4083052794</v>
      </c>
      <c r="I109" s="115">
        <f t="shared" si="3"/>
        <v>2429324.3113055555</v>
      </c>
      <c r="J109" s="115">
        <f t="shared" si="3"/>
        <v>2408067.4459222043</v>
      </c>
      <c r="K109" s="115">
        <f t="shared" si="3"/>
        <v>2386997.1548902621</v>
      </c>
      <c r="L109" s="115">
        <f t="shared" si="2"/>
        <v>2366111.795580721</v>
      </c>
    </row>
    <row r="110" spans="1:12">
      <c r="A110" s="108" t="s">
        <v>3836</v>
      </c>
      <c r="B110" s="109">
        <f>753-'اوراق بدون ریسک'!$AD$19</f>
        <v>495</v>
      </c>
      <c r="C110" s="110">
        <f t="shared" si="0"/>
        <v>2350346.7518526386</v>
      </c>
      <c r="D110" s="110">
        <f t="shared" si="0"/>
        <v>2318703.2782809054</v>
      </c>
      <c r="E110" s="110">
        <f t="shared" si="3"/>
        <v>2287486.67999769</v>
      </c>
      <c r="F110" s="110">
        <f t="shared" si="3"/>
        <v>2256691.1869371859</v>
      </c>
      <c r="G110" s="110">
        <f t="shared" si="3"/>
        <v>2226311.1071826941</v>
      </c>
      <c r="H110" s="110">
        <f t="shared" si="3"/>
        <v>2196340.8259045873</v>
      </c>
      <c r="I110" s="110">
        <f t="shared" si="3"/>
        <v>2166774.8043161659</v>
      </c>
      <c r="J110" s="110">
        <f t="shared" si="3"/>
        <v>2137607.5786408512</v>
      </c>
      <c r="K110" s="110">
        <f t="shared" si="3"/>
        <v>2108833.7590941023</v>
      </c>
      <c r="L110" s="110">
        <f t="shared" si="2"/>
        <v>2080448.028879639</v>
      </c>
    </row>
    <row r="111" spans="1:12">
      <c r="A111" s="120" t="s">
        <v>3837</v>
      </c>
      <c r="B111" s="121">
        <f>757-'اوراق بدون ریسک'!$AD$19</f>
        <v>499</v>
      </c>
      <c r="C111" s="122">
        <f t="shared" si="0"/>
        <v>2345716.1617646492</v>
      </c>
      <c r="D111" s="122">
        <f t="shared" si="0"/>
        <v>2313881.5698315171</v>
      </c>
      <c r="E111" s="122">
        <f t="shared" si="3"/>
        <v>2282479.8710829928</v>
      </c>
      <c r="F111" s="122">
        <f t="shared" si="3"/>
        <v>2251505.1673379191</v>
      </c>
      <c r="G111" s="122">
        <f t="shared" si="3"/>
        <v>2220951.6409366596</v>
      </c>
      <c r="H111" s="122">
        <f t="shared" si="3"/>
        <v>2190813.5536381504</v>
      </c>
      <c r="I111" s="122">
        <f t="shared" si="3"/>
        <v>2161085.2455355627</v>
      </c>
      <c r="J111" s="122">
        <f t="shared" si="3"/>
        <v>2131761.1339839213</v>
      </c>
      <c r="K111" s="122">
        <f t="shared" si="3"/>
        <v>2102835.7125431285</v>
      </c>
      <c r="L111" s="122">
        <f t="shared" si="2"/>
        <v>2074303.5499359258</v>
      </c>
    </row>
    <row r="112" spans="1:12">
      <c r="A112" s="105" t="s">
        <v>3838</v>
      </c>
      <c r="B112" s="106">
        <f>774-'اوراق بدون ریسک'!$AD$19</f>
        <v>516</v>
      </c>
      <c r="C112" s="107">
        <f t="shared" si="0"/>
        <v>2326137.7160846684</v>
      </c>
      <c r="D112" s="107">
        <f t="shared" si="0"/>
        <v>2293500.9172567888</v>
      </c>
      <c r="E112" s="107">
        <f t="shared" si="3"/>
        <v>2261322.9028952108</v>
      </c>
      <c r="F112" s="107">
        <f t="shared" si="3"/>
        <v>2229597.211441881</v>
      </c>
      <c r="G112" s="107">
        <f t="shared" si="3"/>
        <v>2198317.4725175044</v>
      </c>
      <c r="H112" s="107">
        <f t="shared" si="3"/>
        <v>2167477.4056309345</v>
      </c>
      <c r="I112" s="107">
        <f t="shared" si="3"/>
        <v>2137070.8189104111</v>
      </c>
      <c r="J112" s="107">
        <f t="shared" si="3"/>
        <v>2107091.6078498126</v>
      </c>
      <c r="K112" s="107">
        <f t="shared" si="3"/>
        <v>2077533.7540733698</v>
      </c>
      <c r="L112" s="107">
        <f t="shared" si="2"/>
        <v>2048391.324118353</v>
      </c>
    </row>
    <row r="114" spans="7:12">
      <c r="K114" s="7"/>
      <c r="L114" s="7"/>
    </row>
    <row r="115" spans="7:12">
      <c r="K115" s="7"/>
      <c r="L115" s="7"/>
    </row>
    <row r="116" spans="7:12">
      <c r="K116" s="7"/>
      <c r="L116" s="7"/>
    </row>
    <row r="117" spans="7:12">
      <c r="K117" s="7"/>
      <c r="L117" s="7"/>
    </row>
    <row r="125" spans="7:12">
      <c r="G125" t="s">
        <v>25</v>
      </c>
    </row>
    <row r="144" spans="7:7">
      <c r="G144" t="s">
        <v>25</v>
      </c>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460</v>
      </c>
      <c r="E1" s="11" t="s">
        <v>25</v>
      </c>
      <c r="F1" s="32" t="s">
        <v>280</v>
      </c>
      <c r="G1" s="32" t="s">
        <v>281</v>
      </c>
      <c r="H1" s="32" t="s">
        <v>285</v>
      </c>
      <c r="I1" s="11" t="s">
        <v>35</v>
      </c>
      <c r="J1" s="32" t="s">
        <v>36</v>
      </c>
      <c r="K1" s="32" t="s">
        <v>461</v>
      </c>
    </row>
    <row r="2" spans="1:11">
      <c r="A2" s="2" t="s">
        <v>0</v>
      </c>
      <c r="B2" s="1">
        <v>16700</v>
      </c>
      <c r="C2" s="1">
        <v>16700</v>
      </c>
      <c r="D2" s="3">
        <f>B2-C2</f>
        <v>0</v>
      </c>
      <c r="E2" s="2" t="s">
        <v>1</v>
      </c>
      <c r="F2" s="32">
        <v>1</v>
      </c>
      <c r="G2" s="32">
        <f>G3+F2</f>
        <v>1082</v>
      </c>
      <c r="H2" s="32">
        <f>IF(B2&gt;0,1,0)</f>
        <v>1</v>
      </c>
      <c r="I2" s="11">
        <f>B2*(G2-H2)</f>
        <v>18052700</v>
      </c>
      <c r="J2" s="32">
        <f>C2*(G2-H2)</f>
        <v>18052700</v>
      </c>
      <c r="K2" s="32">
        <f>D2*(G2-H2)</f>
        <v>0</v>
      </c>
    </row>
    <row r="3" spans="1:11">
      <c r="A3" s="2" t="s">
        <v>2</v>
      </c>
      <c r="B3" s="1">
        <v>19900000</v>
      </c>
      <c r="C3" s="1">
        <v>11387000</v>
      </c>
      <c r="D3" s="3">
        <f t="shared" ref="D3:D19" si="0">B3-C3</f>
        <v>8513000</v>
      </c>
      <c r="E3" s="2" t="s">
        <v>9</v>
      </c>
      <c r="F3" s="32">
        <v>0</v>
      </c>
      <c r="G3" s="32">
        <f t="shared" ref="G3:G66" si="1">G4+F3</f>
        <v>1081</v>
      </c>
      <c r="H3" s="32">
        <f t="shared" ref="H3:H66" si="2">IF(B3&gt;0,1,0)</f>
        <v>1</v>
      </c>
      <c r="I3" s="11">
        <f t="shared" ref="I3:I66" si="3">B3*(G3-H3)</f>
        <v>21492000000</v>
      </c>
      <c r="J3" s="32">
        <f t="shared" ref="J3:J66" si="4">C3*(G3-H3)</f>
        <v>12297960000</v>
      </c>
      <c r="K3" s="32">
        <f t="shared" ref="K3:K66" si="5">D3*(G3-H3)</f>
        <v>9194040000</v>
      </c>
    </row>
    <row r="4" spans="1:11">
      <c r="A4" s="2" t="s">
        <v>2</v>
      </c>
      <c r="B4" s="1">
        <v>0</v>
      </c>
      <c r="C4" s="1">
        <v>8500</v>
      </c>
      <c r="D4" s="3">
        <f t="shared" si="0"/>
        <v>-8500</v>
      </c>
      <c r="E4" s="2" t="s">
        <v>10</v>
      </c>
      <c r="F4" s="32">
        <v>2</v>
      </c>
      <c r="G4" s="32">
        <f t="shared" si="1"/>
        <v>1081</v>
      </c>
      <c r="H4" s="32">
        <f t="shared" si="2"/>
        <v>0</v>
      </c>
      <c r="I4" s="11">
        <f t="shared" si="3"/>
        <v>0</v>
      </c>
      <c r="J4" s="32">
        <f t="shared" si="4"/>
        <v>9188500</v>
      </c>
      <c r="K4" s="32">
        <f t="shared" si="5"/>
        <v>-9188500</v>
      </c>
    </row>
    <row r="5" spans="1:11">
      <c r="A5" s="2" t="s">
        <v>3</v>
      </c>
      <c r="B5" s="1">
        <v>2000000</v>
      </c>
      <c r="C5" s="1">
        <v>0</v>
      </c>
      <c r="D5" s="3">
        <f t="shared" si="0"/>
        <v>2000000</v>
      </c>
      <c r="E5" s="2" t="s">
        <v>11</v>
      </c>
      <c r="F5" s="32">
        <v>7</v>
      </c>
      <c r="G5" s="32">
        <f t="shared" si="1"/>
        <v>1079</v>
      </c>
      <c r="H5" s="32">
        <f t="shared" si="2"/>
        <v>1</v>
      </c>
      <c r="I5" s="11">
        <f t="shared" si="3"/>
        <v>2156000000</v>
      </c>
      <c r="J5" s="32">
        <f t="shared" si="4"/>
        <v>0</v>
      </c>
      <c r="K5" s="32">
        <f t="shared" si="5"/>
        <v>2156000000</v>
      </c>
    </row>
    <row r="6" spans="1:11">
      <c r="A6" s="2" t="s">
        <v>7</v>
      </c>
      <c r="B6" s="1">
        <v>-5000</v>
      </c>
      <c r="C6" s="1">
        <v>0</v>
      </c>
      <c r="D6" s="3">
        <f t="shared" si="0"/>
        <v>-5000</v>
      </c>
      <c r="E6" s="2" t="s">
        <v>12</v>
      </c>
      <c r="F6" s="32">
        <v>4</v>
      </c>
      <c r="G6" s="32">
        <f t="shared" si="1"/>
        <v>1072</v>
      </c>
      <c r="H6" s="32">
        <f t="shared" si="2"/>
        <v>0</v>
      </c>
      <c r="I6" s="11">
        <f t="shared" si="3"/>
        <v>-5360000</v>
      </c>
      <c r="J6" s="32">
        <f t="shared" si="4"/>
        <v>0</v>
      </c>
      <c r="K6" s="32">
        <f t="shared" si="5"/>
        <v>-5360000</v>
      </c>
    </row>
    <row r="7" spans="1:11">
      <c r="A7" s="4">
        <v>34701</v>
      </c>
      <c r="B7" s="1">
        <v>-1200500</v>
      </c>
      <c r="C7" s="1">
        <v>0</v>
      </c>
      <c r="D7" s="3">
        <f t="shared" si="0"/>
        <v>-1200500</v>
      </c>
      <c r="E7" s="2" t="s">
        <v>13</v>
      </c>
      <c r="F7" s="32">
        <v>1</v>
      </c>
      <c r="G7" s="32">
        <f t="shared" si="1"/>
        <v>1068</v>
      </c>
      <c r="H7" s="32">
        <f t="shared" si="2"/>
        <v>0</v>
      </c>
      <c r="I7" s="11">
        <f t="shared" si="3"/>
        <v>-1282134000</v>
      </c>
      <c r="J7" s="32">
        <f t="shared" si="4"/>
        <v>0</v>
      </c>
      <c r="K7" s="32">
        <f t="shared" si="5"/>
        <v>-1282134000</v>
      </c>
    </row>
    <row r="8" spans="1:11">
      <c r="A8" s="4">
        <v>34732</v>
      </c>
      <c r="B8" s="1">
        <v>-200000</v>
      </c>
      <c r="C8" s="1">
        <v>0</v>
      </c>
      <c r="D8" s="3">
        <f t="shared" si="0"/>
        <v>-200000</v>
      </c>
      <c r="E8" s="2" t="s">
        <v>14</v>
      </c>
      <c r="F8" s="32">
        <v>2</v>
      </c>
      <c r="G8" s="32">
        <f t="shared" si="1"/>
        <v>1067</v>
      </c>
      <c r="H8" s="32">
        <f t="shared" si="2"/>
        <v>0</v>
      </c>
      <c r="I8" s="11">
        <f t="shared" si="3"/>
        <v>-213400000</v>
      </c>
      <c r="J8" s="32">
        <f t="shared" si="4"/>
        <v>0</v>
      </c>
      <c r="K8" s="32">
        <f t="shared" si="5"/>
        <v>-213400000</v>
      </c>
    </row>
    <row r="9" spans="1:11">
      <c r="A9" s="4">
        <v>34791</v>
      </c>
      <c r="B9" s="1">
        <v>-705500</v>
      </c>
      <c r="C9" s="1">
        <v>0</v>
      </c>
      <c r="D9" s="3">
        <f t="shared" si="0"/>
        <v>-705500</v>
      </c>
      <c r="E9" s="2" t="s">
        <v>15</v>
      </c>
      <c r="F9" s="32">
        <v>9</v>
      </c>
      <c r="G9" s="32">
        <f t="shared" si="1"/>
        <v>1065</v>
      </c>
      <c r="H9" s="32">
        <f t="shared" si="2"/>
        <v>0</v>
      </c>
      <c r="I9" s="11">
        <f t="shared" si="3"/>
        <v>-751357500</v>
      </c>
      <c r="J9" s="32">
        <f t="shared" si="4"/>
        <v>0</v>
      </c>
      <c r="K9" s="32">
        <f t="shared" si="5"/>
        <v>-751357500</v>
      </c>
    </row>
    <row r="10" spans="1:11">
      <c r="A10" s="2" t="s">
        <v>16</v>
      </c>
      <c r="B10" s="1">
        <v>-200000</v>
      </c>
      <c r="C10" s="1">
        <v>0</v>
      </c>
      <c r="D10" s="3">
        <f t="shared" si="0"/>
        <v>-200000</v>
      </c>
      <c r="E10" s="2" t="s">
        <v>18</v>
      </c>
      <c r="F10" s="32">
        <v>0</v>
      </c>
      <c r="G10" s="32">
        <f t="shared" si="1"/>
        <v>1056</v>
      </c>
      <c r="H10" s="32">
        <f t="shared" si="2"/>
        <v>0</v>
      </c>
      <c r="I10" s="11">
        <f t="shared" si="3"/>
        <v>-211200000</v>
      </c>
      <c r="J10" s="32">
        <f t="shared" si="4"/>
        <v>0</v>
      </c>
      <c r="K10" s="32">
        <f t="shared" si="5"/>
        <v>-211200000</v>
      </c>
    </row>
    <row r="11" spans="1:11">
      <c r="A11" s="2" t="s">
        <v>16</v>
      </c>
      <c r="B11" s="1">
        <v>1000000</v>
      </c>
      <c r="C11" s="1">
        <v>0</v>
      </c>
      <c r="D11" s="3">
        <f t="shared" si="0"/>
        <v>1000000</v>
      </c>
      <c r="E11" s="2" t="s">
        <v>17</v>
      </c>
      <c r="F11" s="32">
        <v>4</v>
      </c>
      <c r="G11" s="32">
        <f t="shared" si="1"/>
        <v>1056</v>
      </c>
      <c r="H11" s="32">
        <f t="shared" si="2"/>
        <v>1</v>
      </c>
      <c r="I11" s="11">
        <f t="shared" si="3"/>
        <v>1055000000</v>
      </c>
      <c r="J11" s="32">
        <f t="shared" si="4"/>
        <v>0</v>
      </c>
      <c r="K11" s="32">
        <f t="shared" si="5"/>
        <v>1055000000</v>
      </c>
    </row>
    <row r="12" spans="1:11">
      <c r="A12" s="2" t="s">
        <v>19</v>
      </c>
      <c r="B12" s="1">
        <v>-300000</v>
      </c>
      <c r="C12" s="1">
        <v>0</v>
      </c>
      <c r="D12" s="3">
        <f t="shared" si="0"/>
        <v>-300000</v>
      </c>
      <c r="E12" s="2" t="s">
        <v>20</v>
      </c>
      <c r="F12" s="32">
        <v>5</v>
      </c>
      <c r="G12" s="32">
        <f t="shared" si="1"/>
        <v>1052</v>
      </c>
      <c r="H12" s="32">
        <f t="shared" si="2"/>
        <v>0</v>
      </c>
      <c r="I12" s="11">
        <f t="shared" si="3"/>
        <v>-315600000</v>
      </c>
      <c r="J12" s="32">
        <f t="shared" si="4"/>
        <v>0</v>
      </c>
      <c r="K12" s="32">
        <f t="shared" si="5"/>
        <v>-315600000</v>
      </c>
    </row>
    <row r="13" spans="1:11">
      <c r="A13" s="2" t="s">
        <v>21</v>
      </c>
      <c r="B13" s="1">
        <v>-62000</v>
      </c>
      <c r="C13" s="1">
        <v>0</v>
      </c>
      <c r="D13" s="3">
        <f t="shared" si="0"/>
        <v>-62000</v>
      </c>
      <c r="E13" s="2" t="s">
        <v>22</v>
      </c>
      <c r="F13" s="32">
        <v>0</v>
      </c>
      <c r="G13" s="32">
        <f t="shared" si="1"/>
        <v>1047</v>
      </c>
      <c r="H13" s="32">
        <f t="shared" si="2"/>
        <v>0</v>
      </c>
      <c r="I13" s="11">
        <f t="shared" si="3"/>
        <v>-64914000</v>
      </c>
      <c r="J13" s="32">
        <f t="shared" si="4"/>
        <v>0</v>
      </c>
      <c r="K13" s="32">
        <f t="shared" si="5"/>
        <v>-64914000</v>
      </c>
    </row>
    <row r="14" spans="1:11">
      <c r="A14" s="2" t="s">
        <v>21</v>
      </c>
      <c r="B14" s="1">
        <v>2000000</v>
      </c>
      <c r="C14" s="1">
        <v>0</v>
      </c>
      <c r="D14" s="3">
        <f t="shared" si="0"/>
        <v>2000000</v>
      </c>
      <c r="E14" s="2" t="s">
        <v>24</v>
      </c>
      <c r="F14" s="32">
        <v>1</v>
      </c>
      <c r="G14" s="32">
        <f t="shared" si="1"/>
        <v>1047</v>
      </c>
      <c r="H14" s="32">
        <f t="shared" si="2"/>
        <v>1</v>
      </c>
      <c r="I14" s="11">
        <f t="shared" si="3"/>
        <v>2092000000</v>
      </c>
      <c r="J14" s="32">
        <f t="shared" si="4"/>
        <v>0</v>
      </c>
      <c r="K14" s="32">
        <f t="shared" si="5"/>
        <v>2092000000</v>
      </c>
    </row>
    <row r="15" spans="1:11">
      <c r="A15" s="2" t="s">
        <v>23</v>
      </c>
      <c r="B15" s="1">
        <v>1800000</v>
      </c>
      <c r="C15" s="1">
        <v>0</v>
      </c>
      <c r="D15" s="3">
        <f t="shared" si="0"/>
        <v>1800000</v>
      </c>
      <c r="E15" s="2" t="s">
        <v>24</v>
      </c>
      <c r="F15" s="32">
        <v>0</v>
      </c>
      <c r="G15" s="32">
        <f t="shared" si="1"/>
        <v>1046</v>
      </c>
      <c r="H15" s="32">
        <f t="shared" si="2"/>
        <v>1</v>
      </c>
      <c r="I15" s="11">
        <f t="shared" si="3"/>
        <v>1881000000</v>
      </c>
      <c r="J15" s="32">
        <f t="shared" si="4"/>
        <v>0</v>
      </c>
      <c r="K15" s="32">
        <f t="shared" si="5"/>
        <v>1881000000</v>
      </c>
    </row>
    <row r="16" spans="1:11">
      <c r="A16" s="2" t="s">
        <v>23</v>
      </c>
      <c r="B16" s="1">
        <v>-200000</v>
      </c>
      <c r="C16" s="1">
        <v>0</v>
      </c>
      <c r="D16" s="3">
        <f t="shared" si="0"/>
        <v>-200000</v>
      </c>
      <c r="E16" s="2" t="s">
        <v>26</v>
      </c>
      <c r="F16" s="32">
        <v>4</v>
      </c>
      <c r="G16" s="32">
        <f t="shared" si="1"/>
        <v>1046</v>
      </c>
      <c r="H16" s="32">
        <f t="shared" si="2"/>
        <v>0</v>
      </c>
      <c r="I16" s="11">
        <f t="shared" si="3"/>
        <v>-209200000</v>
      </c>
      <c r="J16" s="32">
        <f t="shared" si="4"/>
        <v>0</v>
      </c>
      <c r="K16" s="32">
        <f t="shared" si="5"/>
        <v>-209200000</v>
      </c>
    </row>
    <row r="17" spans="1:12">
      <c r="A17" s="2" t="s">
        <v>27</v>
      </c>
      <c r="B17" s="1">
        <v>-2000000</v>
      </c>
      <c r="C17" s="1">
        <v>0</v>
      </c>
      <c r="D17" s="3">
        <f t="shared" si="0"/>
        <v>-2000000</v>
      </c>
      <c r="E17" s="2" t="s">
        <v>29</v>
      </c>
      <c r="F17" s="32">
        <v>1</v>
      </c>
      <c r="G17" s="32">
        <f t="shared" si="1"/>
        <v>1042</v>
      </c>
      <c r="H17" s="32">
        <f t="shared" si="2"/>
        <v>0</v>
      </c>
      <c r="I17" s="11">
        <f t="shared" si="3"/>
        <v>-2084000000</v>
      </c>
      <c r="J17" s="32">
        <f t="shared" si="4"/>
        <v>0</v>
      </c>
      <c r="K17" s="32">
        <f t="shared" si="5"/>
        <v>-2084000000</v>
      </c>
      <c r="L17" t="s">
        <v>25</v>
      </c>
    </row>
    <row r="18" spans="1:12">
      <c r="A18" s="2" t="s">
        <v>28</v>
      </c>
      <c r="B18" s="1">
        <v>-300000</v>
      </c>
      <c r="C18" s="1">
        <v>0</v>
      </c>
      <c r="D18" s="3">
        <f t="shared" si="0"/>
        <v>-300000</v>
      </c>
      <c r="E18" s="2" t="s">
        <v>29</v>
      </c>
      <c r="F18" s="32">
        <v>1</v>
      </c>
      <c r="G18" s="32">
        <f t="shared" si="1"/>
        <v>1041</v>
      </c>
      <c r="H18" s="32">
        <f t="shared" si="2"/>
        <v>0</v>
      </c>
      <c r="I18" s="11">
        <f t="shared" si="3"/>
        <v>-312300000</v>
      </c>
      <c r="J18" s="32">
        <f t="shared" si="4"/>
        <v>0</v>
      </c>
      <c r="K18" s="32">
        <f t="shared" si="5"/>
        <v>-312300000</v>
      </c>
    </row>
    <row r="19" spans="1:12">
      <c r="A19" s="2" t="s">
        <v>30</v>
      </c>
      <c r="B19" s="1">
        <v>-200000</v>
      </c>
      <c r="C19" s="1">
        <v>0</v>
      </c>
      <c r="D19" s="3">
        <f t="shared" si="0"/>
        <v>-200000</v>
      </c>
      <c r="E19" s="2" t="s">
        <v>18</v>
      </c>
      <c r="F19" s="32">
        <v>2</v>
      </c>
      <c r="G19" s="32">
        <f t="shared" si="1"/>
        <v>1040</v>
      </c>
      <c r="H19" s="32">
        <f t="shared" si="2"/>
        <v>0</v>
      </c>
      <c r="I19" s="11">
        <f t="shared" si="3"/>
        <v>-208000000</v>
      </c>
      <c r="J19" s="32">
        <f t="shared" si="4"/>
        <v>0</v>
      </c>
      <c r="K19" s="32">
        <f t="shared" si="5"/>
        <v>-208000000</v>
      </c>
    </row>
    <row r="20" spans="1:12">
      <c r="A20" s="4">
        <v>34702</v>
      </c>
      <c r="B20" s="1">
        <v>271089</v>
      </c>
      <c r="C20" s="1">
        <v>147452</v>
      </c>
      <c r="D20" s="3">
        <f>B20-C20</f>
        <v>123637</v>
      </c>
      <c r="E20" s="5" t="s">
        <v>31</v>
      </c>
      <c r="F20" s="32">
        <v>2</v>
      </c>
      <c r="G20" s="32">
        <f t="shared" si="1"/>
        <v>1038</v>
      </c>
      <c r="H20" s="32">
        <f t="shared" si="2"/>
        <v>1</v>
      </c>
      <c r="I20" s="11">
        <f t="shared" si="3"/>
        <v>281119293</v>
      </c>
      <c r="J20" s="32">
        <f t="shared" si="4"/>
        <v>152907724</v>
      </c>
      <c r="K20" s="32">
        <f t="shared" si="5"/>
        <v>128211569</v>
      </c>
    </row>
    <row r="21" spans="1:12">
      <c r="A21" s="4">
        <v>34761</v>
      </c>
      <c r="B21" s="1">
        <v>-1505700</v>
      </c>
      <c r="C21" s="1">
        <v>0</v>
      </c>
      <c r="D21" s="3">
        <f t="shared" ref="D21:D84" si="6">B21-C21</f>
        <v>-1505700</v>
      </c>
      <c r="E21" s="2" t="s">
        <v>32</v>
      </c>
      <c r="F21" s="32">
        <v>3</v>
      </c>
      <c r="G21" s="32">
        <f t="shared" si="1"/>
        <v>1036</v>
      </c>
      <c r="H21" s="32">
        <f t="shared" si="2"/>
        <v>0</v>
      </c>
      <c r="I21" s="11">
        <f t="shared" si="3"/>
        <v>-1559905200</v>
      </c>
      <c r="J21" s="32">
        <f t="shared" si="4"/>
        <v>0</v>
      </c>
      <c r="K21" s="32">
        <f t="shared" si="5"/>
        <v>-1559905200</v>
      </c>
    </row>
    <row r="22" spans="1:12">
      <c r="A22" s="4">
        <v>34853</v>
      </c>
      <c r="B22" s="1">
        <v>3000000</v>
      </c>
      <c r="C22" s="1">
        <v>0</v>
      </c>
      <c r="D22" s="3">
        <f t="shared" si="6"/>
        <v>3000000</v>
      </c>
      <c r="E22" s="2" t="s">
        <v>33</v>
      </c>
      <c r="F22" s="32">
        <v>1</v>
      </c>
      <c r="G22" s="32">
        <f t="shared" si="1"/>
        <v>1033</v>
      </c>
      <c r="H22" s="32">
        <f t="shared" si="2"/>
        <v>1</v>
      </c>
      <c r="I22" s="11">
        <f t="shared" si="3"/>
        <v>3096000000</v>
      </c>
      <c r="J22" s="32">
        <f t="shared" si="4"/>
        <v>0</v>
      </c>
      <c r="K22" s="32">
        <f t="shared" si="5"/>
        <v>3096000000</v>
      </c>
    </row>
    <row r="23" spans="1:12">
      <c r="A23" s="4">
        <v>34883</v>
      </c>
      <c r="B23" s="1">
        <v>1000000</v>
      </c>
      <c r="C23" s="1">
        <v>0</v>
      </c>
      <c r="D23" s="3">
        <f t="shared" si="6"/>
        <v>1000000</v>
      </c>
      <c r="E23" s="2" t="s">
        <v>34</v>
      </c>
      <c r="F23" s="32">
        <v>1</v>
      </c>
      <c r="G23" s="32">
        <f t="shared" si="1"/>
        <v>1032</v>
      </c>
      <c r="H23" s="32">
        <f t="shared" si="2"/>
        <v>1</v>
      </c>
      <c r="I23" s="11">
        <f t="shared" si="3"/>
        <v>1031000000</v>
      </c>
      <c r="J23" s="32">
        <f t="shared" si="4"/>
        <v>0</v>
      </c>
      <c r="K23" s="32">
        <f t="shared" si="5"/>
        <v>1031000000</v>
      </c>
    </row>
    <row r="24" spans="1:12">
      <c r="A24" s="4">
        <v>34914</v>
      </c>
      <c r="B24" s="1">
        <v>-3000900</v>
      </c>
      <c r="C24" s="1">
        <v>0</v>
      </c>
      <c r="D24" s="3">
        <f t="shared" si="6"/>
        <v>-3000900</v>
      </c>
      <c r="E24" s="2" t="s">
        <v>43</v>
      </c>
      <c r="F24" s="32">
        <v>15</v>
      </c>
      <c r="G24" s="32">
        <f t="shared" si="1"/>
        <v>1031</v>
      </c>
      <c r="H24" s="32">
        <f t="shared" si="2"/>
        <v>0</v>
      </c>
      <c r="I24" s="11">
        <f t="shared" si="3"/>
        <v>-3093927900</v>
      </c>
      <c r="J24" s="32">
        <f t="shared" si="4"/>
        <v>0</v>
      </c>
      <c r="K24" s="32">
        <f t="shared" si="5"/>
        <v>-3093927900</v>
      </c>
    </row>
    <row r="25" spans="1:12">
      <c r="A25" s="4" t="s">
        <v>44</v>
      </c>
      <c r="B25" s="1">
        <v>1500000</v>
      </c>
      <c r="C25" s="1">
        <v>0</v>
      </c>
      <c r="D25" s="3">
        <f t="shared" si="6"/>
        <v>1500000</v>
      </c>
      <c r="E25" s="2" t="s">
        <v>45</v>
      </c>
      <c r="F25" s="32">
        <v>8</v>
      </c>
      <c r="G25" s="32">
        <f t="shared" si="1"/>
        <v>1016</v>
      </c>
      <c r="H25" s="32">
        <f t="shared" si="2"/>
        <v>1</v>
      </c>
      <c r="I25" s="11">
        <f t="shared" si="3"/>
        <v>1522500000</v>
      </c>
      <c r="J25" s="32">
        <f t="shared" si="4"/>
        <v>0</v>
      </c>
      <c r="K25" s="32">
        <f t="shared" si="5"/>
        <v>1522500000</v>
      </c>
    </row>
    <row r="26" spans="1:12">
      <c r="A26" s="4" t="s">
        <v>46</v>
      </c>
      <c r="B26" s="1">
        <v>-164000</v>
      </c>
      <c r="C26" s="1">
        <v>0</v>
      </c>
      <c r="D26" s="3">
        <f t="shared" si="6"/>
        <v>-164000</v>
      </c>
      <c r="E26" s="2" t="s">
        <v>47</v>
      </c>
      <c r="F26" s="32">
        <v>1</v>
      </c>
      <c r="G26" s="32">
        <f t="shared" si="1"/>
        <v>1008</v>
      </c>
      <c r="H26" s="32">
        <f t="shared" si="2"/>
        <v>0</v>
      </c>
      <c r="I26" s="11">
        <f t="shared" si="3"/>
        <v>-165312000</v>
      </c>
      <c r="J26" s="32">
        <f t="shared" si="4"/>
        <v>0</v>
      </c>
      <c r="K26" s="32">
        <f t="shared" si="5"/>
        <v>-165312000</v>
      </c>
    </row>
    <row r="27" spans="1:12">
      <c r="A27" s="4">
        <v>34703</v>
      </c>
      <c r="B27" s="1">
        <v>199393</v>
      </c>
      <c r="C27" s="1">
        <v>107413</v>
      </c>
      <c r="D27" s="3">
        <f t="shared" si="6"/>
        <v>91980</v>
      </c>
      <c r="E27" s="5" t="s">
        <v>48</v>
      </c>
      <c r="F27" s="32">
        <v>2</v>
      </c>
      <c r="G27" s="32">
        <f t="shared" si="1"/>
        <v>1007</v>
      </c>
      <c r="H27" s="32">
        <f t="shared" si="2"/>
        <v>1</v>
      </c>
      <c r="I27" s="11">
        <f t="shared" si="3"/>
        <v>200589358</v>
      </c>
      <c r="J27" s="32">
        <f t="shared" si="4"/>
        <v>108057478</v>
      </c>
      <c r="K27" s="32">
        <f t="shared" si="5"/>
        <v>92531880</v>
      </c>
    </row>
    <row r="28" spans="1:12">
      <c r="A28" s="4">
        <v>34762</v>
      </c>
      <c r="B28" s="1">
        <v>-221000</v>
      </c>
      <c r="C28" s="1">
        <v>-221000</v>
      </c>
      <c r="D28" s="3">
        <f>B28-C28</f>
        <v>0</v>
      </c>
      <c r="E28" s="2" t="s">
        <v>49</v>
      </c>
      <c r="F28" s="32">
        <v>0</v>
      </c>
      <c r="G28" s="32">
        <f t="shared" si="1"/>
        <v>1005</v>
      </c>
      <c r="H28" s="32">
        <f t="shared" si="2"/>
        <v>0</v>
      </c>
      <c r="I28" s="11">
        <f t="shared" si="3"/>
        <v>-222105000</v>
      </c>
      <c r="J28" s="32">
        <f t="shared" si="4"/>
        <v>-222105000</v>
      </c>
      <c r="K28" s="32">
        <f t="shared" si="5"/>
        <v>0</v>
      </c>
    </row>
    <row r="29" spans="1:12">
      <c r="A29" s="4">
        <v>34762</v>
      </c>
      <c r="B29" s="1">
        <v>-500500</v>
      </c>
      <c r="C29" s="1">
        <v>0</v>
      </c>
      <c r="D29" s="3">
        <f t="shared" si="6"/>
        <v>-500500</v>
      </c>
      <c r="E29" s="2" t="s">
        <v>50</v>
      </c>
      <c r="F29" s="32">
        <v>0</v>
      </c>
      <c r="G29" s="32">
        <f t="shared" si="1"/>
        <v>1005</v>
      </c>
      <c r="H29" s="32">
        <f t="shared" si="2"/>
        <v>0</v>
      </c>
      <c r="I29" s="11">
        <f t="shared" si="3"/>
        <v>-503002500</v>
      </c>
      <c r="J29" s="32">
        <f t="shared" si="4"/>
        <v>0</v>
      </c>
      <c r="K29" s="32">
        <f t="shared" si="5"/>
        <v>-503002500</v>
      </c>
    </row>
    <row r="30" spans="1:12">
      <c r="A30" s="4">
        <v>34762</v>
      </c>
      <c r="B30" s="1">
        <v>-15000000</v>
      </c>
      <c r="C30" s="1">
        <v>-15000000</v>
      </c>
      <c r="D30" s="3">
        <f t="shared" si="6"/>
        <v>0</v>
      </c>
      <c r="E30" s="2" t="s">
        <v>51</v>
      </c>
      <c r="F30" s="32">
        <v>17</v>
      </c>
      <c r="G30" s="32">
        <f t="shared" si="1"/>
        <v>1005</v>
      </c>
      <c r="H30" s="32">
        <f t="shared" si="2"/>
        <v>0</v>
      </c>
      <c r="I30" s="11">
        <f t="shared" si="3"/>
        <v>-15075000000</v>
      </c>
      <c r="J30" s="32">
        <f t="shared" si="4"/>
        <v>-15075000000</v>
      </c>
      <c r="K30" s="32">
        <f t="shared" si="5"/>
        <v>0</v>
      </c>
    </row>
    <row r="31" spans="1:12">
      <c r="A31" s="4" t="s">
        <v>52</v>
      </c>
      <c r="B31" s="1">
        <v>-3010900</v>
      </c>
      <c r="C31" s="1">
        <v>0</v>
      </c>
      <c r="D31" s="3">
        <f t="shared" si="6"/>
        <v>-3010900</v>
      </c>
      <c r="E31" s="2" t="s">
        <v>53</v>
      </c>
      <c r="F31" s="32">
        <v>2</v>
      </c>
      <c r="G31" s="32">
        <f t="shared" si="1"/>
        <v>988</v>
      </c>
      <c r="H31" s="32">
        <f t="shared" si="2"/>
        <v>0</v>
      </c>
      <c r="I31" s="11">
        <f t="shared" si="3"/>
        <v>-2974769200</v>
      </c>
      <c r="J31" s="32">
        <f t="shared" si="4"/>
        <v>0</v>
      </c>
      <c r="K31" s="32">
        <f t="shared" si="5"/>
        <v>-2974769200</v>
      </c>
    </row>
    <row r="32" spans="1:12">
      <c r="A32" s="4" t="s">
        <v>54</v>
      </c>
      <c r="B32" s="1">
        <v>-3005900</v>
      </c>
      <c r="C32" s="1">
        <v>0</v>
      </c>
      <c r="D32" s="3">
        <f t="shared" si="6"/>
        <v>-3005900</v>
      </c>
      <c r="E32" s="2" t="s">
        <v>53</v>
      </c>
      <c r="F32" s="32">
        <v>1</v>
      </c>
      <c r="G32" s="32">
        <f t="shared" si="1"/>
        <v>986</v>
      </c>
      <c r="H32" s="32">
        <f t="shared" si="2"/>
        <v>0</v>
      </c>
      <c r="I32" s="11">
        <f t="shared" si="3"/>
        <v>-2963817400</v>
      </c>
      <c r="J32" s="32">
        <f t="shared" si="4"/>
        <v>0</v>
      </c>
      <c r="K32" s="32">
        <f t="shared" si="5"/>
        <v>-2963817400</v>
      </c>
    </row>
    <row r="33" spans="1:11">
      <c r="A33" s="4" t="s">
        <v>55</v>
      </c>
      <c r="B33" s="1">
        <v>-895500</v>
      </c>
      <c r="C33" s="1">
        <v>0</v>
      </c>
      <c r="D33" s="3">
        <f t="shared" si="6"/>
        <v>-895500</v>
      </c>
      <c r="E33" s="2" t="s">
        <v>53</v>
      </c>
      <c r="F33" s="32">
        <v>0</v>
      </c>
      <c r="G33" s="32">
        <f t="shared" si="1"/>
        <v>985</v>
      </c>
      <c r="H33" s="32">
        <f t="shared" si="2"/>
        <v>0</v>
      </c>
      <c r="I33" s="11">
        <f t="shared" si="3"/>
        <v>-882067500</v>
      </c>
      <c r="J33" s="32">
        <f t="shared" si="4"/>
        <v>0</v>
      </c>
      <c r="K33" s="32">
        <f t="shared" si="5"/>
        <v>-882067500</v>
      </c>
    </row>
    <row r="34" spans="1:11">
      <c r="A34" s="4" t="s">
        <v>55</v>
      </c>
      <c r="B34" s="1">
        <v>0</v>
      </c>
      <c r="C34" s="1">
        <v>1000000</v>
      </c>
      <c r="D34" s="3">
        <f t="shared" si="6"/>
        <v>-1000000</v>
      </c>
      <c r="E34" s="2" t="s">
        <v>56</v>
      </c>
      <c r="F34" s="32">
        <v>9</v>
      </c>
      <c r="G34" s="32">
        <f t="shared" si="1"/>
        <v>985</v>
      </c>
      <c r="H34" s="32">
        <f t="shared" si="2"/>
        <v>0</v>
      </c>
      <c r="I34" s="11">
        <f t="shared" si="3"/>
        <v>0</v>
      </c>
      <c r="J34" s="32">
        <f t="shared" si="4"/>
        <v>985000000</v>
      </c>
      <c r="K34" s="32">
        <f t="shared" si="5"/>
        <v>-985000000</v>
      </c>
    </row>
    <row r="35" spans="1:11">
      <c r="A35" s="4" t="s">
        <v>57</v>
      </c>
      <c r="B35" s="1">
        <v>52472</v>
      </c>
      <c r="C35" s="1">
        <v>-21663</v>
      </c>
      <c r="D35" s="3">
        <f t="shared" si="6"/>
        <v>74135</v>
      </c>
      <c r="E35" s="5" t="s">
        <v>68</v>
      </c>
      <c r="F35" s="32">
        <v>0</v>
      </c>
      <c r="G35" s="32">
        <f t="shared" si="1"/>
        <v>976</v>
      </c>
      <c r="H35" s="32">
        <f t="shared" si="2"/>
        <v>1</v>
      </c>
      <c r="I35" s="11">
        <f t="shared" si="3"/>
        <v>51160200</v>
      </c>
      <c r="J35" s="32">
        <f t="shared" si="4"/>
        <v>-21121425</v>
      </c>
      <c r="K35" s="32">
        <f t="shared" si="5"/>
        <v>72281625</v>
      </c>
    </row>
    <row r="36" spans="1:11">
      <c r="A36" s="4" t="s">
        <v>57</v>
      </c>
      <c r="B36" s="1">
        <v>0</v>
      </c>
      <c r="C36" s="1">
        <v>21663</v>
      </c>
      <c r="D36" s="3">
        <f t="shared" si="6"/>
        <v>-21663</v>
      </c>
      <c r="E36" s="2" t="s">
        <v>70</v>
      </c>
      <c r="F36" s="32">
        <v>10</v>
      </c>
      <c r="G36" s="32">
        <f t="shared" si="1"/>
        <v>976</v>
      </c>
      <c r="H36" s="32">
        <f t="shared" si="2"/>
        <v>0</v>
      </c>
      <c r="I36" s="11">
        <f t="shared" si="3"/>
        <v>0</v>
      </c>
      <c r="J36" s="32">
        <f t="shared" si="4"/>
        <v>21143088</v>
      </c>
      <c r="K36" s="32">
        <f t="shared" si="5"/>
        <v>-21143088</v>
      </c>
    </row>
    <row r="37" spans="1:11">
      <c r="A37" s="11" t="s">
        <v>80</v>
      </c>
      <c r="B37" s="1">
        <v>-55000</v>
      </c>
      <c r="C37" s="1">
        <v>0</v>
      </c>
      <c r="D37" s="14">
        <f t="shared" si="6"/>
        <v>-55000</v>
      </c>
      <c r="E37" s="12" t="s">
        <v>81</v>
      </c>
      <c r="F37" s="32">
        <v>1</v>
      </c>
      <c r="G37" s="32">
        <f t="shared" si="1"/>
        <v>966</v>
      </c>
      <c r="H37" s="32">
        <f t="shared" si="2"/>
        <v>0</v>
      </c>
      <c r="I37" s="11">
        <f t="shared" si="3"/>
        <v>-53130000</v>
      </c>
      <c r="J37" s="32">
        <f t="shared" si="4"/>
        <v>0</v>
      </c>
      <c r="K37" s="32">
        <f t="shared" si="5"/>
        <v>-53130000</v>
      </c>
    </row>
    <row r="38" spans="1:11">
      <c r="A38" s="4" t="s">
        <v>71</v>
      </c>
      <c r="B38" s="1">
        <v>3000000</v>
      </c>
      <c r="C38" s="1">
        <v>3000000</v>
      </c>
      <c r="D38" s="3">
        <f t="shared" si="6"/>
        <v>0</v>
      </c>
      <c r="E38" s="2" t="s">
        <v>72</v>
      </c>
      <c r="F38" s="32">
        <v>1</v>
      </c>
      <c r="G38" s="32">
        <f t="shared" si="1"/>
        <v>965</v>
      </c>
      <c r="H38" s="32">
        <f t="shared" si="2"/>
        <v>1</v>
      </c>
      <c r="I38" s="11">
        <f t="shared" si="3"/>
        <v>2892000000</v>
      </c>
      <c r="J38" s="32">
        <f t="shared" si="4"/>
        <v>2892000000</v>
      </c>
      <c r="K38" s="32">
        <f t="shared" si="5"/>
        <v>0</v>
      </c>
    </row>
    <row r="39" spans="1:11">
      <c r="A39" s="4" t="s">
        <v>73</v>
      </c>
      <c r="B39" s="1">
        <v>2500000</v>
      </c>
      <c r="C39" s="1">
        <v>2500000</v>
      </c>
      <c r="D39" s="3">
        <f t="shared" si="6"/>
        <v>0</v>
      </c>
      <c r="E39" s="2" t="s">
        <v>74</v>
      </c>
      <c r="F39" s="32">
        <v>0</v>
      </c>
      <c r="G39" s="32">
        <f t="shared" si="1"/>
        <v>964</v>
      </c>
      <c r="H39" s="32">
        <f t="shared" si="2"/>
        <v>1</v>
      </c>
      <c r="I39" s="11">
        <f t="shared" si="3"/>
        <v>2407500000</v>
      </c>
      <c r="J39" s="32">
        <f t="shared" si="4"/>
        <v>2407500000</v>
      </c>
      <c r="K39" s="32">
        <f t="shared" si="5"/>
        <v>0</v>
      </c>
    </row>
    <row r="40" spans="1:11">
      <c r="A40" s="4" t="s">
        <v>73</v>
      </c>
      <c r="B40" s="1">
        <v>-50000</v>
      </c>
      <c r="C40" s="1">
        <v>0</v>
      </c>
      <c r="D40" s="14">
        <f t="shared" si="6"/>
        <v>-50000</v>
      </c>
      <c r="E40" s="13" t="s">
        <v>75</v>
      </c>
      <c r="F40" s="32">
        <v>0</v>
      </c>
      <c r="G40" s="32">
        <f t="shared" si="1"/>
        <v>964</v>
      </c>
      <c r="H40" s="32">
        <f t="shared" si="2"/>
        <v>0</v>
      </c>
      <c r="I40" s="11">
        <f t="shared" si="3"/>
        <v>-48200000</v>
      </c>
      <c r="J40" s="32">
        <f t="shared" si="4"/>
        <v>0</v>
      </c>
      <c r="K40" s="32">
        <f t="shared" si="5"/>
        <v>-48200000</v>
      </c>
    </row>
    <row r="41" spans="1:11">
      <c r="A41" s="4" t="s">
        <v>73</v>
      </c>
      <c r="B41" s="1">
        <v>3000000</v>
      </c>
      <c r="C41" s="1">
        <v>0</v>
      </c>
      <c r="D41" s="3">
        <f t="shared" si="6"/>
        <v>3000000</v>
      </c>
      <c r="E41" s="2" t="s">
        <v>82</v>
      </c>
      <c r="F41" s="32">
        <v>3</v>
      </c>
      <c r="G41" s="32">
        <f t="shared" si="1"/>
        <v>964</v>
      </c>
      <c r="H41" s="32">
        <f t="shared" si="2"/>
        <v>1</v>
      </c>
      <c r="I41" s="11">
        <f t="shared" si="3"/>
        <v>2889000000</v>
      </c>
      <c r="J41" s="32">
        <f t="shared" si="4"/>
        <v>0</v>
      </c>
      <c r="K41" s="32">
        <f t="shared" si="5"/>
        <v>2889000000</v>
      </c>
    </row>
    <row r="42" spans="1:11">
      <c r="A42" s="4" t="s">
        <v>76</v>
      </c>
      <c r="B42" s="1">
        <v>-89200</v>
      </c>
      <c r="C42" s="1">
        <v>0</v>
      </c>
      <c r="D42" s="14">
        <f t="shared" si="6"/>
        <v>-89200</v>
      </c>
      <c r="E42" s="13" t="s">
        <v>77</v>
      </c>
      <c r="F42" s="32">
        <v>4</v>
      </c>
      <c r="G42" s="32">
        <f t="shared" si="1"/>
        <v>961</v>
      </c>
      <c r="H42" s="32">
        <f t="shared" si="2"/>
        <v>0</v>
      </c>
      <c r="I42" s="11">
        <f t="shared" si="3"/>
        <v>-85721200</v>
      </c>
      <c r="J42" s="32">
        <f t="shared" si="4"/>
        <v>0</v>
      </c>
      <c r="K42" s="32">
        <f t="shared" si="5"/>
        <v>-85721200</v>
      </c>
    </row>
    <row r="43" spans="1:11">
      <c r="A43" s="4" t="s">
        <v>78</v>
      </c>
      <c r="B43" s="1">
        <v>-200000</v>
      </c>
      <c r="C43" s="1">
        <v>0</v>
      </c>
      <c r="D43" s="14">
        <f t="shared" si="6"/>
        <v>-200000</v>
      </c>
      <c r="E43" s="13" t="s">
        <v>79</v>
      </c>
      <c r="F43" s="32">
        <v>2</v>
      </c>
      <c r="G43" s="32">
        <f t="shared" si="1"/>
        <v>957</v>
      </c>
      <c r="H43" s="32">
        <f t="shared" si="2"/>
        <v>0</v>
      </c>
      <c r="I43" s="11">
        <f t="shared" si="3"/>
        <v>-191400000</v>
      </c>
      <c r="J43" s="32">
        <f t="shared" si="4"/>
        <v>0</v>
      </c>
      <c r="K43" s="32">
        <f t="shared" si="5"/>
        <v>-191400000</v>
      </c>
    </row>
    <row r="44" spans="1:11">
      <c r="A44" s="11" t="s">
        <v>83</v>
      </c>
      <c r="B44" s="1">
        <v>-200000</v>
      </c>
      <c r="C44" s="1">
        <v>0</v>
      </c>
      <c r="D44" s="15">
        <f t="shared" si="6"/>
        <v>-200000</v>
      </c>
      <c r="E44" s="12" t="s">
        <v>26</v>
      </c>
      <c r="F44" s="32">
        <v>0</v>
      </c>
      <c r="G44" s="32">
        <f t="shared" si="1"/>
        <v>955</v>
      </c>
      <c r="H44" s="32">
        <f t="shared" si="2"/>
        <v>0</v>
      </c>
      <c r="I44" s="11">
        <f t="shared" si="3"/>
        <v>-191000000</v>
      </c>
      <c r="J44" s="32">
        <f t="shared" si="4"/>
        <v>0</v>
      </c>
      <c r="K44" s="32">
        <f t="shared" si="5"/>
        <v>-191000000</v>
      </c>
    </row>
    <row r="45" spans="1:11">
      <c r="A45" s="11" t="s">
        <v>83</v>
      </c>
      <c r="B45" s="1">
        <v>-560000</v>
      </c>
      <c r="C45" s="1">
        <v>0</v>
      </c>
      <c r="D45" s="1">
        <f t="shared" si="6"/>
        <v>-560000</v>
      </c>
      <c r="E45" s="11" t="s">
        <v>84</v>
      </c>
      <c r="F45" s="32">
        <v>4</v>
      </c>
      <c r="G45" s="32">
        <f t="shared" si="1"/>
        <v>955</v>
      </c>
      <c r="H45" s="32">
        <f t="shared" si="2"/>
        <v>0</v>
      </c>
      <c r="I45" s="11">
        <f t="shared" si="3"/>
        <v>-534800000</v>
      </c>
      <c r="J45" s="32">
        <f t="shared" si="4"/>
        <v>0</v>
      </c>
      <c r="K45" s="32">
        <f t="shared" si="5"/>
        <v>-534800000</v>
      </c>
    </row>
    <row r="46" spans="1:11">
      <c r="A46" s="11" t="s">
        <v>87</v>
      </c>
      <c r="B46" s="1">
        <v>-705500</v>
      </c>
      <c r="C46" s="1">
        <v>0</v>
      </c>
      <c r="D46" s="15">
        <f t="shared" si="6"/>
        <v>-705500</v>
      </c>
      <c r="E46" s="16" t="s">
        <v>88</v>
      </c>
      <c r="F46" s="32">
        <v>6</v>
      </c>
      <c r="G46" s="32">
        <f t="shared" si="1"/>
        <v>951</v>
      </c>
      <c r="H46" s="32">
        <f t="shared" si="2"/>
        <v>0</v>
      </c>
      <c r="I46" s="11">
        <f t="shared" si="3"/>
        <v>-670930500</v>
      </c>
      <c r="J46" s="32">
        <f t="shared" si="4"/>
        <v>0</v>
      </c>
      <c r="K46" s="32">
        <f t="shared" si="5"/>
        <v>-670930500</v>
      </c>
    </row>
    <row r="47" spans="1:11">
      <c r="A47" s="4" t="s">
        <v>91</v>
      </c>
      <c r="B47" s="1">
        <v>41204</v>
      </c>
      <c r="C47" s="1">
        <v>6713</v>
      </c>
      <c r="D47" s="3">
        <f t="shared" si="6"/>
        <v>34491</v>
      </c>
      <c r="E47" s="5" t="s">
        <v>92</v>
      </c>
      <c r="F47" s="32">
        <v>0</v>
      </c>
      <c r="G47" s="32">
        <f t="shared" si="1"/>
        <v>945</v>
      </c>
      <c r="H47" s="32">
        <f t="shared" si="2"/>
        <v>1</v>
      </c>
      <c r="I47" s="11">
        <f t="shared" si="3"/>
        <v>38896576</v>
      </c>
      <c r="J47" s="32">
        <f t="shared" si="4"/>
        <v>6337072</v>
      </c>
      <c r="K47" s="32">
        <f t="shared" si="5"/>
        <v>32559504</v>
      </c>
    </row>
    <row r="48" spans="1:11">
      <c r="A48" s="17" t="s">
        <v>91</v>
      </c>
      <c r="B48" s="18">
        <v>1704700</v>
      </c>
      <c r="C48" s="18">
        <v>0</v>
      </c>
      <c r="D48" s="3">
        <f t="shared" si="6"/>
        <v>1704700</v>
      </c>
      <c r="E48" s="19" t="s">
        <v>93</v>
      </c>
      <c r="F48" s="32">
        <v>9</v>
      </c>
      <c r="G48" s="32">
        <f t="shared" si="1"/>
        <v>945</v>
      </c>
      <c r="H48" s="32">
        <f t="shared" si="2"/>
        <v>1</v>
      </c>
      <c r="I48" s="11">
        <f t="shared" si="3"/>
        <v>1609236800</v>
      </c>
      <c r="J48" s="32">
        <f t="shared" si="4"/>
        <v>0</v>
      </c>
      <c r="K48" s="32">
        <f t="shared" si="5"/>
        <v>1609236800</v>
      </c>
    </row>
    <row r="49" spans="1:11">
      <c r="A49" s="20" t="s">
        <v>96</v>
      </c>
      <c r="B49" s="18">
        <v>-155000</v>
      </c>
      <c r="C49" s="18">
        <v>0</v>
      </c>
      <c r="D49" s="3">
        <f t="shared" si="6"/>
        <v>-155000</v>
      </c>
      <c r="E49" s="20" t="s">
        <v>97</v>
      </c>
      <c r="F49" s="32">
        <v>0</v>
      </c>
      <c r="G49" s="32">
        <f t="shared" si="1"/>
        <v>936</v>
      </c>
      <c r="H49" s="32">
        <f t="shared" si="2"/>
        <v>0</v>
      </c>
      <c r="I49" s="11">
        <f t="shared" si="3"/>
        <v>-145080000</v>
      </c>
      <c r="J49" s="32">
        <f t="shared" si="4"/>
        <v>0</v>
      </c>
      <c r="K49" s="32">
        <f t="shared" si="5"/>
        <v>-145080000</v>
      </c>
    </row>
    <row r="50" spans="1:11">
      <c r="A50" s="17" t="s">
        <v>96</v>
      </c>
      <c r="B50" s="18">
        <v>-138000</v>
      </c>
      <c r="C50" s="18">
        <v>0</v>
      </c>
      <c r="D50" s="3">
        <f t="shared" si="6"/>
        <v>-138000</v>
      </c>
      <c r="E50" s="19" t="s">
        <v>98</v>
      </c>
      <c r="F50" s="32">
        <v>0</v>
      </c>
      <c r="G50" s="32">
        <f t="shared" si="1"/>
        <v>936</v>
      </c>
      <c r="H50" s="32">
        <f t="shared" si="2"/>
        <v>0</v>
      </c>
      <c r="I50" s="11">
        <f t="shared" si="3"/>
        <v>-129168000</v>
      </c>
      <c r="J50" s="32">
        <f t="shared" si="4"/>
        <v>0</v>
      </c>
      <c r="K50" s="32">
        <f t="shared" si="5"/>
        <v>-129168000</v>
      </c>
    </row>
    <row r="51" spans="1:11">
      <c r="A51" s="17" t="s">
        <v>96</v>
      </c>
      <c r="B51" s="18">
        <v>-740000</v>
      </c>
      <c r="C51" s="18">
        <v>0</v>
      </c>
      <c r="D51" s="3">
        <f t="shared" si="6"/>
        <v>-740000</v>
      </c>
      <c r="E51" s="19" t="s">
        <v>99</v>
      </c>
      <c r="F51" s="32">
        <v>0</v>
      </c>
      <c r="G51" s="32">
        <f t="shared" si="1"/>
        <v>936</v>
      </c>
      <c r="H51" s="32">
        <f t="shared" si="2"/>
        <v>0</v>
      </c>
      <c r="I51" s="11">
        <f t="shared" si="3"/>
        <v>-692640000</v>
      </c>
      <c r="J51" s="32">
        <f t="shared" si="4"/>
        <v>0</v>
      </c>
      <c r="K51" s="32">
        <f t="shared" si="5"/>
        <v>-692640000</v>
      </c>
    </row>
    <row r="52" spans="1:11">
      <c r="A52" s="17" t="s">
        <v>96</v>
      </c>
      <c r="B52" s="18">
        <v>-200000</v>
      </c>
      <c r="C52" s="18">
        <v>0</v>
      </c>
      <c r="D52" s="3">
        <f t="shared" si="6"/>
        <v>-200000</v>
      </c>
      <c r="E52" s="19" t="s">
        <v>100</v>
      </c>
      <c r="F52" s="32">
        <v>1</v>
      </c>
      <c r="G52" s="32">
        <f t="shared" si="1"/>
        <v>936</v>
      </c>
      <c r="H52" s="32">
        <f t="shared" si="2"/>
        <v>0</v>
      </c>
      <c r="I52" s="11">
        <f t="shared" si="3"/>
        <v>-187200000</v>
      </c>
      <c r="J52" s="32">
        <f t="shared" si="4"/>
        <v>0</v>
      </c>
      <c r="K52" s="32">
        <f t="shared" si="5"/>
        <v>-187200000</v>
      </c>
    </row>
    <row r="53" spans="1:11" ht="30">
      <c r="A53" s="17" t="s">
        <v>101</v>
      </c>
      <c r="B53" s="18">
        <v>-1055000</v>
      </c>
      <c r="C53" s="18">
        <v>0</v>
      </c>
      <c r="D53" s="3">
        <f t="shared" si="6"/>
        <v>-1055000</v>
      </c>
      <c r="E53" s="21" t="s">
        <v>102</v>
      </c>
      <c r="F53" s="32">
        <v>0</v>
      </c>
      <c r="G53" s="32">
        <f t="shared" si="1"/>
        <v>935</v>
      </c>
      <c r="H53" s="32">
        <f t="shared" si="2"/>
        <v>0</v>
      </c>
      <c r="I53" s="11">
        <f t="shared" si="3"/>
        <v>-986425000</v>
      </c>
      <c r="J53" s="32">
        <f t="shared" si="4"/>
        <v>0</v>
      </c>
      <c r="K53" s="32">
        <f t="shared" si="5"/>
        <v>-986425000</v>
      </c>
    </row>
    <row r="54" spans="1:11">
      <c r="A54" s="17" t="s">
        <v>101</v>
      </c>
      <c r="B54" s="18">
        <v>-200000</v>
      </c>
      <c r="C54" s="18">
        <v>0</v>
      </c>
      <c r="D54" s="3">
        <f t="shared" si="6"/>
        <v>-200000</v>
      </c>
      <c r="E54" s="19" t="s">
        <v>100</v>
      </c>
      <c r="F54" s="32">
        <v>0</v>
      </c>
      <c r="G54" s="32">
        <f t="shared" si="1"/>
        <v>935</v>
      </c>
      <c r="H54" s="32">
        <f t="shared" si="2"/>
        <v>0</v>
      </c>
      <c r="I54" s="11">
        <f t="shared" si="3"/>
        <v>-187000000</v>
      </c>
      <c r="J54" s="32">
        <f t="shared" si="4"/>
        <v>0</v>
      </c>
      <c r="K54" s="32">
        <f t="shared" si="5"/>
        <v>-187000000</v>
      </c>
    </row>
    <row r="55" spans="1:11">
      <c r="A55" s="17" t="s">
        <v>101</v>
      </c>
      <c r="B55" s="18">
        <v>-1000500</v>
      </c>
      <c r="C55" s="18">
        <v>0</v>
      </c>
      <c r="D55" s="3">
        <f t="shared" si="6"/>
        <v>-1000500</v>
      </c>
      <c r="E55" s="19" t="s">
        <v>103</v>
      </c>
      <c r="F55" s="32">
        <v>0</v>
      </c>
      <c r="G55" s="32">
        <f t="shared" si="1"/>
        <v>935</v>
      </c>
      <c r="H55" s="32">
        <f t="shared" si="2"/>
        <v>0</v>
      </c>
      <c r="I55" s="11">
        <f t="shared" si="3"/>
        <v>-935467500</v>
      </c>
      <c r="J55" s="32">
        <f t="shared" si="4"/>
        <v>0</v>
      </c>
      <c r="K55" s="32">
        <f t="shared" si="5"/>
        <v>-935467500</v>
      </c>
    </row>
    <row r="56" spans="1:11">
      <c r="A56" s="20" t="s">
        <v>101</v>
      </c>
      <c r="B56" s="18">
        <v>-38000</v>
      </c>
      <c r="C56" s="18">
        <v>0</v>
      </c>
      <c r="D56" s="3">
        <f t="shared" si="6"/>
        <v>-38000</v>
      </c>
      <c r="E56" s="20" t="s">
        <v>104</v>
      </c>
      <c r="F56" s="32">
        <v>0</v>
      </c>
      <c r="G56" s="32">
        <f t="shared" si="1"/>
        <v>935</v>
      </c>
      <c r="H56" s="32">
        <f t="shared" si="2"/>
        <v>0</v>
      </c>
      <c r="I56" s="11">
        <f t="shared" si="3"/>
        <v>-35530000</v>
      </c>
      <c r="J56" s="32">
        <f t="shared" si="4"/>
        <v>0</v>
      </c>
      <c r="K56" s="32">
        <f t="shared" si="5"/>
        <v>-35530000</v>
      </c>
    </row>
    <row r="57" spans="1:11">
      <c r="A57" s="20" t="s">
        <v>101</v>
      </c>
      <c r="B57" s="18">
        <v>-105000</v>
      </c>
      <c r="C57" s="18">
        <v>0</v>
      </c>
      <c r="D57" s="3">
        <f t="shared" si="6"/>
        <v>-105000</v>
      </c>
      <c r="E57" s="20" t="s">
        <v>104</v>
      </c>
      <c r="F57" s="32">
        <v>0</v>
      </c>
      <c r="G57" s="32">
        <f t="shared" si="1"/>
        <v>935</v>
      </c>
      <c r="H57" s="32">
        <f t="shared" si="2"/>
        <v>0</v>
      </c>
      <c r="I57" s="11">
        <f t="shared" si="3"/>
        <v>-98175000</v>
      </c>
      <c r="J57" s="32">
        <f t="shared" si="4"/>
        <v>0</v>
      </c>
      <c r="K57" s="32">
        <f t="shared" si="5"/>
        <v>-98175000</v>
      </c>
    </row>
    <row r="58" spans="1:11">
      <c r="A58" s="20" t="s">
        <v>101</v>
      </c>
      <c r="B58" s="18">
        <v>-60000</v>
      </c>
      <c r="C58" s="18">
        <v>0</v>
      </c>
      <c r="D58" s="3">
        <f t="shared" si="6"/>
        <v>-60000</v>
      </c>
      <c r="E58" s="20" t="s">
        <v>104</v>
      </c>
      <c r="F58" s="32">
        <v>3</v>
      </c>
      <c r="G58" s="32">
        <f t="shared" si="1"/>
        <v>935</v>
      </c>
      <c r="H58" s="32">
        <f t="shared" si="2"/>
        <v>0</v>
      </c>
      <c r="I58" s="11">
        <f t="shared" si="3"/>
        <v>-56100000</v>
      </c>
      <c r="J58" s="32">
        <f t="shared" si="4"/>
        <v>0</v>
      </c>
      <c r="K58" s="32">
        <f t="shared" si="5"/>
        <v>-56100000</v>
      </c>
    </row>
    <row r="59" spans="1:11">
      <c r="A59" s="20" t="s">
        <v>105</v>
      </c>
      <c r="B59" s="18">
        <v>1000000</v>
      </c>
      <c r="C59" s="18">
        <v>1000000</v>
      </c>
      <c r="D59" s="3">
        <f t="shared" si="6"/>
        <v>0</v>
      </c>
      <c r="E59" s="20" t="s">
        <v>106</v>
      </c>
      <c r="F59" s="32">
        <v>1</v>
      </c>
      <c r="G59" s="32">
        <f t="shared" si="1"/>
        <v>932</v>
      </c>
      <c r="H59" s="32">
        <f t="shared" si="2"/>
        <v>1</v>
      </c>
      <c r="I59" s="11">
        <f t="shared" si="3"/>
        <v>931000000</v>
      </c>
      <c r="J59" s="32">
        <f t="shared" si="4"/>
        <v>931000000</v>
      </c>
      <c r="K59" s="32">
        <f t="shared" si="5"/>
        <v>0</v>
      </c>
    </row>
    <row r="60" spans="1:11">
      <c r="A60" s="20" t="s">
        <v>107</v>
      </c>
      <c r="B60" s="18">
        <v>3500000</v>
      </c>
      <c r="C60" s="18">
        <v>3500000</v>
      </c>
      <c r="D60" s="3">
        <f t="shared" si="6"/>
        <v>0</v>
      </c>
      <c r="E60" s="20" t="s">
        <v>106</v>
      </c>
      <c r="F60" s="32">
        <v>2</v>
      </c>
      <c r="G60" s="32">
        <f t="shared" si="1"/>
        <v>931</v>
      </c>
      <c r="H60" s="32">
        <f t="shared" si="2"/>
        <v>1</v>
      </c>
      <c r="I60" s="11">
        <f t="shared" si="3"/>
        <v>3255000000</v>
      </c>
      <c r="J60" s="32">
        <f t="shared" si="4"/>
        <v>3255000000</v>
      </c>
      <c r="K60" s="32">
        <f t="shared" si="5"/>
        <v>0</v>
      </c>
    </row>
    <row r="61" spans="1:11">
      <c r="A61" s="20" t="s">
        <v>111</v>
      </c>
      <c r="B61" s="18">
        <v>1000000</v>
      </c>
      <c r="C61" s="18">
        <v>1000000</v>
      </c>
      <c r="D61" s="3">
        <f t="shared" si="6"/>
        <v>0</v>
      </c>
      <c r="E61" s="20" t="s">
        <v>112</v>
      </c>
      <c r="F61" s="32">
        <v>0</v>
      </c>
      <c r="G61" s="32">
        <f t="shared" si="1"/>
        <v>929</v>
      </c>
      <c r="H61" s="32">
        <f t="shared" si="2"/>
        <v>1</v>
      </c>
      <c r="I61" s="11">
        <f t="shared" si="3"/>
        <v>928000000</v>
      </c>
      <c r="J61" s="32">
        <f t="shared" si="4"/>
        <v>928000000</v>
      </c>
      <c r="K61" s="32">
        <f t="shared" si="5"/>
        <v>0</v>
      </c>
    </row>
    <row r="62" spans="1:11">
      <c r="A62" s="20" t="s">
        <v>111</v>
      </c>
      <c r="B62" s="18">
        <v>3000000</v>
      </c>
      <c r="C62" s="18">
        <v>3000000</v>
      </c>
      <c r="D62" s="3">
        <f t="shared" si="6"/>
        <v>0</v>
      </c>
      <c r="E62" s="20" t="s">
        <v>112</v>
      </c>
      <c r="F62" s="32">
        <v>2</v>
      </c>
      <c r="G62" s="32">
        <f t="shared" si="1"/>
        <v>929</v>
      </c>
      <c r="H62" s="32">
        <f t="shared" si="2"/>
        <v>1</v>
      </c>
      <c r="I62" s="11">
        <f t="shared" si="3"/>
        <v>2784000000</v>
      </c>
      <c r="J62" s="32">
        <f t="shared" si="4"/>
        <v>2784000000</v>
      </c>
      <c r="K62" s="32">
        <f t="shared" si="5"/>
        <v>0</v>
      </c>
    </row>
    <row r="63" spans="1:11">
      <c r="A63" s="20" t="s">
        <v>108</v>
      </c>
      <c r="B63" s="18">
        <v>-200000</v>
      </c>
      <c r="C63" s="18">
        <v>0</v>
      </c>
      <c r="D63" s="3">
        <f t="shared" si="6"/>
        <v>-200000</v>
      </c>
      <c r="E63" s="20" t="s">
        <v>26</v>
      </c>
      <c r="F63" s="32">
        <v>5</v>
      </c>
      <c r="G63" s="32">
        <f t="shared" si="1"/>
        <v>927</v>
      </c>
      <c r="H63" s="32">
        <f t="shared" si="2"/>
        <v>0</v>
      </c>
      <c r="I63" s="11">
        <f t="shared" si="3"/>
        <v>-185400000</v>
      </c>
      <c r="J63" s="32">
        <f t="shared" si="4"/>
        <v>0</v>
      </c>
      <c r="K63" s="32">
        <f t="shared" si="5"/>
        <v>-185400000</v>
      </c>
    </row>
    <row r="64" spans="1:11">
      <c r="A64" s="19" t="s">
        <v>114</v>
      </c>
      <c r="B64" s="18">
        <v>-50000</v>
      </c>
      <c r="C64" s="18">
        <v>0</v>
      </c>
      <c r="D64" s="3">
        <f t="shared" si="6"/>
        <v>-50000</v>
      </c>
      <c r="E64" s="19" t="s">
        <v>115</v>
      </c>
      <c r="F64" s="32">
        <v>4</v>
      </c>
      <c r="G64" s="32">
        <f t="shared" si="1"/>
        <v>922</v>
      </c>
      <c r="H64" s="32">
        <f t="shared" si="2"/>
        <v>0</v>
      </c>
      <c r="I64" s="11">
        <f t="shared" si="3"/>
        <v>-46100000</v>
      </c>
      <c r="J64" s="32">
        <f t="shared" si="4"/>
        <v>0</v>
      </c>
      <c r="K64" s="32">
        <f t="shared" si="5"/>
        <v>-46100000</v>
      </c>
    </row>
    <row r="65" spans="1:11">
      <c r="A65" s="19" t="s">
        <v>117</v>
      </c>
      <c r="B65" s="18">
        <v>-200000</v>
      </c>
      <c r="C65" s="18">
        <v>0</v>
      </c>
      <c r="D65" s="3">
        <f t="shared" si="6"/>
        <v>-200000</v>
      </c>
      <c r="E65" s="19" t="s">
        <v>26</v>
      </c>
      <c r="F65" s="32">
        <v>3</v>
      </c>
      <c r="G65" s="32">
        <f t="shared" si="1"/>
        <v>918</v>
      </c>
      <c r="H65" s="32">
        <f t="shared" si="2"/>
        <v>0</v>
      </c>
      <c r="I65" s="11">
        <f t="shared" si="3"/>
        <v>-183600000</v>
      </c>
      <c r="J65" s="32">
        <f t="shared" si="4"/>
        <v>0</v>
      </c>
      <c r="K65" s="32">
        <f t="shared" si="5"/>
        <v>-183600000</v>
      </c>
    </row>
    <row r="66" spans="1:11">
      <c r="A66" s="19" t="s">
        <v>120</v>
      </c>
      <c r="B66" s="18">
        <v>-170000</v>
      </c>
      <c r="C66" s="18">
        <v>0</v>
      </c>
      <c r="D66" s="3">
        <f t="shared" si="6"/>
        <v>-170000</v>
      </c>
      <c r="E66" s="19" t="s">
        <v>121</v>
      </c>
      <c r="F66" s="32">
        <v>1</v>
      </c>
      <c r="G66" s="32">
        <f t="shared" si="1"/>
        <v>915</v>
      </c>
      <c r="H66" s="32">
        <f t="shared" si="2"/>
        <v>0</v>
      </c>
      <c r="I66" s="11">
        <f t="shared" si="3"/>
        <v>-155550000</v>
      </c>
      <c r="J66" s="32">
        <f t="shared" si="4"/>
        <v>0</v>
      </c>
      <c r="K66" s="32">
        <f t="shared" si="5"/>
        <v>-155550000</v>
      </c>
    </row>
    <row r="67" spans="1:11">
      <c r="A67" s="4" t="s">
        <v>123</v>
      </c>
      <c r="B67" s="1">
        <v>91325</v>
      </c>
      <c r="C67" s="1">
        <v>65723</v>
      </c>
      <c r="D67" s="3">
        <f t="shared" si="6"/>
        <v>25602</v>
      </c>
      <c r="E67" s="5" t="s">
        <v>124</v>
      </c>
      <c r="F67" s="32">
        <v>18</v>
      </c>
      <c r="G67" s="32">
        <f t="shared" ref="G67:G130" si="7">G68+F67</f>
        <v>914</v>
      </c>
      <c r="H67" s="32">
        <f t="shared" ref="H67:H131" si="8">IF(B67&gt;0,1,0)</f>
        <v>1</v>
      </c>
      <c r="I67" s="11">
        <f t="shared" ref="I67:I119" si="9">B67*(G67-H67)</f>
        <v>83379725</v>
      </c>
      <c r="J67" s="32">
        <f t="shared" ref="J67:J131" si="10">C67*(G67-H67)</f>
        <v>60005099</v>
      </c>
      <c r="K67" s="32">
        <f t="shared" ref="K67:K131" si="11">D67*(G67-H67)</f>
        <v>23374626</v>
      </c>
    </row>
    <row r="68" spans="1:11">
      <c r="A68" s="17" t="s">
        <v>126</v>
      </c>
      <c r="B68" s="18">
        <v>-145000</v>
      </c>
      <c r="C68" s="18">
        <v>0</v>
      </c>
      <c r="D68" s="3">
        <f t="shared" si="6"/>
        <v>-145000</v>
      </c>
      <c r="E68" s="19" t="s">
        <v>127</v>
      </c>
      <c r="F68" s="32">
        <v>7</v>
      </c>
      <c r="G68" s="32">
        <f t="shared" si="7"/>
        <v>896</v>
      </c>
      <c r="H68" s="32">
        <f t="shared" si="8"/>
        <v>0</v>
      </c>
      <c r="I68" s="11">
        <f t="shared" si="9"/>
        <v>-129920000</v>
      </c>
      <c r="J68" s="32">
        <f t="shared" si="10"/>
        <v>0</v>
      </c>
      <c r="K68" s="32">
        <f t="shared" si="11"/>
        <v>-129920000</v>
      </c>
    </row>
    <row r="69" spans="1:11">
      <c r="A69" s="20" t="s">
        <v>131</v>
      </c>
      <c r="B69" s="18">
        <v>980000</v>
      </c>
      <c r="C69" s="18">
        <v>0</v>
      </c>
      <c r="D69" s="3">
        <f t="shared" si="6"/>
        <v>980000</v>
      </c>
      <c r="E69" s="20" t="s">
        <v>132</v>
      </c>
      <c r="F69" s="32">
        <v>3</v>
      </c>
      <c r="G69" s="32">
        <f t="shared" si="7"/>
        <v>889</v>
      </c>
      <c r="H69" s="32">
        <f t="shared" si="8"/>
        <v>1</v>
      </c>
      <c r="I69" s="11">
        <f t="shared" si="9"/>
        <v>870240000</v>
      </c>
      <c r="J69" s="32">
        <f t="shared" si="10"/>
        <v>0</v>
      </c>
      <c r="K69" s="32">
        <f t="shared" si="11"/>
        <v>870240000</v>
      </c>
    </row>
    <row r="70" spans="1:11">
      <c r="A70" s="17" t="s">
        <v>133</v>
      </c>
      <c r="B70" s="18">
        <v>-46000</v>
      </c>
      <c r="C70" s="18">
        <v>0</v>
      </c>
      <c r="D70" s="3">
        <f t="shared" si="6"/>
        <v>-46000</v>
      </c>
      <c r="E70" s="19" t="s">
        <v>134</v>
      </c>
      <c r="F70" s="32">
        <v>2</v>
      </c>
      <c r="G70" s="32">
        <f t="shared" si="7"/>
        <v>886</v>
      </c>
      <c r="H70" s="32">
        <f t="shared" si="8"/>
        <v>0</v>
      </c>
      <c r="I70" s="11">
        <f t="shared" si="9"/>
        <v>-40756000</v>
      </c>
      <c r="J70" s="32">
        <f t="shared" si="10"/>
        <v>0</v>
      </c>
      <c r="K70" s="32">
        <f t="shared" si="11"/>
        <v>-40756000</v>
      </c>
    </row>
    <row r="71" spans="1:11">
      <c r="A71" s="4" t="s">
        <v>138</v>
      </c>
      <c r="B71" s="1">
        <v>115338</v>
      </c>
      <c r="C71" s="1">
        <v>103812</v>
      </c>
      <c r="D71" s="3">
        <f t="shared" si="6"/>
        <v>11526</v>
      </c>
      <c r="E71" s="5" t="s">
        <v>135</v>
      </c>
      <c r="F71" s="32">
        <v>1</v>
      </c>
      <c r="G71" s="32">
        <f t="shared" si="7"/>
        <v>884</v>
      </c>
      <c r="H71" s="32">
        <f t="shared" si="8"/>
        <v>1</v>
      </c>
      <c r="I71" s="11">
        <f t="shared" si="9"/>
        <v>101843454</v>
      </c>
      <c r="J71" s="32">
        <f t="shared" si="10"/>
        <v>91665996</v>
      </c>
      <c r="K71" s="32">
        <f t="shared" si="11"/>
        <v>10177458</v>
      </c>
    </row>
    <row r="72" spans="1:11">
      <c r="A72" s="17" t="s">
        <v>141</v>
      </c>
      <c r="B72" s="18">
        <v>-151969</v>
      </c>
      <c r="C72" s="18">
        <v>0</v>
      </c>
      <c r="D72" s="3">
        <f t="shared" si="6"/>
        <v>-151969</v>
      </c>
      <c r="E72" s="19" t="s">
        <v>140</v>
      </c>
      <c r="F72" s="32">
        <v>1</v>
      </c>
      <c r="G72" s="32">
        <f t="shared" si="7"/>
        <v>883</v>
      </c>
      <c r="H72" s="32">
        <f t="shared" si="8"/>
        <v>0</v>
      </c>
      <c r="I72" s="11">
        <f t="shared" si="9"/>
        <v>-134188627</v>
      </c>
      <c r="J72" s="32">
        <f t="shared" si="10"/>
        <v>0</v>
      </c>
      <c r="K72" s="32">
        <f t="shared" si="11"/>
        <v>-134188627</v>
      </c>
    </row>
    <row r="73" spans="1:11">
      <c r="A73" s="20" t="s">
        <v>139</v>
      </c>
      <c r="B73" s="18">
        <v>-805500</v>
      </c>
      <c r="C73" s="18">
        <v>0</v>
      </c>
      <c r="D73" s="3">
        <f t="shared" si="6"/>
        <v>-805500</v>
      </c>
      <c r="E73" s="20" t="s">
        <v>136</v>
      </c>
      <c r="F73" s="32">
        <v>7</v>
      </c>
      <c r="G73" s="32">
        <f t="shared" si="7"/>
        <v>882</v>
      </c>
      <c r="H73" s="32">
        <f t="shared" si="8"/>
        <v>0</v>
      </c>
      <c r="I73" s="11">
        <f t="shared" si="9"/>
        <v>-710451000</v>
      </c>
      <c r="J73" s="32">
        <f t="shared" si="10"/>
        <v>0</v>
      </c>
      <c r="K73" s="32">
        <f t="shared" si="11"/>
        <v>-710451000</v>
      </c>
    </row>
    <row r="74" spans="1:11">
      <c r="A74" s="17" t="s">
        <v>143</v>
      </c>
      <c r="B74" s="18">
        <v>6995000</v>
      </c>
      <c r="C74" s="18">
        <v>0</v>
      </c>
      <c r="D74" s="3">
        <f t="shared" si="6"/>
        <v>6995000</v>
      </c>
      <c r="E74" s="19" t="s">
        <v>144</v>
      </c>
      <c r="F74" s="32">
        <v>1</v>
      </c>
      <c r="G74" s="32">
        <f t="shared" si="7"/>
        <v>875</v>
      </c>
      <c r="H74" s="32">
        <f t="shared" si="8"/>
        <v>1</v>
      </c>
      <c r="I74" s="11">
        <f t="shared" si="9"/>
        <v>6113630000</v>
      </c>
      <c r="J74" s="32">
        <f t="shared" si="10"/>
        <v>0</v>
      </c>
      <c r="K74" s="32">
        <f t="shared" si="11"/>
        <v>6113630000</v>
      </c>
    </row>
    <row r="75" spans="1:11">
      <c r="A75" s="17" t="s">
        <v>146</v>
      </c>
      <c r="B75" s="18">
        <v>3000000</v>
      </c>
      <c r="C75" s="18">
        <v>0</v>
      </c>
      <c r="D75" s="3">
        <f t="shared" si="6"/>
        <v>3000000</v>
      </c>
      <c r="E75" s="19" t="s">
        <v>147</v>
      </c>
      <c r="F75" s="32">
        <v>2</v>
      </c>
      <c r="G75" s="32">
        <f t="shared" si="7"/>
        <v>874</v>
      </c>
      <c r="H75" s="32">
        <f t="shared" si="8"/>
        <v>1</v>
      </c>
      <c r="I75" s="11">
        <f t="shared" si="9"/>
        <v>2619000000</v>
      </c>
      <c r="J75" s="32">
        <f t="shared" si="10"/>
        <v>0</v>
      </c>
      <c r="K75" s="32">
        <f t="shared" si="11"/>
        <v>2619000000</v>
      </c>
    </row>
    <row r="76" spans="1:11">
      <c r="A76" s="17" t="s">
        <v>149</v>
      </c>
      <c r="B76" s="18">
        <v>3000000</v>
      </c>
      <c r="C76" s="18">
        <v>0</v>
      </c>
      <c r="D76" s="3">
        <f t="shared" si="6"/>
        <v>3000000</v>
      </c>
      <c r="E76" s="19" t="s">
        <v>147</v>
      </c>
      <c r="F76" s="32">
        <v>1</v>
      </c>
      <c r="G76" s="32">
        <f t="shared" si="7"/>
        <v>872</v>
      </c>
      <c r="H76" s="32">
        <f t="shared" si="8"/>
        <v>1</v>
      </c>
      <c r="I76" s="11">
        <f t="shared" si="9"/>
        <v>2613000000</v>
      </c>
      <c r="J76" s="32">
        <f t="shared" si="10"/>
        <v>0</v>
      </c>
      <c r="K76" s="32">
        <f t="shared" si="11"/>
        <v>2613000000</v>
      </c>
    </row>
    <row r="77" spans="1:11">
      <c r="A77" s="17" t="s">
        <v>151</v>
      </c>
      <c r="B77" s="18">
        <v>3000000</v>
      </c>
      <c r="C77" s="18">
        <v>0</v>
      </c>
      <c r="D77" s="3">
        <f t="shared" si="6"/>
        <v>3000000</v>
      </c>
      <c r="E77" s="21" t="s">
        <v>147</v>
      </c>
      <c r="F77" s="32">
        <v>1</v>
      </c>
      <c r="G77" s="32">
        <f t="shared" si="7"/>
        <v>871</v>
      </c>
      <c r="H77" s="32">
        <f t="shared" si="8"/>
        <v>1</v>
      </c>
      <c r="I77" s="11">
        <f t="shared" si="9"/>
        <v>2610000000</v>
      </c>
      <c r="J77" s="32">
        <f t="shared" si="10"/>
        <v>0</v>
      </c>
      <c r="K77" s="32">
        <f t="shared" si="11"/>
        <v>2610000000</v>
      </c>
    </row>
    <row r="78" spans="1:11">
      <c r="A78" s="17" t="s">
        <v>153</v>
      </c>
      <c r="B78" s="18">
        <v>-3200000</v>
      </c>
      <c r="C78" s="18">
        <v>-3200000</v>
      </c>
      <c r="D78" s="3">
        <f t="shared" si="6"/>
        <v>0</v>
      </c>
      <c r="E78" s="19" t="s">
        <v>154</v>
      </c>
      <c r="F78" s="32">
        <v>1</v>
      </c>
      <c r="G78" s="32">
        <f t="shared" si="7"/>
        <v>870</v>
      </c>
      <c r="H78" s="32">
        <f t="shared" si="8"/>
        <v>0</v>
      </c>
      <c r="I78" s="11">
        <f t="shared" si="9"/>
        <v>-2784000000</v>
      </c>
      <c r="J78" s="32">
        <f t="shared" si="10"/>
        <v>-2784000000</v>
      </c>
      <c r="K78" s="32">
        <f t="shared" si="11"/>
        <v>0</v>
      </c>
    </row>
    <row r="79" spans="1:11">
      <c r="A79" s="17" t="s">
        <v>155</v>
      </c>
      <c r="B79" s="18">
        <v>-800000</v>
      </c>
      <c r="C79" s="18">
        <v>-800000</v>
      </c>
      <c r="D79" s="3">
        <f t="shared" si="6"/>
        <v>0</v>
      </c>
      <c r="E79" s="19" t="s">
        <v>154</v>
      </c>
      <c r="F79" s="32">
        <v>1</v>
      </c>
      <c r="G79" s="32">
        <f t="shared" si="7"/>
        <v>869</v>
      </c>
      <c r="H79" s="32">
        <f t="shared" si="8"/>
        <v>0</v>
      </c>
      <c r="I79" s="11">
        <f t="shared" si="9"/>
        <v>-695200000</v>
      </c>
      <c r="J79" s="32">
        <f t="shared" si="10"/>
        <v>-695200000</v>
      </c>
      <c r="K79" s="32">
        <f t="shared" si="11"/>
        <v>0</v>
      </c>
    </row>
    <row r="80" spans="1:11">
      <c r="A80" s="20" t="s">
        <v>159</v>
      </c>
      <c r="B80" s="18">
        <v>-48393</v>
      </c>
      <c r="C80" s="18">
        <v>0</v>
      </c>
      <c r="D80" s="3">
        <f t="shared" si="6"/>
        <v>-48393</v>
      </c>
      <c r="E80" s="20" t="s">
        <v>160</v>
      </c>
      <c r="F80" s="32">
        <v>1</v>
      </c>
      <c r="G80" s="32">
        <f t="shared" si="7"/>
        <v>868</v>
      </c>
      <c r="H80" s="32">
        <f t="shared" si="8"/>
        <v>0</v>
      </c>
      <c r="I80" s="11">
        <f t="shared" si="9"/>
        <v>-42005124</v>
      </c>
      <c r="J80" s="32">
        <f t="shared" si="10"/>
        <v>0</v>
      </c>
      <c r="K80" s="32">
        <f t="shared" si="11"/>
        <v>-42005124</v>
      </c>
    </row>
    <row r="81" spans="1:11">
      <c r="A81" s="20" t="s">
        <v>157</v>
      </c>
      <c r="B81" s="18">
        <v>-140000</v>
      </c>
      <c r="C81" s="18">
        <v>0</v>
      </c>
      <c r="D81" s="3">
        <f t="shared" si="6"/>
        <v>-140000</v>
      </c>
      <c r="E81" s="20" t="s">
        <v>158</v>
      </c>
      <c r="F81" s="32">
        <v>1</v>
      </c>
      <c r="G81" s="32">
        <f t="shared" si="7"/>
        <v>867</v>
      </c>
      <c r="H81" s="32">
        <f t="shared" si="8"/>
        <v>0</v>
      </c>
      <c r="I81" s="11">
        <f t="shared" si="9"/>
        <v>-121380000</v>
      </c>
      <c r="J81" s="32">
        <f t="shared" si="10"/>
        <v>0</v>
      </c>
      <c r="K81" s="32">
        <f t="shared" si="11"/>
        <v>-121380000</v>
      </c>
    </row>
    <row r="82" spans="1:11">
      <c r="A82" s="20" t="s">
        <v>163</v>
      </c>
      <c r="B82" s="18">
        <v>-250000</v>
      </c>
      <c r="C82" s="18">
        <v>0</v>
      </c>
      <c r="D82" s="3">
        <f t="shared" si="6"/>
        <v>-250000</v>
      </c>
      <c r="E82" s="20" t="s">
        <v>164</v>
      </c>
      <c r="F82" s="32">
        <v>1</v>
      </c>
      <c r="G82" s="32">
        <f t="shared" si="7"/>
        <v>866</v>
      </c>
      <c r="H82" s="32">
        <f t="shared" si="8"/>
        <v>0</v>
      </c>
      <c r="I82" s="11">
        <f t="shared" si="9"/>
        <v>-216500000</v>
      </c>
      <c r="J82" s="32">
        <f t="shared" si="10"/>
        <v>0</v>
      </c>
      <c r="K82" s="32">
        <f t="shared" si="11"/>
        <v>-216500000</v>
      </c>
    </row>
    <row r="83" spans="1:11">
      <c r="A83" s="20" t="s">
        <v>162</v>
      </c>
      <c r="B83" s="18">
        <v>-200000</v>
      </c>
      <c r="C83" s="18">
        <v>0</v>
      </c>
      <c r="D83" s="3">
        <f t="shared" si="6"/>
        <v>-200000</v>
      </c>
      <c r="E83" s="20" t="s">
        <v>26</v>
      </c>
      <c r="F83" s="32">
        <v>3</v>
      </c>
      <c r="G83" s="32">
        <f t="shared" si="7"/>
        <v>865</v>
      </c>
      <c r="H83" s="32">
        <f t="shared" si="8"/>
        <v>0</v>
      </c>
      <c r="I83" s="11">
        <f t="shared" si="9"/>
        <v>-173000000</v>
      </c>
      <c r="J83" s="32">
        <f t="shared" si="10"/>
        <v>0</v>
      </c>
      <c r="K83" s="32">
        <f t="shared" si="11"/>
        <v>-173000000</v>
      </c>
    </row>
    <row r="84" spans="1:11">
      <c r="A84" s="20" t="s">
        <v>168</v>
      </c>
      <c r="B84" s="18">
        <v>1635200</v>
      </c>
      <c r="C84" s="18">
        <v>0</v>
      </c>
      <c r="D84" s="3">
        <f t="shared" si="6"/>
        <v>1635200</v>
      </c>
      <c r="E84" s="20" t="s">
        <v>169</v>
      </c>
      <c r="F84" s="32">
        <v>4</v>
      </c>
      <c r="G84" s="32">
        <f t="shared" si="7"/>
        <v>862</v>
      </c>
      <c r="H84" s="32">
        <f t="shared" si="8"/>
        <v>1</v>
      </c>
      <c r="I84" s="11">
        <f t="shared" si="9"/>
        <v>1407907200</v>
      </c>
      <c r="J84" s="32">
        <f t="shared" si="10"/>
        <v>0</v>
      </c>
      <c r="K84" s="32">
        <f t="shared" si="11"/>
        <v>1407907200</v>
      </c>
    </row>
    <row r="85" spans="1:11">
      <c r="A85" s="20" t="s">
        <v>172</v>
      </c>
      <c r="B85" s="18">
        <v>2500000</v>
      </c>
      <c r="C85" s="18">
        <v>0</v>
      </c>
      <c r="D85" s="3">
        <f t="shared" ref="D85:D148" si="12">B85-C85</f>
        <v>2500000</v>
      </c>
      <c r="E85" s="20" t="s">
        <v>173</v>
      </c>
      <c r="F85" s="32">
        <v>4</v>
      </c>
      <c r="G85" s="32">
        <f t="shared" si="7"/>
        <v>858</v>
      </c>
      <c r="H85" s="32">
        <f t="shared" si="8"/>
        <v>1</v>
      </c>
      <c r="I85" s="11">
        <f t="shared" si="9"/>
        <v>2142500000</v>
      </c>
      <c r="J85" s="32">
        <f t="shared" si="10"/>
        <v>0</v>
      </c>
      <c r="K85" s="32">
        <f t="shared" si="11"/>
        <v>2142500000</v>
      </c>
    </row>
    <row r="86" spans="1:11">
      <c r="A86" s="4" t="s">
        <v>175</v>
      </c>
      <c r="B86" s="1">
        <v>186300</v>
      </c>
      <c r="C86" s="1">
        <v>84950</v>
      </c>
      <c r="D86" s="3">
        <f t="shared" si="12"/>
        <v>101350</v>
      </c>
      <c r="E86" s="5" t="s">
        <v>176</v>
      </c>
      <c r="F86" s="32">
        <v>3</v>
      </c>
      <c r="G86" s="32">
        <f t="shared" si="7"/>
        <v>854</v>
      </c>
      <c r="H86" s="32">
        <f t="shared" si="8"/>
        <v>1</v>
      </c>
      <c r="I86" s="11">
        <f t="shared" si="9"/>
        <v>158913900</v>
      </c>
      <c r="J86" s="32">
        <f t="shared" si="10"/>
        <v>72462350</v>
      </c>
      <c r="K86" s="32">
        <f t="shared" si="11"/>
        <v>86451550</v>
      </c>
    </row>
    <row r="87" spans="1:11">
      <c r="A87" s="17" t="s">
        <v>192</v>
      </c>
      <c r="B87" s="18">
        <v>-200000</v>
      </c>
      <c r="C87" s="18">
        <v>0</v>
      </c>
      <c r="D87" s="3">
        <f t="shared" si="12"/>
        <v>-200000</v>
      </c>
      <c r="E87" s="19" t="s">
        <v>193</v>
      </c>
      <c r="F87" s="32">
        <v>1</v>
      </c>
      <c r="G87" s="32">
        <f t="shared" si="7"/>
        <v>851</v>
      </c>
      <c r="H87" s="32">
        <f t="shared" si="8"/>
        <v>0</v>
      </c>
      <c r="I87" s="11">
        <f t="shared" si="9"/>
        <v>-170200000</v>
      </c>
      <c r="J87" s="32">
        <f t="shared" si="10"/>
        <v>0</v>
      </c>
      <c r="K87" s="32">
        <f t="shared" si="11"/>
        <v>-170200000</v>
      </c>
    </row>
    <row r="88" spans="1:11">
      <c r="A88" s="20" t="s">
        <v>184</v>
      </c>
      <c r="B88" s="18">
        <v>-118000</v>
      </c>
      <c r="C88" s="18">
        <v>-69000</v>
      </c>
      <c r="D88" s="3">
        <f t="shared" si="12"/>
        <v>-49000</v>
      </c>
      <c r="E88" s="20" t="s">
        <v>194</v>
      </c>
      <c r="F88" s="32">
        <v>8</v>
      </c>
      <c r="G88" s="32">
        <f t="shared" si="7"/>
        <v>850</v>
      </c>
      <c r="H88" s="32">
        <f t="shared" si="8"/>
        <v>0</v>
      </c>
      <c r="I88" s="11">
        <f t="shared" si="9"/>
        <v>-100300000</v>
      </c>
      <c r="J88" s="32">
        <f t="shared" si="10"/>
        <v>-58650000</v>
      </c>
      <c r="K88" s="32">
        <f t="shared" si="11"/>
        <v>-41650000</v>
      </c>
    </row>
    <row r="89" spans="1:11">
      <c r="A89" s="17" t="s">
        <v>201</v>
      </c>
      <c r="B89" s="18">
        <v>-3200900</v>
      </c>
      <c r="C89" s="18">
        <v>0</v>
      </c>
      <c r="D89" s="3">
        <f t="shared" si="12"/>
        <v>-3200900</v>
      </c>
      <c r="E89" s="19" t="s">
        <v>202</v>
      </c>
      <c r="F89" s="32">
        <v>1</v>
      </c>
      <c r="G89" s="32">
        <f t="shared" si="7"/>
        <v>842</v>
      </c>
      <c r="H89" s="32">
        <f t="shared" si="8"/>
        <v>0</v>
      </c>
      <c r="I89" s="11">
        <f t="shared" si="9"/>
        <v>-2695157800</v>
      </c>
      <c r="J89" s="32">
        <f t="shared" si="10"/>
        <v>0</v>
      </c>
      <c r="K89" s="32">
        <f t="shared" si="11"/>
        <v>-2695157800</v>
      </c>
    </row>
    <row r="90" spans="1:11">
      <c r="A90" s="17" t="s">
        <v>207</v>
      </c>
      <c r="B90" s="18">
        <v>-3200900</v>
      </c>
      <c r="C90" s="18">
        <v>0</v>
      </c>
      <c r="D90" s="3">
        <f t="shared" si="12"/>
        <v>-3200900</v>
      </c>
      <c r="E90" s="19" t="s">
        <v>208</v>
      </c>
      <c r="F90" s="32">
        <v>1</v>
      </c>
      <c r="G90" s="32">
        <f t="shared" si="7"/>
        <v>841</v>
      </c>
      <c r="H90" s="32">
        <f t="shared" si="8"/>
        <v>0</v>
      </c>
      <c r="I90" s="11">
        <f t="shared" si="9"/>
        <v>-2691956900</v>
      </c>
      <c r="J90" s="32">
        <f t="shared" si="10"/>
        <v>0</v>
      </c>
      <c r="K90" s="32">
        <f t="shared" si="11"/>
        <v>-2691956900</v>
      </c>
    </row>
    <row r="91" spans="1:11">
      <c r="A91" s="17" t="s">
        <v>211</v>
      </c>
      <c r="B91" s="18">
        <v>-3200900</v>
      </c>
      <c r="C91" s="18">
        <v>0</v>
      </c>
      <c r="D91" s="3">
        <f t="shared" si="12"/>
        <v>-3200900</v>
      </c>
      <c r="E91" s="19" t="s">
        <v>212</v>
      </c>
      <c r="F91" s="32">
        <v>1</v>
      </c>
      <c r="G91" s="32">
        <f t="shared" si="7"/>
        <v>840</v>
      </c>
      <c r="H91" s="32">
        <f t="shared" si="8"/>
        <v>0</v>
      </c>
      <c r="I91" s="11">
        <f t="shared" si="9"/>
        <v>-2688756000</v>
      </c>
      <c r="J91" s="32">
        <f t="shared" si="10"/>
        <v>0</v>
      </c>
      <c r="K91" s="32">
        <f t="shared" si="11"/>
        <v>-2688756000</v>
      </c>
    </row>
    <row r="92" spans="1:11">
      <c r="A92" s="17" t="s">
        <v>216</v>
      </c>
      <c r="B92" s="18">
        <v>-3200900</v>
      </c>
      <c r="C92" s="18">
        <v>0</v>
      </c>
      <c r="D92" s="3">
        <f t="shared" si="12"/>
        <v>-3200900</v>
      </c>
      <c r="E92" s="21" t="s">
        <v>217</v>
      </c>
      <c r="F92" s="32">
        <v>1</v>
      </c>
      <c r="G92" s="32">
        <f t="shared" si="7"/>
        <v>839</v>
      </c>
      <c r="H92" s="32">
        <f t="shared" si="8"/>
        <v>0</v>
      </c>
      <c r="I92" s="11">
        <f t="shared" si="9"/>
        <v>-2685555100</v>
      </c>
      <c r="J92" s="32">
        <f t="shared" si="10"/>
        <v>0</v>
      </c>
      <c r="K92" s="32">
        <f t="shared" si="11"/>
        <v>-2685555100</v>
      </c>
    </row>
    <row r="93" spans="1:11">
      <c r="A93" s="17" t="s">
        <v>222</v>
      </c>
      <c r="B93" s="18">
        <v>-3200900</v>
      </c>
      <c r="C93" s="18">
        <v>0</v>
      </c>
      <c r="D93" s="3">
        <f t="shared" si="12"/>
        <v>-3200900</v>
      </c>
      <c r="E93" s="19" t="s">
        <v>223</v>
      </c>
      <c r="F93" s="32">
        <v>1</v>
      </c>
      <c r="G93" s="32">
        <f t="shared" si="7"/>
        <v>838</v>
      </c>
      <c r="H93" s="32">
        <f t="shared" si="8"/>
        <v>0</v>
      </c>
      <c r="I93" s="11">
        <f t="shared" si="9"/>
        <v>-2682354200</v>
      </c>
      <c r="J93" s="32">
        <f t="shared" si="10"/>
        <v>0</v>
      </c>
      <c r="K93" s="32">
        <f t="shared" si="11"/>
        <v>-2682354200</v>
      </c>
    </row>
    <row r="94" spans="1:11">
      <c r="A94" s="17" t="s">
        <v>225</v>
      </c>
      <c r="B94" s="18">
        <v>-3200900</v>
      </c>
      <c r="C94" s="18">
        <v>0</v>
      </c>
      <c r="D94" s="3">
        <f t="shared" si="12"/>
        <v>-3200900</v>
      </c>
      <c r="E94" s="19" t="s">
        <v>226</v>
      </c>
      <c r="F94" s="32">
        <v>2</v>
      </c>
      <c r="G94" s="32">
        <f t="shared" si="7"/>
        <v>837</v>
      </c>
      <c r="H94" s="32">
        <f t="shared" si="8"/>
        <v>0</v>
      </c>
      <c r="I94" s="11">
        <f t="shared" si="9"/>
        <v>-2679153300</v>
      </c>
      <c r="J94" s="32">
        <f t="shared" si="10"/>
        <v>0</v>
      </c>
      <c r="K94" s="32">
        <f t="shared" si="11"/>
        <v>-2679153300</v>
      </c>
    </row>
    <row r="95" spans="1:11">
      <c r="A95" s="20" t="s">
        <v>228</v>
      </c>
      <c r="B95" s="18">
        <v>-1196596</v>
      </c>
      <c r="C95" s="18">
        <v>0</v>
      </c>
      <c r="D95" s="3">
        <f t="shared" si="12"/>
        <v>-1196596</v>
      </c>
      <c r="E95" s="20" t="s">
        <v>229</v>
      </c>
      <c r="F95" s="32">
        <v>10</v>
      </c>
      <c r="G95" s="32">
        <f t="shared" si="7"/>
        <v>835</v>
      </c>
      <c r="H95" s="32">
        <f t="shared" si="8"/>
        <v>0</v>
      </c>
      <c r="I95" s="11">
        <f t="shared" si="9"/>
        <v>-999157660</v>
      </c>
      <c r="J95" s="32">
        <f t="shared" si="10"/>
        <v>0</v>
      </c>
      <c r="K95" s="32">
        <f t="shared" si="11"/>
        <v>-999157660</v>
      </c>
    </row>
    <row r="96" spans="1:11">
      <c r="A96" s="20" t="s">
        <v>237</v>
      </c>
      <c r="B96" s="18">
        <v>-200000</v>
      </c>
      <c r="C96" s="18">
        <v>0</v>
      </c>
      <c r="D96" s="3">
        <f t="shared" si="12"/>
        <v>-200000</v>
      </c>
      <c r="E96" s="20" t="s">
        <v>238</v>
      </c>
      <c r="F96" s="32">
        <v>1</v>
      </c>
      <c r="G96" s="32">
        <f t="shared" si="7"/>
        <v>825</v>
      </c>
      <c r="H96" s="32">
        <f t="shared" si="8"/>
        <v>0</v>
      </c>
      <c r="I96" s="11">
        <f t="shared" si="9"/>
        <v>-165000000</v>
      </c>
      <c r="J96" s="32">
        <f t="shared" si="10"/>
        <v>0</v>
      </c>
      <c r="K96" s="32">
        <f t="shared" si="11"/>
        <v>-165000000</v>
      </c>
    </row>
    <row r="97" spans="1:11">
      <c r="A97" s="20" t="s">
        <v>241</v>
      </c>
      <c r="B97" s="18">
        <v>159558</v>
      </c>
      <c r="C97" s="18">
        <v>68926</v>
      </c>
      <c r="D97" s="3">
        <f t="shared" si="12"/>
        <v>90632</v>
      </c>
      <c r="E97" s="23" t="s">
        <v>242</v>
      </c>
      <c r="F97" s="32">
        <v>5</v>
      </c>
      <c r="G97" s="32">
        <f t="shared" si="7"/>
        <v>824</v>
      </c>
      <c r="H97" s="32">
        <f t="shared" si="8"/>
        <v>1</v>
      </c>
      <c r="I97" s="11">
        <f t="shared" si="9"/>
        <v>131316234</v>
      </c>
      <c r="J97" s="32">
        <f t="shared" si="10"/>
        <v>56726098</v>
      </c>
      <c r="K97" s="32">
        <f t="shared" si="11"/>
        <v>74590136</v>
      </c>
    </row>
    <row r="98" spans="1:11">
      <c r="A98" s="20" t="s">
        <v>245</v>
      </c>
      <c r="B98" s="18">
        <v>114368</v>
      </c>
      <c r="C98" s="18">
        <v>0</v>
      </c>
      <c r="D98" s="3">
        <f t="shared" si="12"/>
        <v>114368</v>
      </c>
      <c r="E98" s="20" t="s">
        <v>246</v>
      </c>
      <c r="F98" s="32">
        <v>3</v>
      </c>
      <c r="G98" s="32">
        <f t="shared" si="7"/>
        <v>819</v>
      </c>
      <c r="H98" s="32">
        <f t="shared" si="8"/>
        <v>1</v>
      </c>
      <c r="I98" s="11">
        <f t="shared" si="9"/>
        <v>93553024</v>
      </c>
      <c r="J98" s="32">
        <f t="shared" si="10"/>
        <v>0</v>
      </c>
      <c r="K98" s="32">
        <f t="shared" si="11"/>
        <v>93553024</v>
      </c>
    </row>
    <row r="99" spans="1:11">
      <c r="A99" s="20" t="s">
        <v>248</v>
      </c>
      <c r="B99" s="18">
        <v>-1325000</v>
      </c>
      <c r="C99" s="18">
        <v>0</v>
      </c>
      <c r="D99" s="3">
        <f t="shared" si="12"/>
        <v>-1325000</v>
      </c>
      <c r="E99" s="20" t="s">
        <v>249</v>
      </c>
      <c r="F99" s="32">
        <v>5</v>
      </c>
      <c r="G99" s="32">
        <f t="shared" si="7"/>
        <v>816</v>
      </c>
      <c r="H99" s="32">
        <f t="shared" si="8"/>
        <v>0</v>
      </c>
      <c r="I99" s="11">
        <f t="shared" si="9"/>
        <v>-1081200000</v>
      </c>
      <c r="J99" s="32">
        <f t="shared" si="10"/>
        <v>0</v>
      </c>
      <c r="K99" s="32">
        <f t="shared" si="11"/>
        <v>-1081200000</v>
      </c>
    </row>
    <row r="100" spans="1:11">
      <c r="A100" s="17" t="s">
        <v>250</v>
      </c>
      <c r="B100" s="18">
        <v>1325000</v>
      </c>
      <c r="C100" s="18">
        <v>0</v>
      </c>
      <c r="D100" s="3">
        <f t="shared" si="12"/>
        <v>1325000</v>
      </c>
      <c r="E100" s="19" t="s">
        <v>251</v>
      </c>
      <c r="F100" s="32">
        <v>17</v>
      </c>
      <c r="G100" s="32">
        <f t="shared" si="7"/>
        <v>811</v>
      </c>
      <c r="H100" s="32">
        <f t="shared" si="8"/>
        <v>1</v>
      </c>
      <c r="I100" s="11">
        <f t="shared" si="9"/>
        <v>1073250000</v>
      </c>
      <c r="J100" s="32">
        <f t="shared" si="10"/>
        <v>0</v>
      </c>
      <c r="K100" s="32">
        <f t="shared" si="11"/>
        <v>1073250000</v>
      </c>
    </row>
    <row r="101" spans="1:11">
      <c r="A101" s="20" t="s">
        <v>262</v>
      </c>
      <c r="B101" s="18">
        <v>66845</v>
      </c>
      <c r="C101" s="18">
        <v>66845</v>
      </c>
      <c r="D101" s="3">
        <f t="shared" si="12"/>
        <v>0</v>
      </c>
      <c r="E101" s="23" t="s">
        <v>264</v>
      </c>
      <c r="F101" s="32">
        <v>3</v>
      </c>
      <c r="G101" s="32">
        <f t="shared" si="7"/>
        <v>794</v>
      </c>
      <c r="H101" s="32">
        <f t="shared" si="8"/>
        <v>1</v>
      </c>
      <c r="I101" s="11">
        <f t="shared" si="9"/>
        <v>53008085</v>
      </c>
      <c r="J101" s="32">
        <f t="shared" si="10"/>
        <v>53008085</v>
      </c>
      <c r="K101" s="32">
        <f t="shared" si="11"/>
        <v>0</v>
      </c>
    </row>
    <row r="102" spans="1:11">
      <c r="A102" s="20" t="s">
        <v>263</v>
      </c>
      <c r="B102" s="18">
        <v>3000000</v>
      </c>
      <c r="C102" s="18">
        <v>0</v>
      </c>
      <c r="D102" s="3">
        <f t="shared" si="12"/>
        <v>3000000</v>
      </c>
      <c r="E102" s="20" t="s">
        <v>251</v>
      </c>
      <c r="F102" s="32">
        <v>7</v>
      </c>
      <c r="G102" s="32">
        <f t="shared" si="7"/>
        <v>791</v>
      </c>
      <c r="H102" s="32">
        <f t="shared" si="8"/>
        <v>1</v>
      </c>
      <c r="I102" s="11">
        <f t="shared" si="9"/>
        <v>2370000000</v>
      </c>
      <c r="J102" s="32">
        <f t="shared" si="10"/>
        <v>0</v>
      </c>
      <c r="K102" s="32">
        <f t="shared" si="11"/>
        <v>2370000000</v>
      </c>
    </row>
    <row r="103" spans="1:11">
      <c r="A103" s="27">
        <v>35014</v>
      </c>
      <c r="B103" s="18">
        <v>-1000000</v>
      </c>
      <c r="C103" s="18">
        <v>-1000000</v>
      </c>
      <c r="D103" s="3">
        <f t="shared" si="12"/>
        <v>0</v>
      </c>
      <c r="E103" s="20" t="s">
        <v>394</v>
      </c>
      <c r="F103" s="32">
        <v>10</v>
      </c>
      <c r="G103" s="32">
        <f t="shared" si="7"/>
        <v>784</v>
      </c>
      <c r="H103" s="32">
        <f t="shared" si="8"/>
        <v>0</v>
      </c>
      <c r="I103" s="11">
        <f t="shared" si="9"/>
        <v>-784000000</v>
      </c>
      <c r="J103" s="32">
        <f t="shared" si="10"/>
        <v>-784000000</v>
      </c>
      <c r="K103" s="32">
        <f t="shared" si="11"/>
        <v>0</v>
      </c>
    </row>
    <row r="104" spans="1:11">
      <c r="A104" s="17" t="s">
        <v>395</v>
      </c>
      <c r="B104" s="18">
        <v>3000000</v>
      </c>
      <c r="C104" s="18">
        <v>3000000</v>
      </c>
      <c r="D104" s="3">
        <f t="shared" si="12"/>
        <v>0</v>
      </c>
      <c r="E104" s="19" t="s">
        <v>393</v>
      </c>
      <c r="F104" s="32">
        <v>1</v>
      </c>
      <c r="G104" s="32">
        <f t="shared" si="7"/>
        <v>774</v>
      </c>
      <c r="H104" s="32">
        <f t="shared" si="8"/>
        <v>1</v>
      </c>
      <c r="I104" s="11">
        <f t="shared" si="9"/>
        <v>2319000000</v>
      </c>
      <c r="J104" s="32">
        <f t="shared" si="10"/>
        <v>2319000000</v>
      </c>
      <c r="K104" s="32">
        <f t="shared" si="11"/>
        <v>0</v>
      </c>
    </row>
    <row r="105" spans="1:11">
      <c r="A105" s="17" t="s">
        <v>324</v>
      </c>
      <c r="B105" s="18">
        <v>1120000</v>
      </c>
      <c r="C105" s="18">
        <v>1120000</v>
      </c>
      <c r="D105" s="3">
        <f t="shared" si="12"/>
        <v>0</v>
      </c>
      <c r="E105" s="19" t="s">
        <v>393</v>
      </c>
      <c r="F105" s="32">
        <v>0</v>
      </c>
      <c r="G105" s="32">
        <f t="shared" si="7"/>
        <v>773</v>
      </c>
      <c r="H105" s="32">
        <f t="shared" si="8"/>
        <v>1</v>
      </c>
      <c r="I105" s="11">
        <f t="shared" si="9"/>
        <v>864640000</v>
      </c>
      <c r="J105" s="32">
        <f t="shared" si="10"/>
        <v>864640000</v>
      </c>
      <c r="K105" s="32">
        <f t="shared" si="11"/>
        <v>0</v>
      </c>
    </row>
    <row r="106" spans="1:11">
      <c r="A106" s="17" t="s">
        <v>324</v>
      </c>
      <c r="B106" s="18">
        <v>-3000000</v>
      </c>
      <c r="C106" s="18">
        <v>0</v>
      </c>
      <c r="D106" s="3">
        <f t="shared" si="12"/>
        <v>-3000000</v>
      </c>
      <c r="E106" s="19" t="s">
        <v>325</v>
      </c>
      <c r="F106" s="32">
        <v>9</v>
      </c>
      <c r="G106" s="32">
        <f t="shared" si="7"/>
        <v>773</v>
      </c>
      <c r="H106" s="32">
        <f t="shared" si="8"/>
        <v>0</v>
      </c>
      <c r="I106" s="11">
        <f t="shared" si="9"/>
        <v>-2319000000</v>
      </c>
      <c r="J106" s="32">
        <f t="shared" si="10"/>
        <v>0</v>
      </c>
      <c r="K106" s="32">
        <f t="shared" si="11"/>
        <v>-2319000000</v>
      </c>
    </row>
    <row r="107" spans="1:11">
      <c r="A107" s="20" t="s">
        <v>384</v>
      </c>
      <c r="B107" s="18">
        <v>90494</v>
      </c>
      <c r="C107" s="18">
        <v>75115</v>
      </c>
      <c r="D107" s="3">
        <f t="shared" si="12"/>
        <v>15379</v>
      </c>
      <c r="E107" s="23" t="s">
        <v>381</v>
      </c>
      <c r="F107" s="32">
        <v>2</v>
      </c>
      <c r="G107" s="32">
        <f t="shared" si="7"/>
        <v>764</v>
      </c>
      <c r="H107" s="32">
        <f t="shared" si="8"/>
        <v>1</v>
      </c>
      <c r="I107" s="11">
        <f t="shared" si="9"/>
        <v>69046922</v>
      </c>
      <c r="J107" s="32">
        <f t="shared" si="10"/>
        <v>57312745</v>
      </c>
      <c r="K107" s="32">
        <f t="shared" si="11"/>
        <v>11734177</v>
      </c>
    </row>
    <row r="108" spans="1:11">
      <c r="A108" s="20" t="s">
        <v>390</v>
      </c>
      <c r="B108" s="18">
        <v>-1700700</v>
      </c>
      <c r="C108" s="18">
        <v>0</v>
      </c>
      <c r="D108" s="3">
        <f t="shared" si="12"/>
        <v>-1700700</v>
      </c>
      <c r="E108" s="20" t="s">
        <v>396</v>
      </c>
      <c r="F108" s="32">
        <v>4</v>
      </c>
      <c r="G108" s="32">
        <f t="shared" si="7"/>
        <v>762</v>
      </c>
      <c r="H108" s="32">
        <f t="shared" si="8"/>
        <v>0</v>
      </c>
      <c r="I108" s="11">
        <f t="shared" si="9"/>
        <v>-1295933400</v>
      </c>
      <c r="J108" s="32">
        <f t="shared" si="10"/>
        <v>0</v>
      </c>
      <c r="K108" s="32">
        <f t="shared" si="11"/>
        <v>-1295933400</v>
      </c>
    </row>
    <row r="109" spans="1:11">
      <c r="A109" s="27" t="s">
        <v>408</v>
      </c>
      <c r="B109" s="18">
        <v>-1000500</v>
      </c>
      <c r="C109" s="18">
        <v>0</v>
      </c>
      <c r="D109" s="3">
        <f t="shared" si="12"/>
        <v>-1000500</v>
      </c>
      <c r="E109" s="20" t="s">
        <v>409</v>
      </c>
      <c r="F109" s="32">
        <v>3</v>
      </c>
      <c r="G109" s="32">
        <f t="shared" si="7"/>
        <v>758</v>
      </c>
      <c r="H109" s="32">
        <f t="shared" si="8"/>
        <v>0</v>
      </c>
      <c r="I109" s="11">
        <f t="shared" si="9"/>
        <v>-758379000</v>
      </c>
      <c r="J109" s="32">
        <f t="shared" si="10"/>
        <v>0</v>
      </c>
      <c r="K109" s="32">
        <f t="shared" si="11"/>
        <v>-758379000</v>
      </c>
    </row>
    <row r="110" spans="1:11">
      <c r="A110" s="17" t="s">
        <v>420</v>
      </c>
      <c r="B110" s="18">
        <v>20000000</v>
      </c>
      <c r="C110" s="18">
        <v>0</v>
      </c>
      <c r="D110" s="3">
        <f t="shared" si="12"/>
        <v>20000000</v>
      </c>
      <c r="E110" s="19" t="s">
        <v>421</v>
      </c>
      <c r="F110" s="32">
        <v>20</v>
      </c>
      <c r="G110" s="32">
        <f t="shared" si="7"/>
        <v>755</v>
      </c>
      <c r="H110" s="32">
        <f t="shared" si="8"/>
        <v>1</v>
      </c>
      <c r="I110" s="11">
        <f t="shared" si="9"/>
        <v>15080000000</v>
      </c>
      <c r="J110" s="32">
        <f t="shared" si="10"/>
        <v>0</v>
      </c>
      <c r="K110" s="32">
        <f t="shared" si="11"/>
        <v>15080000000</v>
      </c>
    </row>
    <row r="111" spans="1:11">
      <c r="A111" s="20" t="s">
        <v>467</v>
      </c>
      <c r="B111" s="34">
        <v>174678</v>
      </c>
      <c r="C111" s="34">
        <v>87363</v>
      </c>
      <c r="D111" s="31">
        <f t="shared" si="12"/>
        <v>87315</v>
      </c>
      <c r="E111" s="23" t="s">
        <v>453</v>
      </c>
      <c r="F111" s="32">
        <v>16</v>
      </c>
      <c r="G111" s="32">
        <f t="shared" si="7"/>
        <v>735</v>
      </c>
      <c r="H111" s="32">
        <f t="shared" si="8"/>
        <v>1</v>
      </c>
      <c r="I111" s="11">
        <f t="shared" si="9"/>
        <v>128213652</v>
      </c>
      <c r="J111" s="32">
        <f t="shared" si="10"/>
        <v>64124442</v>
      </c>
      <c r="K111" s="32">
        <f t="shared" si="11"/>
        <v>64089210</v>
      </c>
    </row>
    <row r="112" spans="1:11">
      <c r="A112" s="17" t="s">
        <v>472</v>
      </c>
      <c r="B112" s="18">
        <v>-28400000</v>
      </c>
      <c r="C112" s="18">
        <v>0</v>
      </c>
      <c r="D112" s="3">
        <f t="shared" si="12"/>
        <v>-28400000</v>
      </c>
      <c r="E112" s="20" t="s">
        <v>473</v>
      </c>
      <c r="F112" s="32">
        <v>15</v>
      </c>
      <c r="G112" s="32">
        <f t="shared" si="7"/>
        <v>719</v>
      </c>
      <c r="H112" s="32">
        <f t="shared" si="8"/>
        <v>0</v>
      </c>
      <c r="I112" s="11">
        <f t="shared" si="9"/>
        <v>-20419600000</v>
      </c>
      <c r="J112" s="32">
        <f t="shared" si="10"/>
        <v>0</v>
      </c>
      <c r="K112" s="32">
        <f t="shared" si="11"/>
        <v>-20419600000</v>
      </c>
    </row>
    <row r="113" spans="1:15">
      <c r="A113" s="17" t="s">
        <v>486</v>
      </c>
      <c r="B113" s="34">
        <v>163040</v>
      </c>
      <c r="C113" s="34">
        <v>122511</v>
      </c>
      <c r="D113" s="31">
        <f t="shared" si="12"/>
        <v>40529</v>
      </c>
      <c r="E113" s="5" t="s">
        <v>487</v>
      </c>
      <c r="F113" s="32">
        <v>0</v>
      </c>
      <c r="G113" s="32">
        <f t="shared" si="7"/>
        <v>704</v>
      </c>
      <c r="H113" s="32">
        <f t="shared" si="8"/>
        <v>1</v>
      </c>
      <c r="I113" s="11">
        <f t="shared" si="9"/>
        <v>114617120</v>
      </c>
      <c r="J113" s="32">
        <f t="shared" si="10"/>
        <v>86125233</v>
      </c>
      <c r="K113" s="32">
        <f t="shared" si="11"/>
        <v>28491887</v>
      </c>
    </row>
    <row r="114" spans="1:15">
      <c r="A114" s="17" t="s">
        <v>486</v>
      </c>
      <c r="B114" s="18">
        <v>-5700</v>
      </c>
      <c r="C114" s="18">
        <v>-2500</v>
      </c>
      <c r="D114" s="3">
        <f t="shared" si="12"/>
        <v>-3200</v>
      </c>
      <c r="E114" s="19" t="s">
        <v>489</v>
      </c>
      <c r="F114" s="32">
        <v>13</v>
      </c>
      <c r="G114" s="32">
        <f t="shared" si="7"/>
        <v>704</v>
      </c>
      <c r="H114" s="32">
        <f t="shared" si="8"/>
        <v>0</v>
      </c>
      <c r="I114" s="11">
        <f t="shared" si="9"/>
        <v>-4012800</v>
      </c>
      <c r="J114" s="32">
        <f t="shared" si="10"/>
        <v>-1760000</v>
      </c>
      <c r="K114" s="32">
        <f t="shared" si="11"/>
        <v>-2252800</v>
      </c>
    </row>
    <row r="115" spans="1:15">
      <c r="A115" s="17" t="s">
        <v>503</v>
      </c>
      <c r="B115" s="18">
        <v>0</v>
      </c>
      <c r="C115" s="18">
        <v>500000</v>
      </c>
      <c r="D115" s="3">
        <f t="shared" si="12"/>
        <v>-500000</v>
      </c>
      <c r="E115" s="19" t="s">
        <v>504</v>
      </c>
      <c r="F115" s="32">
        <v>8</v>
      </c>
      <c r="G115" s="32">
        <f t="shared" si="7"/>
        <v>691</v>
      </c>
      <c r="H115" s="32">
        <f t="shared" si="8"/>
        <v>0</v>
      </c>
      <c r="I115" s="11">
        <f t="shared" si="9"/>
        <v>0</v>
      </c>
      <c r="J115" s="32">
        <f t="shared" si="10"/>
        <v>345500000</v>
      </c>
      <c r="K115" s="32">
        <f t="shared" si="11"/>
        <v>-345500000</v>
      </c>
    </row>
    <row r="116" spans="1:15">
      <c r="A116" s="11" t="s">
        <v>509</v>
      </c>
      <c r="B116" s="18">
        <v>-160000</v>
      </c>
      <c r="C116" s="18">
        <v>0</v>
      </c>
      <c r="D116" s="18">
        <f t="shared" si="12"/>
        <v>-160000</v>
      </c>
      <c r="E116" s="11" t="s">
        <v>510</v>
      </c>
      <c r="F116" s="32">
        <v>9</v>
      </c>
      <c r="G116" s="32">
        <f t="shared" si="7"/>
        <v>683</v>
      </c>
      <c r="H116" s="32">
        <f t="shared" si="8"/>
        <v>0</v>
      </c>
      <c r="I116" s="11">
        <f t="shared" si="9"/>
        <v>-109280000</v>
      </c>
      <c r="J116" s="32">
        <f t="shared" si="10"/>
        <v>0</v>
      </c>
      <c r="K116" s="32">
        <f t="shared" si="11"/>
        <v>-109280000</v>
      </c>
    </row>
    <row r="117" spans="1:15">
      <c r="A117" s="11" t="s">
        <v>527</v>
      </c>
      <c r="B117" s="34">
        <v>1480</v>
      </c>
      <c r="C117" s="34">
        <v>106941</v>
      </c>
      <c r="D117" s="34">
        <f t="shared" si="12"/>
        <v>-105461</v>
      </c>
      <c r="E117" s="23" t="s">
        <v>528</v>
      </c>
      <c r="F117" s="32">
        <v>22</v>
      </c>
      <c r="G117" s="32">
        <f t="shared" si="7"/>
        <v>674</v>
      </c>
      <c r="H117" s="32">
        <f t="shared" si="8"/>
        <v>1</v>
      </c>
      <c r="I117" s="11">
        <f t="shared" si="9"/>
        <v>996040</v>
      </c>
      <c r="J117" s="32">
        <f t="shared" si="10"/>
        <v>71971293</v>
      </c>
      <c r="K117" s="32">
        <f t="shared" si="11"/>
        <v>-70975253</v>
      </c>
      <c r="N117" s="3"/>
    </row>
    <row r="118" spans="1:15">
      <c r="A118" s="11" t="s">
        <v>552</v>
      </c>
      <c r="B118" s="18">
        <v>39399500</v>
      </c>
      <c r="C118" s="18">
        <v>0</v>
      </c>
      <c r="D118" s="18">
        <f t="shared" si="12"/>
        <v>39399500</v>
      </c>
      <c r="E118" s="11" t="s">
        <v>554</v>
      </c>
      <c r="F118" s="32">
        <v>9</v>
      </c>
      <c r="G118" s="32">
        <f t="shared" si="7"/>
        <v>652</v>
      </c>
      <c r="H118" s="32">
        <f t="shared" si="8"/>
        <v>1</v>
      </c>
      <c r="I118" s="11">
        <f t="shared" si="9"/>
        <v>25649074500</v>
      </c>
      <c r="J118" s="32">
        <f t="shared" si="10"/>
        <v>0</v>
      </c>
      <c r="K118" s="32">
        <f t="shared" si="11"/>
        <v>25649074500</v>
      </c>
      <c r="O118" s="7"/>
    </row>
    <row r="119" spans="1:15">
      <c r="A119" s="11" t="s">
        <v>558</v>
      </c>
      <c r="B119" s="34">
        <v>95521</v>
      </c>
      <c r="C119" s="34">
        <v>110054</v>
      </c>
      <c r="D119" s="34">
        <f t="shared" si="12"/>
        <v>-14533</v>
      </c>
      <c r="E119" s="23" t="s">
        <v>563</v>
      </c>
      <c r="F119" s="32">
        <v>4</v>
      </c>
      <c r="G119" s="32">
        <f t="shared" si="7"/>
        <v>643</v>
      </c>
      <c r="H119" s="32">
        <f t="shared" si="8"/>
        <v>1</v>
      </c>
      <c r="I119" s="11">
        <f t="shared" si="9"/>
        <v>61324482</v>
      </c>
      <c r="J119" s="32">
        <f t="shared" si="10"/>
        <v>70654668</v>
      </c>
      <c r="K119" s="32">
        <f t="shared" si="11"/>
        <v>-9330186</v>
      </c>
    </row>
    <row r="120" spans="1:15">
      <c r="A120" s="11" t="s">
        <v>569</v>
      </c>
      <c r="B120" s="18">
        <v>2000000</v>
      </c>
      <c r="C120" s="18">
        <v>0</v>
      </c>
      <c r="D120" s="18">
        <f t="shared" si="12"/>
        <v>2000000</v>
      </c>
      <c r="E120" s="11" t="s">
        <v>570</v>
      </c>
      <c r="F120" s="11">
        <v>26</v>
      </c>
      <c r="G120" s="32">
        <f t="shared" si="7"/>
        <v>639</v>
      </c>
      <c r="H120" s="11">
        <f t="shared" si="8"/>
        <v>1</v>
      </c>
      <c r="I120" s="11">
        <f t="shared" ref="I120:I296" si="13">B120*(G120-H120)</f>
        <v>1276000000</v>
      </c>
      <c r="J120" s="11">
        <f t="shared" si="10"/>
        <v>0</v>
      </c>
      <c r="K120" s="11">
        <f t="shared" si="11"/>
        <v>1276000000</v>
      </c>
      <c r="N120" s="7"/>
    </row>
    <row r="121" spans="1:15">
      <c r="A121" s="11" t="s">
        <v>597</v>
      </c>
      <c r="B121" s="18">
        <v>2600000</v>
      </c>
      <c r="C121" s="18">
        <v>0</v>
      </c>
      <c r="D121" s="18">
        <f t="shared" si="12"/>
        <v>2600000</v>
      </c>
      <c r="E121" s="11" t="s">
        <v>598</v>
      </c>
      <c r="F121" s="11">
        <v>1</v>
      </c>
      <c r="G121" s="32">
        <f t="shared" si="7"/>
        <v>613</v>
      </c>
      <c r="H121" s="11">
        <f t="shared" si="8"/>
        <v>1</v>
      </c>
      <c r="I121" s="11">
        <f t="shared" si="13"/>
        <v>1591200000</v>
      </c>
      <c r="J121" s="11">
        <f t="shared" si="10"/>
        <v>0</v>
      </c>
      <c r="K121" s="11">
        <f t="shared" si="11"/>
        <v>1591200000</v>
      </c>
    </row>
    <row r="122" spans="1:15">
      <c r="A122" s="11" t="s">
        <v>601</v>
      </c>
      <c r="B122" s="34">
        <v>384551</v>
      </c>
      <c r="C122" s="34">
        <v>110908</v>
      </c>
      <c r="D122" s="34">
        <f t="shared" si="12"/>
        <v>273643</v>
      </c>
      <c r="E122" s="23" t="s">
        <v>602</v>
      </c>
      <c r="F122" s="11">
        <v>1</v>
      </c>
      <c r="G122" s="32">
        <f t="shared" si="7"/>
        <v>612</v>
      </c>
      <c r="H122" s="11">
        <f t="shared" si="8"/>
        <v>1</v>
      </c>
      <c r="I122" s="11">
        <f t="shared" si="13"/>
        <v>234960661</v>
      </c>
      <c r="J122" s="11">
        <f t="shared" si="10"/>
        <v>67764788</v>
      </c>
      <c r="K122" s="11">
        <f t="shared" si="11"/>
        <v>167195873</v>
      </c>
      <c r="N122" t="s">
        <v>25</v>
      </c>
    </row>
    <row r="123" spans="1:15">
      <c r="A123" s="11" t="s">
        <v>610</v>
      </c>
      <c r="B123" s="18">
        <v>0</v>
      </c>
      <c r="C123" s="18">
        <v>800000</v>
      </c>
      <c r="D123" s="18">
        <f t="shared" si="12"/>
        <v>-800000</v>
      </c>
      <c r="E123" s="11" t="s">
        <v>611</v>
      </c>
      <c r="F123" s="11">
        <v>14</v>
      </c>
      <c r="G123" s="32">
        <f t="shared" si="7"/>
        <v>611</v>
      </c>
      <c r="H123" s="11">
        <f t="shared" si="8"/>
        <v>0</v>
      </c>
      <c r="I123" s="11">
        <f t="shared" si="13"/>
        <v>0</v>
      </c>
      <c r="J123" s="11">
        <f t="shared" si="10"/>
        <v>488800000</v>
      </c>
      <c r="K123" s="11">
        <f t="shared" si="11"/>
        <v>-488800000</v>
      </c>
    </row>
    <row r="124" spans="1:15">
      <c r="A124" s="11" t="s">
        <v>626</v>
      </c>
      <c r="B124" s="18">
        <v>-3000000</v>
      </c>
      <c r="C124" s="18">
        <v>0</v>
      </c>
      <c r="D124" s="18">
        <f t="shared" si="12"/>
        <v>-3000000</v>
      </c>
      <c r="E124" s="11" t="s">
        <v>628</v>
      </c>
      <c r="F124" s="11">
        <v>15</v>
      </c>
      <c r="G124" s="32">
        <f t="shared" si="7"/>
        <v>597</v>
      </c>
      <c r="H124" s="11">
        <f t="shared" si="8"/>
        <v>0</v>
      </c>
      <c r="I124" s="11">
        <f t="shared" si="13"/>
        <v>-1791000000</v>
      </c>
      <c r="J124" s="11">
        <f t="shared" si="10"/>
        <v>0</v>
      </c>
      <c r="K124" s="11">
        <f t="shared" si="11"/>
        <v>-1791000000</v>
      </c>
    </row>
    <row r="125" spans="1:15">
      <c r="A125" s="11" t="s">
        <v>604</v>
      </c>
      <c r="B125" s="18">
        <v>400710</v>
      </c>
      <c r="C125" s="18">
        <v>118875</v>
      </c>
      <c r="D125" s="18">
        <f t="shared" si="12"/>
        <v>281835</v>
      </c>
      <c r="E125" s="11" t="s">
        <v>641</v>
      </c>
      <c r="F125" s="11">
        <v>0</v>
      </c>
      <c r="G125" s="32">
        <f t="shared" si="7"/>
        <v>582</v>
      </c>
      <c r="H125" s="11">
        <f t="shared" si="8"/>
        <v>1</v>
      </c>
      <c r="I125" s="11">
        <f t="shared" si="13"/>
        <v>232812510</v>
      </c>
      <c r="J125" s="11">
        <f t="shared" si="10"/>
        <v>69066375</v>
      </c>
      <c r="K125" s="11">
        <f t="shared" si="11"/>
        <v>163746135</v>
      </c>
    </row>
    <row r="126" spans="1:15">
      <c r="A126" s="11" t="s">
        <v>604</v>
      </c>
      <c r="B126" s="18">
        <v>42000000</v>
      </c>
      <c r="C126" s="18">
        <v>0</v>
      </c>
      <c r="D126" s="18">
        <f t="shared" si="12"/>
        <v>42000000</v>
      </c>
      <c r="E126" s="11" t="s">
        <v>474</v>
      </c>
      <c r="F126" s="11">
        <v>25</v>
      </c>
      <c r="G126" s="32">
        <f t="shared" si="7"/>
        <v>582</v>
      </c>
      <c r="H126" s="11">
        <f t="shared" si="8"/>
        <v>1</v>
      </c>
      <c r="I126" s="11">
        <f t="shared" si="13"/>
        <v>24402000000</v>
      </c>
      <c r="J126" s="11">
        <f t="shared" si="10"/>
        <v>0</v>
      </c>
      <c r="K126" s="11">
        <f t="shared" si="11"/>
        <v>24402000000</v>
      </c>
    </row>
    <row r="127" spans="1:15">
      <c r="A127" s="11" t="s">
        <v>666</v>
      </c>
      <c r="B127" s="18">
        <v>-5000</v>
      </c>
      <c r="C127" s="18">
        <v>0</v>
      </c>
      <c r="D127" s="18">
        <f t="shared" si="12"/>
        <v>-5000</v>
      </c>
      <c r="E127" s="11" t="s">
        <v>26</v>
      </c>
      <c r="F127" s="11">
        <v>6</v>
      </c>
      <c r="G127" s="32">
        <f t="shared" si="7"/>
        <v>557</v>
      </c>
      <c r="H127" s="11">
        <f t="shared" si="8"/>
        <v>0</v>
      </c>
      <c r="I127" s="11">
        <f t="shared" si="13"/>
        <v>-2785000</v>
      </c>
      <c r="J127" s="11">
        <f t="shared" si="10"/>
        <v>0</v>
      </c>
      <c r="K127" s="11">
        <f t="shared" si="11"/>
        <v>-2785000</v>
      </c>
    </row>
    <row r="128" spans="1:15">
      <c r="A128" s="11" t="s">
        <v>605</v>
      </c>
      <c r="B128" s="18">
        <v>771374</v>
      </c>
      <c r="C128" s="18">
        <v>120697</v>
      </c>
      <c r="D128" s="18">
        <f t="shared" si="12"/>
        <v>650677</v>
      </c>
      <c r="E128" s="11" t="s">
        <v>668</v>
      </c>
      <c r="F128" s="11">
        <v>3</v>
      </c>
      <c r="G128" s="32">
        <f t="shared" si="7"/>
        <v>551</v>
      </c>
      <c r="H128" s="11">
        <f t="shared" si="8"/>
        <v>1</v>
      </c>
      <c r="I128" s="11">
        <f t="shared" si="13"/>
        <v>424255700</v>
      </c>
      <c r="J128" s="11">
        <f t="shared" si="10"/>
        <v>66383350</v>
      </c>
      <c r="K128" s="11">
        <f t="shared" si="11"/>
        <v>357872350</v>
      </c>
    </row>
    <row r="129" spans="1:13">
      <c r="A129" s="11" t="s">
        <v>678</v>
      </c>
      <c r="B129" s="18">
        <v>2500000</v>
      </c>
      <c r="C129" s="18">
        <v>0</v>
      </c>
      <c r="D129" s="18">
        <f t="shared" si="12"/>
        <v>2500000</v>
      </c>
      <c r="E129" s="11" t="s">
        <v>679</v>
      </c>
      <c r="F129" s="11">
        <v>14</v>
      </c>
      <c r="G129" s="32">
        <f t="shared" si="7"/>
        <v>548</v>
      </c>
      <c r="H129" s="11">
        <f t="shared" si="8"/>
        <v>1</v>
      </c>
      <c r="I129" s="11">
        <f t="shared" si="13"/>
        <v>1367500000</v>
      </c>
      <c r="J129" s="11">
        <f t="shared" si="10"/>
        <v>0</v>
      </c>
      <c r="K129" s="11">
        <f t="shared" si="11"/>
        <v>1367500000</v>
      </c>
    </row>
    <row r="130" spans="1:13">
      <c r="A130" s="11" t="s">
        <v>692</v>
      </c>
      <c r="B130" s="18">
        <v>-1000000</v>
      </c>
      <c r="C130" s="18">
        <v>-1000000</v>
      </c>
      <c r="D130" s="18">
        <f t="shared" si="12"/>
        <v>0</v>
      </c>
      <c r="E130" s="11" t="s">
        <v>711</v>
      </c>
      <c r="F130" s="11">
        <v>5</v>
      </c>
      <c r="G130" s="32">
        <f t="shared" si="7"/>
        <v>534</v>
      </c>
      <c r="H130" s="11">
        <f t="shared" si="8"/>
        <v>0</v>
      </c>
      <c r="I130" s="11">
        <f t="shared" si="13"/>
        <v>-534000000</v>
      </c>
      <c r="J130" s="11">
        <f t="shared" si="10"/>
        <v>-534000000</v>
      </c>
      <c r="K130" s="11">
        <f t="shared" si="11"/>
        <v>0</v>
      </c>
    </row>
    <row r="131" spans="1:13">
      <c r="A131" s="11" t="s">
        <v>695</v>
      </c>
      <c r="B131" s="18">
        <v>-50000000</v>
      </c>
      <c r="C131" s="18">
        <v>0</v>
      </c>
      <c r="D131" s="18">
        <f t="shared" si="12"/>
        <v>-50000000</v>
      </c>
      <c r="E131" s="11" t="s">
        <v>696</v>
      </c>
      <c r="F131" s="11">
        <v>8</v>
      </c>
      <c r="G131" s="32">
        <f t="shared" ref="G131:G203" si="14">G132+F131</f>
        <v>529</v>
      </c>
      <c r="H131" s="11">
        <f t="shared" si="8"/>
        <v>0</v>
      </c>
      <c r="I131" s="11">
        <f t="shared" si="13"/>
        <v>-26450000000</v>
      </c>
      <c r="J131" s="11">
        <f t="shared" si="10"/>
        <v>0</v>
      </c>
      <c r="K131" s="11">
        <f t="shared" si="11"/>
        <v>-26450000000</v>
      </c>
    </row>
    <row r="132" spans="1:13">
      <c r="A132" s="11" t="s">
        <v>606</v>
      </c>
      <c r="B132" s="18">
        <v>614287</v>
      </c>
      <c r="C132" s="18">
        <v>105971</v>
      </c>
      <c r="D132" s="18">
        <f t="shared" si="12"/>
        <v>508316</v>
      </c>
      <c r="E132" s="11" t="s">
        <v>135</v>
      </c>
      <c r="F132" s="11">
        <v>4</v>
      </c>
      <c r="G132" s="32">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719</v>
      </c>
      <c r="B133" s="18">
        <v>-1210700</v>
      </c>
      <c r="C133" s="18">
        <v>0</v>
      </c>
      <c r="D133" s="18">
        <f t="shared" si="12"/>
        <v>-1210700</v>
      </c>
      <c r="E133" s="11" t="s">
        <v>720</v>
      </c>
      <c r="F133" s="11">
        <v>9</v>
      </c>
      <c r="G133" s="32">
        <f t="shared" si="14"/>
        <v>517</v>
      </c>
      <c r="H133" s="11">
        <f t="shared" si="15"/>
        <v>0</v>
      </c>
      <c r="I133" s="11">
        <f t="shared" si="13"/>
        <v>-625931900</v>
      </c>
      <c r="J133" s="11">
        <f t="shared" si="16"/>
        <v>0</v>
      </c>
      <c r="K133" s="11">
        <f t="shared" si="17"/>
        <v>-625931900</v>
      </c>
    </row>
    <row r="134" spans="1:13">
      <c r="A134" s="11" t="s">
        <v>729</v>
      </c>
      <c r="B134" s="18">
        <v>-65000</v>
      </c>
      <c r="C134" s="18">
        <v>0</v>
      </c>
      <c r="D134" s="18">
        <f t="shared" si="12"/>
        <v>-65000</v>
      </c>
      <c r="E134" s="11" t="s">
        <v>732</v>
      </c>
      <c r="F134" s="11">
        <v>0</v>
      </c>
      <c r="G134" s="32">
        <f t="shared" si="14"/>
        <v>508</v>
      </c>
      <c r="H134" s="11">
        <f t="shared" si="15"/>
        <v>0</v>
      </c>
      <c r="I134" s="11">
        <f t="shared" si="13"/>
        <v>-33020000</v>
      </c>
      <c r="J134" s="11">
        <f t="shared" si="16"/>
        <v>0</v>
      </c>
      <c r="K134" s="11">
        <f t="shared" si="17"/>
        <v>-33020000</v>
      </c>
    </row>
    <row r="135" spans="1:13">
      <c r="A135" s="11" t="s">
        <v>729</v>
      </c>
      <c r="B135" s="18">
        <v>-32300</v>
      </c>
      <c r="C135" s="18">
        <v>0</v>
      </c>
      <c r="D135" s="18">
        <f t="shared" si="12"/>
        <v>-32300</v>
      </c>
      <c r="E135" s="11" t="s">
        <v>733</v>
      </c>
      <c r="F135" s="11">
        <v>8</v>
      </c>
      <c r="G135" s="32">
        <f t="shared" si="14"/>
        <v>508</v>
      </c>
      <c r="H135" s="11">
        <f t="shared" si="15"/>
        <v>0</v>
      </c>
      <c r="I135" s="11">
        <f t="shared" si="13"/>
        <v>-16408400</v>
      </c>
      <c r="J135" s="11">
        <f t="shared" si="16"/>
        <v>0</v>
      </c>
      <c r="K135" s="11">
        <f t="shared" si="17"/>
        <v>-16408400</v>
      </c>
    </row>
    <row r="136" spans="1:13">
      <c r="A136" s="11" t="s">
        <v>740</v>
      </c>
      <c r="B136" s="18">
        <v>-1000000</v>
      </c>
      <c r="C136" s="18">
        <v>-1000000</v>
      </c>
      <c r="D136" s="18">
        <f t="shared" si="12"/>
        <v>0</v>
      </c>
      <c r="E136" s="11" t="s">
        <v>741</v>
      </c>
      <c r="F136" s="11">
        <v>9</v>
      </c>
      <c r="G136" s="32">
        <f t="shared" si="14"/>
        <v>500</v>
      </c>
      <c r="H136" s="11">
        <f t="shared" si="15"/>
        <v>0</v>
      </c>
      <c r="I136" s="11">
        <f t="shared" si="13"/>
        <v>-500000000</v>
      </c>
      <c r="J136" s="11">
        <f t="shared" si="16"/>
        <v>-500000000</v>
      </c>
      <c r="K136" s="11">
        <f t="shared" si="17"/>
        <v>0</v>
      </c>
    </row>
    <row r="137" spans="1:13">
      <c r="A137" s="11" t="s">
        <v>607</v>
      </c>
      <c r="B137" s="18">
        <v>290873</v>
      </c>
      <c r="C137" s="18">
        <v>97359</v>
      </c>
      <c r="D137" s="18">
        <f t="shared" si="12"/>
        <v>193514</v>
      </c>
      <c r="E137" s="11" t="s">
        <v>176</v>
      </c>
      <c r="F137" s="11">
        <v>17</v>
      </c>
      <c r="G137" s="32">
        <f t="shared" si="14"/>
        <v>491</v>
      </c>
      <c r="H137" s="11">
        <f t="shared" si="15"/>
        <v>1</v>
      </c>
      <c r="I137" s="11">
        <f t="shared" si="13"/>
        <v>142527770</v>
      </c>
      <c r="J137" s="11">
        <f t="shared" si="16"/>
        <v>47705910</v>
      </c>
      <c r="K137" s="11">
        <f t="shared" si="17"/>
        <v>94821860</v>
      </c>
    </row>
    <row r="138" spans="1:13">
      <c r="A138" s="11" t="s">
        <v>760</v>
      </c>
      <c r="B138" s="18">
        <v>-1000500</v>
      </c>
      <c r="C138" s="18">
        <v>-1000500</v>
      </c>
      <c r="D138" s="18">
        <f t="shared" si="12"/>
        <v>0</v>
      </c>
      <c r="E138" s="11" t="s">
        <v>761</v>
      </c>
      <c r="F138" s="11">
        <v>12</v>
      </c>
      <c r="G138" s="32">
        <f t="shared" si="14"/>
        <v>474</v>
      </c>
      <c r="H138" s="11">
        <f t="shared" si="15"/>
        <v>0</v>
      </c>
      <c r="I138" s="11">
        <f t="shared" si="13"/>
        <v>-474237000</v>
      </c>
      <c r="J138" s="11">
        <f t="shared" si="16"/>
        <v>-474237000</v>
      </c>
      <c r="K138" s="11">
        <f t="shared" si="17"/>
        <v>0</v>
      </c>
    </row>
    <row r="139" spans="1:13">
      <c r="A139" s="11" t="s">
        <v>775</v>
      </c>
      <c r="B139" s="18">
        <v>282240</v>
      </c>
      <c r="C139" s="18">
        <v>88807</v>
      </c>
      <c r="D139" s="18">
        <f t="shared" si="12"/>
        <v>193433</v>
      </c>
      <c r="E139" s="11" t="s">
        <v>778</v>
      </c>
      <c r="F139" s="11">
        <v>3</v>
      </c>
      <c r="G139" s="32">
        <f t="shared" si="14"/>
        <v>462</v>
      </c>
      <c r="H139" s="11">
        <f t="shared" si="15"/>
        <v>1</v>
      </c>
      <c r="I139" s="11">
        <f t="shared" si="13"/>
        <v>130112640</v>
      </c>
      <c r="J139" s="11">
        <f t="shared" si="16"/>
        <v>40940027</v>
      </c>
      <c r="K139" s="11">
        <f t="shared" si="17"/>
        <v>89172613</v>
      </c>
    </row>
    <row r="140" spans="1:13">
      <c r="A140" s="11" t="s">
        <v>780</v>
      </c>
      <c r="B140" s="18">
        <v>1500000</v>
      </c>
      <c r="C140" s="18">
        <v>0</v>
      </c>
      <c r="D140" s="18">
        <f t="shared" si="12"/>
        <v>1500000</v>
      </c>
      <c r="E140" s="11" t="s">
        <v>781</v>
      </c>
      <c r="F140" s="11">
        <v>13</v>
      </c>
      <c r="G140" s="32">
        <f t="shared" si="14"/>
        <v>459</v>
      </c>
      <c r="H140" s="11">
        <f t="shared" si="15"/>
        <v>1</v>
      </c>
      <c r="I140" s="11">
        <f t="shared" si="13"/>
        <v>687000000</v>
      </c>
      <c r="J140" s="11">
        <f t="shared" si="16"/>
        <v>0</v>
      </c>
      <c r="K140" s="11">
        <f t="shared" si="17"/>
        <v>687000000</v>
      </c>
    </row>
    <row r="141" spans="1:13">
      <c r="A141" s="11" t="s">
        <v>801</v>
      </c>
      <c r="B141" s="18">
        <v>0</v>
      </c>
      <c r="C141" s="18">
        <v>-1000000</v>
      </c>
      <c r="D141" s="18">
        <f t="shared" si="12"/>
        <v>1000000</v>
      </c>
      <c r="E141" s="11" t="s">
        <v>800</v>
      </c>
      <c r="F141" s="11">
        <v>14</v>
      </c>
      <c r="G141" s="32">
        <f t="shared" si="14"/>
        <v>446</v>
      </c>
      <c r="H141" s="11">
        <f t="shared" si="15"/>
        <v>0</v>
      </c>
      <c r="I141" s="11">
        <f t="shared" si="13"/>
        <v>0</v>
      </c>
      <c r="J141" s="11">
        <f t="shared" si="16"/>
        <v>-446000000</v>
      </c>
      <c r="K141" s="11">
        <f t="shared" si="17"/>
        <v>446000000</v>
      </c>
    </row>
    <row r="142" spans="1:13">
      <c r="A142" s="11" t="s">
        <v>814</v>
      </c>
      <c r="B142" s="18">
        <v>290893</v>
      </c>
      <c r="C142" s="18">
        <v>81022</v>
      </c>
      <c r="D142" s="18">
        <f t="shared" si="12"/>
        <v>209871</v>
      </c>
      <c r="E142" s="11" t="s">
        <v>819</v>
      </c>
      <c r="F142" s="11">
        <v>20</v>
      </c>
      <c r="G142" s="32">
        <f t="shared" si="14"/>
        <v>432</v>
      </c>
      <c r="H142" s="11">
        <f t="shared" si="15"/>
        <v>1</v>
      </c>
      <c r="I142" s="11">
        <f t="shared" si="13"/>
        <v>125374883</v>
      </c>
      <c r="J142" s="11">
        <f t="shared" si="16"/>
        <v>34920482</v>
      </c>
      <c r="K142" s="11">
        <f t="shared" si="17"/>
        <v>90454401</v>
      </c>
    </row>
    <row r="143" spans="1:13">
      <c r="A143" s="11" t="s">
        <v>842</v>
      </c>
      <c r="B143" s="18">
        <v>0</v>
      </c>
      <c r="C143" s="18">
        <v>-1000000</v>
      </c>
      <c r="D143" s="18">
        <f t="shared" si="12"/>
        <v>1000000</v>
      </c>
      <c r="E143" s="11" t="s">
        <v>846</v>
      </c>
      <c r="F143" s="11">
        <v>10</v>
      </c>
      <c r="G143" s="32">
        <f t="shared" si="14"/>
        <v>412</v>
      </c>
      <c r="H143" s="11">
        <f t="shared" si="15"/>
        <v>0</v>
      </c>
      <c r="I143" s="11">
        <f t="shared" si="13"/>
        <v>0</v>
      </c>
      <c r="J143" s="11">
        <f t="shared" si="16"/>
        <v>-412000000</v>
      </c>
      <c r="K143" s="11">
        <f t="shared" si="17"/>
        <v>412000000</v>
      </c>
      <c r="M143" t="s">
        <v>25</v>
      </c>
    </row>
    <row r="144" spans="1:13">
      <c r="A144" s="11" t="s">
        <v>850</v>
      </c>
      <c r="B144" s="18">
        <v>294852</v>
      </c>
      <c r="C144" s="18">
        <v>74657</v>
      </c>
      <c r="D144" s="18">
        <f t="shared" si="12"/>
        <v>220195</v>
      </c>
      <c r="E144" s="11" t="s">
        <v>381</v>
      </c>
      <c r="F144" s="11">
        <v>15</v>
      </c>
      <c r="G144" s="32">
        <f t="shared" si="14"/>
        <v>402</v>
      </c>
      <c r="H144" s="11">
        <f t="shared" si="15"/>
        <v>1</v>
      </c>
      <c r="I144" s="11">
        <f t="shared" si="13"/>
        <v>118235652</v>
      </c>
      <c r="J144" s="11">
        <f t="shared" si="16"/>
        <v>29937457</v>
      </c>
      <c r="K144" s="11">
        <f t="shared" si="17"/>
        <v>88298195</v>
      </c>
    </row>
    <row r="145" spans="1:11">
      <c r="A145" s="11" t="s">
        <v>875</v>
      </c>
      <c r="B145" s="18">
        <v>-10000</v>
      </c>
      <c r="C145" s="18">
        <v>-5000</v>
      </c>
      <c r="D145" s="18">
        <f t="shared" si="12"/>
        <v>-5000</v>
      </c>
      <c r="E145" s="61" t="s">
        <v>881</v>
      </c>
      <c r="F145" s="11">
        <v>5</v>
      </c>
      <c r="G145" s="32">
        <f t="shared" si="14"/>
        <v>387</v>
      </c>
      <c r="H145" s="11">
        <f t="shared" si="15"/>
        <v>0</v>
      </c>
      <c r="I145" s="11">
        <f t="shared" si="13"/>
        <v>-3870000</v>
      </c>
      <c r="J145" s="11">
        <f t="shared" si="16"/>
        <v>-1935000</v>
      </c>
      <c r="K145" s="11">
        <f t="shared" si="17"/>
        <v>-1935000</v>
      </c>
    </row>
    <row r="146" spans="1:11">
      <c r="A146" s="11" t="s">
        <v>861</v>
      </c>
      <c r="B146" s="18">
        <v>-1000500</v>
      </c>
      <c r="C146" s="18">
        <v>-1000500</v>
      </c>
      <c r="D146" s="18">
        <f t="shared" si="12"/>
        <v>0</v>
      </c>
      <c r="E146" s="11" t="s">
        <v>862</v>
      </c>
      <c r="F146" s="11">
        <v>6</v>
      </c>
      <c r="G146" s="32">
        <f t="shared" si="14"/>
        <v>382</v>
      </c>
      <c r="H146" s="11">
        <f t="shared" si="15"/>
        <v>0</v>
      </c>
      <c r="I146" s="11">
        <f t="shared" si="13"/>
        <v>-382191000</v>
      </c>
      <c r="J146" s="11">
        <f t="shared" si="16"/>
        <v>-382191000</v>
      </c>
      <c r="K146" s="11">
        <f t="shared" si="17"/>
        <v>0</v>
      </c>
    </row>
    <row r="147" spans="1:11">
      <c r="A147" s="11" t="s">
        <v>897</v>
      </c>
      <c r="B147" s="18">
        <v>-27000000</v>
      </c>
      <c r="C147" s="18">
        <v>0</v>
      </c>
      <c r="D147" s="18">
        <f t="shared" si="12"/>
        <v>-27000000</v>
      </c>
      <c r="E147" s="11" t="s">
        <v>972</v>
      </c>
      <c r="F147" s="11">
        <v>3</v>
      </c>
      <c r="G147" s="32">
        <f t="shared" si="14"/>
        <v>376</v>
      </c>
      <c r="H147" s="11">
        <f t="shared" si="15"/>
        <v>0</v>
      </c>
      <c r="I147" s="11">
        <f t="shared" si="13"/>
        <v>-10152000000</v>
      </c>
      <c r="J147" s="11">
        <f t="shared" si="16"/>
        <v>0</v>
      </c>
      <c r="K147" s="11">
        <f t="shared" si="17"/>
        <v>-10152000000</v>
      </c>
    </row>
    <row r="148" spans="1:11">
      <c r="A148" s="11" t="s">
        <v>997</v>
      </c>
      <c r="B148" s="18">
        <v>252436</v>
      </c>
      <c r="C148" s="18">
        <v>65510</v>
      </c>
      <c r="D148" s="18">
        <f t="shared" si="12"/>
        <v>186926</v>
      </c>
      <c r="E148" s="11" t="s">
        <v>999</v>
      </c>
      <c r="F148" s="11">
        <v>8</v>
      </c>
      <c r="G148" s="32">
        <f t="shared" si="14"/>
        <v>373</v>
      </c>
      <c r="H148" s="11">
        <f t="shared" si="15"/>
        <v>1</v>
      </c>
      <c r="I148" s="11">
        <f t="shared" si="13"/>
        <v>93906192</v>
      </c>
      <c r="J148" s="11">
        <f t="shared" si="16"/>
        <v>24369720</v>
      </c>
      <c r="K148" s="11">
        <f t="shared" si="17"/>
        <v>69536472</v>
      </c>
    </row>
    <row r="149" spans="1:11">
      <c r="A149" s="11" t="s">
        <v>1036</v>
      </c>
      <c r="B149" s="18">
        <v>52400000</v>
      </c>
      <c r="C149" s="18">
        <v>0</v>
      </c>
      <c r="D149" s="18">
        <f t="shared" ref="D149:D370" si="18">B149-C149</f>
        <v>52400000</v>
      </c>
      <c r="E149" s="11" t="s">
        <v>1037</v>
      </c>
      <c r="F149" s="11">
        <v>7</v>
      </c>
      <c r="G149" s="32">
        <f t="shared" si="14"/>
        <v>365</v>
      </c>
      <c r="H149" s="11">
        <f t="shared" si="15"/>
        <v>1</v>
      </c>
      <c r="I149" s="11">
        <f t="shared" si="13"/>
        <v>19073600000</v>
      </c>
      <c r="J149" s="11">
        <f t="shared" si="16"/>
        <v>0</v>
      </c>
      <c r="K149" s="11">
        <f t="shared" si="17"/>
        <v>19073600000</v>
      </c>
    </row>
    <row r="150" spans="1:11">
      <c r="A150" s="11" t="s">
        <v>1040</v>
      </c>
      <c r="B150" s="18">
        <v>-52000000</v>
      </c>
      <c r="C150" s="18">
        <v>0</v>
      </c>
      <c r="D150" s="18">
        <f t="shared" si="18"/>
        <v>-52000000</v>
      </c>
      <c r="E150" s="11" t="s">
        <v>1042</v>
      </c>
      <c r="F150" s="11">
        <v>5</v>
      </c>
      <c r="G150" s="32">
        <f t="shared" si="14"/>
        <v>358</v>
      </c>
      <c r="H150" s="11">
        <f t="shared" si="15"/>
        <v>0</v>
      </c>
      <c r="I150" s="11">
        <f t="shared" si="13"/>
        <v>-18616000000</v>
      </c>
      <c r="J150" s="11">
        <f t="shared" si="16"/>
        <v>0</v>
      </c>
      <c r="K150" s="11">
        <f t="shared" si="17"/>
        <v>-18616000000</v>
      </c>
    </row>
    <row r="151" spans="1:11">
      <c r="A151" s="11" t="s">
        <v>1081</v>
      </c>
      <c r="B151" s="18">
        <v>-8000000</v>
      </c>
      <c r="C151" s="18">
        <v>-6772131</v>
      </c>
      <c r="D151" s="18">
        <f t="shared" si="18"/>
        <v>-1227869</v>
      </c>
      <c r="E151" s="11" t="s">
        <v>1071</v>
      </c>
      <c r="F151" s="11">
        <v>0</v>
      </c>
      <c r="G151" s="32">
        <f t="shared" si="14"/>
        <v>353</v>
      </c>
      <c r="H151" s="11">
        <f t="shared" si="15"/>
        <v>0</v>
      </c>
      <c r="I151" s="11">
        <f t="shared" si="13"/>
        <v>-2824000000</v>
      </c>
      <c r="J151" s="11">
        <f t="shared" si="16"/>
        <v>-2390562243</v>
      </c>
      <c r="K151" s="11">
        <f t="shared" si="17"/>
        <v>-433437757</v>
      </c>
    </row>
    <row r="152" spans="1:11">
      <c r="A152" s="11" t="s">
        <v>1081</v>
      </c>
      <c r="B152" s="18">
        <v>-31230</v>
      </c>
      <c r="C152" s="18">
        <v>0</v>
      </c>
      <c r="D152" s="18">
        <f t="shared" si="18"/>
        <v>-31230</v>
      </c>
      <c r="E152" s="11" t="s">
        <v>1082</v>
      </c>
      <c r="F152" s="11">
        <v>11</v>
      </c>
      <c r="G152" s="32">
        <f t="shared" si="14"/>
        <v>353</v>
      </c>
      <c r="H152" s="11">
        <f t="shared" si="15"/>
        <v>0</v>
      </c>
      <c r="I152" s="11">
        <f t="shared" si="13"/>
        <v>-11024190</v>
      </c>
      <c r="J152" s="11">
        <f t="shared" si="16"/>
        <v>0</v>
      </c>
      <c r="K152" s="11">
        <f t="shared" si="17"/>
        <v>-11024190</v>
      </c>
    </row>
    <row r="153" spans="1:11">
      <c r="A153" s="11" t="s">
        <v>1107</v>
      </c>
      <c r="B153" s="18">
        <v>135087</v>
      </c>
      <c r="C153" s="18">
        <v>41130</v>
      </c>
      <c r="D153" s="18">
        <f t="shared" si="18"/>
        <v>93957</v>
      </c>
      <c r="E153" s="11" t="s">
        <v>487</v>
      </c>
      <c r="F153" s="11">
        <v>3</v>
      </c>
      <c r="G153" s="32">
        <f t="shared" si="14"/>
        <v>342</v>
      </c>
      <c r="H153" s="11">
        <f t="shared" si="15"/>
        <v>1</v>
      </c>
      <c r="I153" s="11">
        <f t="shared" si="13"/>
        <v>46064667</v>
      </c>
      <c r="J153" s="11">
        <f t="shared" si="16"/>
        <v>14025330</v>
      </c>
      <c r="K153" s="11">
        <f t="shared" si="17"/>
        <v>32039337</v>
      </c>
    </row>
    <row r="154" spans="1:11">
      <c r="A154" s="11" t="s">
        <v>1118</v>
      </c>
      <c r="B154" s="18">
        <v>6824082</v>
      </c>
      <c r="C154" s="18">
        <v>6824082</v>
      </c>
      <c r="D154" s="18">
        <f t="shared" si="18"/>
        <v>0</v>
      </c>
      <c r="E154" s="11" t="s">
        <v>1119</v>
      </c>
      <c r="F154" s="11">
        <v>5</v>
      </c>
      <c r="G154" s="32">
        <f t="shared" si="14"/>
        <v>339</v>
      </c>
      <c r="H154" s="11">
        <f t="shared" si="15"/>
        <v>1</v>
      </c>
      <c r="I154" s="11">
        <f t="shared" si="13"/>
        <v>2306539716</v>
      </c>
      <c r="J154" s="11">
        <f t="shared" si="16"/>
        <v>2306539716</v>
      </c>
      <c r="K154" s="11">
        <f t="shared" si="17"/>
        <v>0</v>
      </c>
    </row>
    <row r="155" spans="1:11">
      <c r="A155" s="11" t="s">
        <v>1137</v>
      </c>
      <c r="B155" s="18">
        <v>-200000</v>
      </c>
      <c r="C155" s="18">
        <v>0</v>
      </c>
      <c r="D155" s="18">
        <f t="shared" si="18"/>
        <v>-200000</v>
      </c>
      <c r="E155" s="11" t="s">
        <v>730</v>
      </c>
      <c r="F155" s="11">
        <v>0</v>
      </c>
      <c r="G155" s="32">
        <f t="shared" si="14"/>
        <v>334</v>
      </c>
      <c r="H155" s="11">
        <f t="shared" si="15"/>
        <v>0</v>
      </c>
      <c r="I155" s="11">
        <f t="shared" si="13"/>
        <v>-66800000</v>
      </c>
      <c r="J155" s="11">
        <f t="shared" si="16"/>
        <v>0</v>
      </c>
      <c r="K155" s="11">
        <f t="shared" si="17"/>
        <v>-66800000</v>
      </c>
    </row>
    <row r="156" spans="1:11">
      <c r="A156" s="11" t="s">
        <v>1137</v>
      </c>
      <c r="B156" s="18">
        <v>-247840</v>
      </c>
      <c r="C156" s="18">
        <v>0</v>
      </c>
      <c r="D156" s="18">
        <f t="shared" si="18"/>
        <v>-247840</v>
      </c>
      <c r="E156" s="11" t="s">
        <v>1139</v>
      </c>
      <c r="F156" s="11">
        <v>1</v>
      </c>
      <c r="G156" s="32">
        <f t="shared" si="14"/>
        <v>334</v>
      </c>
      <c r="H156" s="11">
        <f t="shared" si="15"/>
        <v>0</v>
      </c>
      <c r="I156" s="11">
        <f t="shared" si="13"/>
        <v>-82778560</v>
      </c>
      <c r="J156" s="11">
        <f t="shared" si="16"/>
        <v>0</v>
      </c>
      <c r="K156" s="11">
        <f t="shared" si="17"/>
        <v>-82778560</v>
      </c>
    </row>
    <row r="157" spans="1:11">
      <c r="A157" s="11" t="s">
        <v>1143</v>
      </c>
      <c r="B157" s="18">
        <v>-162340</v>
      </c>
      <c r="C157" s="18">
        <v>0</v>
      </c>
      <c r="D157" s="18">
        <f t="shared" si="18"/>
        <v>-162340</v>
      </c>
      <c r="E157" s="11" t="s">
        <v>1144</v>
      </c>
      <c r="F157" s="11">
        <v>0</v>
      </c>
      <c r="G157" s="32">
        <f t="shared" si="14"/>
        <v>333</v>
      </c>
      <c r="H157" s="11">
        <f t="shared" si="15"/>
        <v>0</v>
      </c>
      <c r="I157" s="11">
        <f t="shared" si="13"/>
        <v>-54059220</v>
      </c>
      <c r="J157" s="11">
        <f t="shared" si="16"/>
        <v>0</v>
      </c>
      <c r="K157" s="11">
        <f t="shared" si="17"/>
        <v>-54059220</v>
      </c>
    </row>
    <row r="158" spans="1:11">
      <c r="A158" s="11" t="s">
        <v>1143</v>
      </c>
      <c r="B158" s="18">
        <v>-3000900</v>
      </c>
      <c r="C158" s="18">
        <v>0</v>
      </c>
      <c r="D158" s="18">
        <f t="shared" si="18"/>
        <v>-3000900</v>
      </c>
      <c r="E158" s="11" t="s">
        <v>1145</v>
      </c>
      <c r="F158" s="11">
        <v>2</v>
      </c>
      <c r="G158" s="32">
        <f t="shared" si="14"/>
        <v>333</v>
      </c>
      <c r="H158" s="11">
        <f t="shared" si="15"/>
        <v>0</v>
      </c>
      <c r="I158" s="11">
        <f t="shared" si="13"/>
        <v>-999299700</v>
      </c>
      <c r="J158" s="11">
        <f t="shared" si="16"/>
        <v>0</v>
      </c>
      <c r="K158" s="11">
        <f t="shared" si="17"/>
        <v>-999299700</v>
      </c>
    </row>
    <row r="159" spans="1:11">
      <c r="A159" s="11" t="s">
        <v>1159</v>
      </c>
      <c r="B159" s="18">
        <v>-1000500</v>
      </c>
      <c r="C159" s="18">
        <v>0</v>
      </c>
      <c r="D159" s="18">
        <f t="shared" si="18"/>
        <v>-1000500</v>
      </c>
      <c r="E159" s="11" t="s">
        <v>1160</v>
      </c>
      <c r="F159" s="11">
        <v>4</v>
      </c>
      <c r="G159" s="32">
        <f t="shared" si="14"/>
        <v>331</v>
      </c>
      <c r="H159" s="11">
        <f t="shared" si="15"/>
        <v>0</v>
      </c>
      <c r="I159" s="11">
        <f t="shared" si="13"/>
        <v>-331165500</v>
      </c>
      <c r="J159" s="11">
        <f t="shared" si="16"/>
        <v>0</v>
      </c>
      <c r="K159" s="11">
        <f t="shared" si="17"/>
        <v>-331165500</v>
      </c>
    </row>
    <row r="160" spans="1:11">
      <c r="A160" s="11" t="s">
        <v>1171</v>
      </c>
      <c r="B160" s="18">
        <v>-100000</v>
      </c>
      <c r="C160" s="18">
        <v>0</v>
      </c>
      <c r="D160" s="18">
        <f t="shared" si="18"/>
        <v>-100000</v>
      </c>
      <c r="E160" s="11" t="s">
        <v>1172</v>
      </c>
      <c r="F160" s="11">
        <v>1</v>
      </c>
      <c r="G160" s="32">
        <f t="shared" si="14"/>
        <v>327</v>
      </c>
      <c r="H160" s="11">
        <f t="shared" si="15"/>
        <v>0</v>
      </c>
      <c r="I160" s="11">
        <f t="shared" si="13"/>
        <v>-32700000</v>
      </c>
      <c r="J160" s="11">
        <f t="shared" si="16"/>
        <v>0</v>
      </c>
      <c r="K160" s="11">
        <f t="shared" si="17"/>
        <v>-32700000</v>
      </c>
    </row>
    <row r="161" spans="1:13">
      <c r="A161" s="11" t="s">
        <v>1175</v>
      </c>
      <c r="B161" s="18">
        <v>-2000000</v>
      </c>
      <c r="C161" s="18">
        <v>0</v>
      </c>
      <c r="D161" s="18">
        <f t="shared" si="18"/>
        <v>-2000000</v>
      </c>
      <c r="E161" s="11" t="s">
        <v>1071</v>
      </c>
      <c r="F161" s="11">
        <v>0</v>
      </c>
      <c r="G161" s="32">
        <f t="shared" si="14"/>
        <v>326</v>
      </c>
      <c r="H161" s="11">
        <f t="shared" si="15"/>
        <v>0</v>
      </c>
      <c r="I161" s="11">
        <f t="shared" si="13"/>
        <v>-652000000</v>
      </c>
      <c r="J161" s="11">
        <f t="shared" si="16"/>
        <v>0</v>
      </c>
      <c r="K161" s="11">
        <f t="shared" si="17"/>
        <v>-652000000</v>
      </c>
    </row>
    <row r="162" spans="1:13">
      <c r="A162" s="11" t="s">
        <v>1175</v>
      </c>
      <c r="B162" s="18">
        <v>-1000500</v>
      </c>
      <c r="C162" s="18">
        <v>0</v>
      </c>
      <c r="D162" s="18">
        <f t="shared" si="18"/>
        <v>-1000500</v>
      </c>
      <c r="E162" s="11" t="s">
        <v>1182</v>
      </c>
      <c r="F162" s="11">
        <v>3</v>
      </c>
      <c r="G162" s="32">
        <f t="shared" si="14"/>
        <v>326</v>
      </c>
      <c r="H162" s="11">
        <f t="shared" si="15"/>
        <v>0</v>
      </c>
      <c r="I162" s="11">
        <f t="shared" si="13"/>
        <v>-326163000</v>
      </c>
      <c r="J162" s="11">
        <f t="shared" si="16"/>
        <v>0</v>
      </c>
      <c r="K162" s="11">
        <f t="shared" si="17"/>
        <v>-326163000</v>
      </c>
    </row>
    <row r="163" spans="1:13">
      <c r="A163" s="11" t="s">
        <v>1185</v>
      </c>
      <c r="B163" s="18">
        <v>-5000</v>
      </c>
      <c r="C163" s="18">
        <v>0</v>
      </c>
      <c r="D163" s="18">
        <f t="shared" si="18"/>
        <v>-5000</v>
      </c>
      <c r="E163" s="11" t="s">
        <v>1172</v>
      </c>
      <c r="F163" s="11">
        <v>10</v>
      </c>
      <c r="G163" s="32">
        <f t="shared" si="14"/>
        <v>323</v>
      </c>
      <c r="H163" s="11">
        <f t="shared" si="15"/>
        <v>0</v>
      </c>
      <c r="I163" s="11">
        <f t="shared" si="13"/>
        <v>-1615000</v>
      </c>
      <c r="J163" s="11">
        <f t="shared" si="16"/>
        <v>0</v>
      </c>
      <c r="K163" s="11">
        <f t="shared" si="17"/>
        <v>-1615000</v>
      </c>
    </row>
    <row r="164" spans="1:13">
      <c r="A164" s="11" t="s">
        <v>3628</v>
      </c>
      <c r="B164" s="18">
        <v>3000000</v>
      </c>
      <c r="C164" s="18">
        <v>0</v>
      </c>
      <c r="D164" s="18">
        <f t="shared" si="18"/>
        <v>3000000</v>
      </c>
      <c r="E164" s="11" t="s">
        <v>590</v>
      </c>
      <c r="F164" s="11">
        <v>1</v>
      </c>
      <c r="G164" s="32">
        <f t="shared" si="14"/>
        <v>313</v>
      </c>
      <c r="H164" s="11">
        <f t="shared" si="15"/>
        <v>1</v>
      </c>
      <c r="I164" s="11">
        <f t="shared" si="13"/>
        <v>936000000</v>
      </c>
      <c r="J164" s="11">
        <f t="shared" si="16"/>
        <v>0</v>
      </c>
      <c r="K164" s="11">
        <f t="shared" si="17"/>
        <v>936000000</v>
      </c>
    </row>
    <row r="165" spans="1:13">
      <c r="A165" s="11" t="s">
        <v>3632</v>
      </c>
      <c r="B165" s="18">
        <v>3000000</v>
      </c>
      <c r="C165" s="18">
        <v>0</v>
      </c>
      <c r="D165" s="18">
        <f t="shared" si="18"/>
        <v>3000000</v>
      </c>
      <c r="E165" s="11" t="s">
        <v>590</v>
      </c>
      <c r="F165" s="11">
        <v>1</v>
      </c>
      <c r="G165" s="32">
        <f t="shared" si="14"/>
        <v>312</v>
      </c>
      <c r="H165" s="11">
        <f t="shared" si="15"/>
        <v>1</v>
      </c>
      <c r="I165" s="11">
        <f t="shared" si="13"/>
        <v>933000000</v>
      </c>
      <c r="J165" s="11">
        <f t="shared" si="16"/>
        <v>0</v>
      </c>
      <c r="K165" s="11">
        <f t="shared" si="17"/>
        <v>933000000</v>
      </c>
    </row>
    <row r="166" spans="1:13">
      <c r="A166" s="11" t="s">
        <v>3634</v>
      </c>
      <c r="B166" s="18">
        <v>20314</v>
      </c>
      <c r="C166" s="18">
        <v>59842</v>
      </c>
      <c r="D166" s="18">
        <f t="shared" si="18"/>
        <v>-39528</v>
      </c>
      <c r="E166" s="11" t="s">
        <v>3637</v>
      </c>
      <c r="F166" s="11">
        <v>5</v>
      </c>
      <c r="G166" s="32">
        <f t="shared" si="14"/>
        <v>311</v>
      </c>
      <c r="H166" s="11">
        <f t="shared" si="15"/>
        <v>1</v>
      </c>
      <c r="I166" s="11">
        <f t="shared" si="13"/>
        <v>6297340</v>
      </c>
      <c r="J166" s="11">
        <f t="shared" si="16"/>
        <v>18551020</v>
      </c>
      <c r="K166" s="11">
        <f t="shared" si="17"/>
        <v>-12253680</v>
      </c>
    </row>
    <row r="167" spans="1:13">
      <c r="A167" s="11" t="s">
        <v>3657</v>
      </c>
      <c r="B167" s="18">
        <v>-3000900</v>
      </c>
      <c r="C167" s="18">
        <v>0</v>
      </c>
      <c r="D167" s="18">
        <f t="shared" si="18"/>
        <v>-3000900</v>
      </c>
      <c r="E167" s="11" t="s">
        <v>3658</v>
      </c>
      <c r="F167" s="11">
        <v>18</v>
      </c>
      <c r="G167" s="32">
        <f t="shared" si="14"/>
        <v>306</v>
      </c>
      <c r="H167" s="11">
        <f t="shared" si="15"/>
        <v>0</v>
      </c>
      <c r="I167" s="11">
        <f t="shared" si="13"/>
        <v>-918275400</v>
      </c>
      <c r="J167" s="11">
        <f t="shared" si="16"/>
        <v>0</v>
      </c>
      <c r="K167" s="11">
        <f t="shared" si="17"/>
        <v>-918275400</v>
      </c>
    </row>
    <row r="168" spans="1:13">
      <c r="A168" s="11" t="s">
        <v>3734</v>
      </c>
      <c r="B168" s="18">
        <v>-3000900</v>
      </c>
      <c r="C168" s="18">
        <v>0</v>
      </c>
      <c r="D168" s="18">
        <f t="shared" si="18"/>
        <v>-3000900</v>
      </c>
      <c r="E168" s="11" t="s">
        <v>3735</v>
      </c>
      <c r="F168" s="11">
        <v>8</v>
      </c>
      <c r="G168" s="32">
        <f t="shared" si="14"/>
        <v>288</v>
      </c>
      <c r="H168" s="11">
        <f t="shared" si="15"/>
        <v>0</v>
      </c>
      <c r="I168" s="11">
        <f t="shared" si="13"/>
        <v>-864259200</v>
      </c>
      <c r="J168" s="11">
        <f t="shared" si="16"/>
        <v>0</v>
      </c>
      <c r="K168" s="11">
        <f t="shared" si="17"/>
        <v>-864259200</v>
      </c>
      <c r="M168" t="s">
        <v>25</v>
      </c>
    </row>
    <row r="169" spans="1:13">
      <c r="A169" s="11" t="s">
        <v>3766</v>
      </c>
      <c r="B169" s="18">
        <v>21705</v>
      </c>
      <c r="C169" s="18">
        <v>68515</v>
      </c>
      <c r="D169" s="18">
        <f t="shared" si="18"/>
        <v>-46810</v>
      </c>
      <c r="E169" s="11" t="s">
        <v>559</v>
      </c>
      <c r="F169" s="11">
        <v>24</v>
      </c>
      <c r="G169" s="32">
        <f t="shared" si="14"/>
        <v>280</v>
      </c>
      <c r="H169" s="11">
        <f t="shared" si="15"/>
        <v>1</v>
      </c>
      <c r="I169" s="11">
        <f t="shared" si="13"/>
        <v>6055695</v>
      </c>
      <c r="J169" s="11">
        <f t="shared" si="16"/>
        <v>19115685</v>
      </c>
      <c r="K169" s="11">
        <f t="shared" si="17"/>
        <v>-13059990</v>
      </c>
    </row>
    <row r="170" spans="1:13">
      <c r="A170" s="11" t="s">
        <v>3888</v>
      </c>
      <c r="B170" s="18">
        <v>5000000</v>
      </c>
      <c r="C170" s="18">
        <v>0</v>
      </c>
      <c r="D170" s="18">
        <f t="shared" si="18"/>
        <v>5000000</v>
      </c>
      <c r="E170" s="11" t="s">
        <v>3853</v>
      </c>
      <c r="F170" s="11">
        <v>1</v>
      </c>
      <c r="G170" s="32">
        <f t="shared" si="14"/>
        <v>256</v>
      </c>
      <c r="H170" s="11">
        <f t="shared" si="15"/>
        <v>1</v>
      </c>
      <c r="I170" s="11">
        <f t="shared" si="13"/>
        <v>1275000000</v>
      </c>
      <c r="J170" s="11">
        <f t="shared" si="16"/>
        <v>0</v>
      </c>
      <c r="K170" s="11">
        <f t="shared" si="17"/>
        <v>1275000000</v>
      </c>
    </row>
    <row r="171" spans="1:13">
      <c r="A171" s="11" t="s">
        <v>3893</v>
      </c>
      <c r="B171" s="18">
        <v>-5000000</v>
      </c>
      <c r="C171" s="18">
        <v>0</v>
      </c>
      <c r="D171" s="18">
        <f t="shared" si="18"/>
        <v>-5000000</v>
      </c>
      <c r="E171" s="11" t="s">
        <v>3894</v>
      </c>
      <c r="F171" s="11">
        <v>6</v>
      </c>
      <c r="G171" s="32">
        <f t="shared" si="14"/>
        <v>255</v>
      </c>
      <c r="H171" s="11">
        <f t="shared" si="15"/>
        <v>0</v>
      </c>
      <c r="I171" s="11">
        <f t="shared" si="13"/>
        <v>-1275000000</v>
      </c>
      <c r="J171" s="11">
        <f t="shared" si="16"/>
        <v>0</v>
      </c>
      <c r="K171" s="11">
        <f t="shared" si="17"/>
        <v>-1275000000</v>
      </c>
    </row>
    <row r="172" spans="1:13">
      <c r="A172" s="11" t="s">
        <v>3916</v>
      </c>
      <c r="B172" s="18">
        <v>496</v>
      </c>
      <c r="C172" s="18">
        <v>62681</v>
      </c>
      <c r="D172" s="18">
        <f t="shared" si="18"/>
        <v>-62185</v>
      </c>
      <c r="E172" s="11" t="s">
        <v>641</v>
      </c>
      <c r="F172" s="11">
        <v>1</v>
      </c>
      <c r="G172" s="32">
        <f t="shared" si="14"/>
        <v>249</v>
      </c>
      <c r="H172" s="11">
        <f t="shared" si="15"/>
        <v>1</v>
      </c>
      <c r="I172" s="11">
        <f t="shared" si="13"/>
        <v>123008</v>
      </c>
      <c r="J172" s="11">
        <f t="shared" si="16"/>
        <v>15544888</v>
      </c>
      <c r="K172" s="11">
        <f t="shared" si="17"/>
        <v>-15421880</v>
      </c>
    </row>
    <row r="173" spans="1:13">
      <c r="A173" s="11" t="s">
        <v>3941</v>
      </c>
      <c r="B173" s="18">
        <v>785000</v>
      </c>
      <c r="C173" s="18">
        <v>0</v>
      </c>
      <c r="D173" s="18">
        <f t="shared" si="18"/>
        <v>785000</v>
      </c>
      <c r="E173" s="11" t="s">
        <v>3942</v>
      </c>
      <c r="F173" s="11">
        <v>11</v>
      </c>
      <c r="G173" s="32">
        <f t="shared" si="14"/>
        <v>248</v>
      </c>
      <c r="H173" s="11">
        <f t="shared" si="15"/>
        <v>1</v>
      </c>
      <c r="I173" s="11">
        <f t="shared" si="13"/>
        <v>193895000</v>
      </c>
      <c r="J173" s="11">
        <f t="shared" si="16"/>
        <v>0</v>
      </c>
      <c r="K173" s="11">
        <f t="shared" si="17"/>
        <v>193895000</v>
      </c>
    </row>
    <row r="174" spans="1:13">
      <c r="A174" s="11" t="s">
        <v>3941</v>
      </c>
      <c r="B174" s="18">
        <v>-32000</v>
      </c>
      <c r="C174" s="18">
        <v>0</v>
      </c>
      <c r="D174" s="18">
        <f t="shared" si="18"/>
        <v>-32000</v>
      </c>
      <c r="E174" s="11" t="s">
        <v>3924</v>
      </c>
      <c r="F174" s="11">
        <v>2</v>
      </c>
      <c r="G174" s="32">
        <f t="shared" si="14"/>
        <v>237</v>
      </c>
      <c r="H174" s="11">
        <f t="shared" si="15"/>
        <v>0</v>
      </c>
      <c r="I174" s="11">
        <f t="shared" si="13"/>
        <v>-7584000</v>
      </c>
      <c r="J174" s="11">
        <f t="shared" si="16"/>
        <v>0</v>
      </c>
      <c r="K174" s="11">
        <f t="shared" si="17"/>
        <v>-7584000</v>
      </c>
    </row>
    <row r="175" spans="1:13">
      <c r="A175" s="11" t="s">
        <v>3943</v>
      </c>
      <c r="B175" s="18">
        <v>-750000</v>
      </c>
      <c r="C175" s="18">
        <v>0</v>
      </c>
      <c r="D175" s="18">
        <f t="shared" si="18"/>
        <v>-750000</v>
      </c>
      <c r="E175" s="11" t="s">
        <v>3732</v>
      </c>
      <c r="F175" s="11">
        <v>9</v>
      </c>
      <c r="G175" s="32">
        <f t="shared" si="14"/>
        <v>235</v>
      </c>
      <c r="H175" s="11">
        <f t="shared" si="15"/>
        <v>0</v>
      </c>
      <c r="I175" s="11">
        <f t="shared" si="13"/>
        <v>-176250000</v>
      </c>
      <c r="J175" s="11">
        <f t="shared" si="16"/>
        <v>0</v>
      </c>
      <c r="K175" s="11">
        <f t="shared" si="17"/>
        <v>-176250000</v>
      </c>
    </row>
    <row r="176" spans="1:13">
      <c r="A176" s="11" t="s">
        <v>3975</v>
      </c>
      <c r="B176" s="18">
        <v>-9396</v>
      </c>
      <c r="C176" s="18">
        <v>0</v>
      </c>
      <c r="D176" s="18">
        <f t="shared" si="18"/>
        <v>-9396</v>
      </c>
      <c r="E176" s="11" t="s">
        <v>3976</v>
      </c>
      <c r="F176" s="11">
        <v>1</v>
      </c>
      <c r="G176" s="32">
        <f t="shared" si="14"/>
        <v>226</v>
      </c>
      <c r="H176" s="11">
        <f t="shared" si="15"/>
        <v>0</v>
      </c>
      <c r="I176" s="11">
        <f t="shared" si="13"/>
        <v>-2123496</v>
      </c>
      <c r="J176" s="11">
        <f t="shared" si="16"/>
        <v>0</v>
      </c>
      <c r="K176" s="11">
        <f t="shared" si="17"/>
        <v>-2123496</v>
      </c>
    </row>
    <row r="177" spans="1:14">
      <c r="A177" s="11" t="s">
        <v>3979</v>
      </c>
      <c r="B177" s="18">
        <v>-43300</v>
      </c>
      <c r="C177" s="18">
        <v>0</v>
      </c>
      <c r="D177" s="18">
        <f t="shared" si="18"/>
        <v>-43300</v>
      </c>
      <c r="E177" s="11" t="s">
        <v>3981</v>
      </c>
      <c r="F177" s="11">
        <v>3</v>
      </c>
      <c r="G177" s="32">
        <f t="shared" si="14"/>
        <v>225</v>
      </c>
      <c r="H177" s="11">
        <f t="shared" si="15"/>
        <v>0</v>
      </c>
      <c r="I177" s="11">
        <f t="shared" si="13"/>
        <v>-9742500</v>
      </c>
      <c r="J177" s="11">
        <f t="shared" si="16"/>
        <v>0</v>
      </c>
      <c r="K177" s="11">
        <f t="shared" si="17"/>
        <v>-9742500</v>
      </c>
    </row>
    <row r="178" spans="1:14">
      <c r="A178" s="11" t="s">
        <v>3649</v>
      </c>
      <c r="B178" s="18">
        <v>360000</v>
      </c>
      <c r="C178" s="18">
        <v>0</v>
      </c>
      <c r="D178" s="18">
        <f t="shared" si="18"/>
        <v>360000</v>
      </c>
      <c r="E178" s="11" t="s">
        <v>3992</v>
      </c>
      <c r="F178" s="11">
        <v>2</v>
      </c>
      <c r="G178" s="32">
        <f t="shared" si="14"/>
        <v>222</v>
      </c>
      <c r="H178" s="11">
        <f t="shared" si="15"/>
        <v>1</v>
      </c>
      <c r="I178" s="11">
        <f t="shared" si="13"/>
        <v>79560000</v>
      </c>
      <c r="J178" s="11">
        <f t="shared" si="16"/>
        <v>0</v>
      </c>
      <c r="K178" s="11">
        <f t="shared" si="17"/>
        <v>79560000</v>
      </c>
    </row>
    <row r="179" spans="1:14">
      <c r="A179" s="11" t="s">
        <v>3994</v>
      </c>
      <c r="B179" s="18">
        <v>3000000</v>
      </c>
      <c r="C179" s="18">
        <v>0</v>
      </c>
      <c r="D179" s="18">
        <f t="shared" si="18"/>
        <v>3000000</v>
      </c>
      <c r="E179" s="11" t="s">
        <v>3995</v>
      </c>
      <c r="F179" s="11">
        <v>0</v>
      </c>
      <c r="G179" s="32">
        <f t="shared" si="14"/>
        <v>220</v>
      </c>
      <c r="H179" s="11">
        <f t="shared" si="15"/>
        <v>1</v>
      </c>
      <c r="I179" s="11">
        <f t="shared" si="13"/>
        <v>657000000</v>
      </c>
      <c r="J179" s="11">
        <f t="shared" si="16"/>
        <v>0</v>
      </c>
      <c r="K179" s="11">
        <f t="shared" si="17"/>
        <v>657000000</v>
      </c>
    </row>
    <row r="180" spans="1:14">
      <c r="A180" s="11" t="s">
        <v>3994</v>
      </c>
      <c r="B180" s="18">
        <v>-12050</v>
      </c>
      <c r="C180" s="18">
        <v>0</v>
      </c>
      <c r="D180" s="18">
        <f t="shared" si="18"/>
        <v>-12050</v>
      </c>
      <c r="E180" s="11" t="s">
        <v>3976</v>
      </c>
      <c r="F180" s="11">
        <v>2</v>
      </c>
      <c r="G180" s="32">
        <f t="shared" si="14"/>
        <v>220</v>
      </c>
      <c r="H180" s="11">
        <f t="shared" si="15"/>
        <v>0</v>
      </c>
      <c r="I180" s="11">
        <f t="shared" si="13"/>
        <v>-2651000</v>
      </c>
      <c r="J180" s="11">
        <f t="shared" si="16"/>
        <v>0</v>
      </c>
      <c r="K180" s="11">
        <f t="shared" si="17"/>
        <v>-2651000</v>
      </c>
    </row>
    <row r="181" spans="1:14">
      <c r="A181" s="11" t="s">
        <v>3999</v>
      </c>
      <c r="B181" s="18">
        <v>3000000</v>
      </c>
      <c r="C181" s="18">
        <v>0</v>
      </c>
      <c r="D181" s="18">
        <f t="shared" si="18"/>
        <v>3000000</v>
      </c>
      <c r="E181" s="11" t="s">
        <v>4000</v>
      </c>
      <c r="F181" s="11">
        <v>2</v>
      </c>
      <c r="G181" s="32">
        <f t="shared" si="14"/>
        <v>218</v>
      </c>
      <c r="H181" s="11">
        <f t="shared" si="15"/>
        <v>1</v>
      </c>
      <c r="I181" s="11">
        <f t="shared" si="13"/>
        <v>651000000</v>
      </c>
      <c r="J181" s="11">
        <f t="shared" si="16"/>
        <v>0</v>
      </c>
      <c r="K181" s="11">
        <f t="shared" si="17"/>
        <v>651000000</v>
      </c>
    </row>
    <row r="182" spans="1:14">
      <c r="A182" s="11" t="s">
        <v>4007</v>
      </c>
      <c r="B182" s="18">
        <v>-35800</v>
      </c>
      <c r="C182" s="18">
        <v>0</v>
      </c>
      <c r="D182" s="18">
        <f t="shared" si="18"/>
        <v>-35800</v>
      </c>
      <c r="E182" s="11" t="s">
        <v>4008</v>
      </c>
      <c r="F182" s="11">
        <v>1</v>
      </c>
      <c r="G182" s="32">
        <f t="shared" si="14"/>
        <v>216</v>
      </c>
      <c r="H182" s="11">
        <f t="shared" si="15"/>
        <v>0</v>
      </c>
      <c r="I182" s="11">
        <f t="shared" si="13"/>
        <v>-7732800</v>
      </c>
      <c r="J182" s="11">
        <f t="shared" si="16"/>
        <v>0</v>
      </c>
      <c r="K182" s="11">
        <f t="shared" si="17"/>
        <v>-7732800</v>
      </c>
      <c r="N182" t="s">
        <v>25</v>
      </c>
    </row>
    <row r="183" spans="1:14">
      <c r="A183" s="11" t="s">
        <v>4006</v>
      </c>
      <c r="B183" s="18">
        <v>3600000</v>
      </c>
      <c r="C183" s="18">
        <v>0</v>
      </c>
      <c r="D183" s="18">
        <f t="shared" si="18"/>
        <v>3600000</v>
      </c>
      <c r="E183" s="11" t="s">
        <v>4009</v>
      </c>
      <c r="F183" s="11">
        <v>0</v>
      </c>
      <c r="G183" s="32">
        <f t="shared" si="14"/>
        <v>215</v>
      </c>
      <c r="H183" s="11">
        <f t="shared" si="15"/>
        <v>1</v>
      </c>
      <c r="I183" s="11">
        <f t="shared" si="13"/>
        <v>770400000</v>
      </c>
      <c r="J183" s="11">
        <f t="shared" si="16"/>
        <v>0</v>
      </c>
      <c r="K183" s="11">
        <f t="shared" si="17"/>
        <v>770400000</v>
      </c>
    </row>
    <row r="184" spans="1:14">
      <c r="A184" s="11" t="s">
        <v>4006</v>
      </c>
      <c r="B184" s="18">
        <v>-33377</v>
      </c>
      <c r="C184" s="18">
        <v>0</v>
      </c>
      <c r="D184" s="18">
        <f t="shared" si="18"/>
        <v>-33377</v>
      </c>
      <c r="E184" s="11" t="s">
        <v>4010</v>
      </c>
      <c r="F184" s="11">
        <v>3</v>
      </c>
      <c r="G184" s="32">
        <f t="shared" si="14"/>
        <v>215</v>
      </c>
      <c r="H184" s="11">
        <f t="shared" si="15"/>
        <v>0</v>
      </c>
      <c r="I184" s="11">
        <f t="shared" si="13"/>
        <v>-7176055</v>
      </c>
      <c r="J184" s="11">
        <f t="shared" si="16"/>
        <v>0</v>
      </c>
      <c r="K184" s="11">
        <f t="shared" si="17"/>
        <v>-7176055</v>
      </c>
    </row>
    <row r="185" spans="1:14">
      <c r="A185" s="11" t="s">
        <v>4029</v>
      </c>
      <c r="B185" s="18">
        <v>-9800000</v>
      </c>
      <c r="C185" s="18">
        <v>0</v>
      </c>
      <c r="D185" s="18">
        <f t="shared" si="18"/>
        <v>-9800000</v>
      </c>
      <c r="E185" s="11" t="s">
        <v>1179</v>
      </c>
      <c r="F185" s="11">
        <v>0</v>
      </c>
      <c r="G185" s="32">
        <f t="shared" si="14"/>
        <v>212</v>
      </c>
      <c r="H185" s="11">
        <f t="shared" si="15"/>
        <v>0</v>
      </c>
      <c r="I185" s="11">
        <f t="shared" si="13"/>
        <v>-2077600000</v>
      </c>
      <c r="J185" s="11">
        <f t="shared" si="16"/>
        <v>0</v>
      </c>
      <c r="K185" s="11">
        <f t="shared" si="17"/>
        <v>-2077600000</v>
      </c>
    </row>
    <row r="186" spans="1:14">
      <c r="A186" s="11" t="s">
        <v>4029</v>
      </c>
      <c r="B186" s="18">
        <v>18000000</v>
      </c>
      <c r="C186" s="18">
        <v>0</v>
      </c>
      <c r="D186" s="18">
        <f t="shared" si="18"/>
        <v>18000000</v>
      </c>
      <c r="E186" s="11" t="s">
        <v>4031</v>
      </c>
      <c r="F186" s="11">
        <v>0</v>
      </c>
      <c r="G186" s="32">
        <f t="shared" si="14"/>
        <v>212</v>
      </c>
      <c r="H186" s="11">
        <f t="shared" si="15"/>
        <v>1</v>
      </c>
      <c r="I186" s="11">
        <f t="shared" si="13"/>
        <v>3798000000</v>
      </c>
      <c r="J186" s="11">
        <f t="shared" si="16"/>
        <v>0</v>
      </c>
      <c r="K186" s="11">
        <f t="shared" si="17"/>
        <v>3798000000</v>
      </c>
    </row>
    <row r="187" spans="1:14">
      <c r="A187" s="11" t="s">
        <v>4029</v>
      </c>
      <c r="B187" s="18">
        <v>-9000000</v>
      </c>
      <c r="C187" s="18">
        <v>0</v>
      </c>
      <c r="D187" s="18">
        <f t="shared" si="18"/>
        <v>-9000000</v>
      </c>
      <c r="E187" s="11" t="s">
        <v>1179</v>
      </c>
      <c r="F187" s="11">
        <v>0</v>
      </c>
      <c r="G187" s="32">
        <f t="shared" si="14"/>
        <v>212</v>
      </c>
      <c r="H187" s="11">
        <f t="shared" si="15"/>
        <v>0</v>
      </c>
      <c r="I187" s="11">
        <f t="shared" si="13"/>
        <v>-1908000000</v>
      </c>
      <c r="J187" s="11">
        <f t="shared" si="16"/>
        <v>0</v>
      </c>
      <c r="K187" s="11">
        <f t="shared" si="17"/>
        <v>-1908000000</v>
      </c>
    </row>
    <row r="188" spans="1:14">
      <c r="A188" s="11" t="s">
        <v>4029</v>
      </c>
      <c r="B188" s="18">
        <v>-11600</v>
      </c>
      <c r="C188" s="18">
        <v>0</v>
      </c>
      <c r="D188" s="18">
        <f t="shared" si="18"/>
        <v>-11600</v>
      </c>
      <c r="E188" s="11" t="s">
        <v>3903</v>
      </c>
      <c r="F188" s="11">
        <v>0</v>
      </c>
      <c r="G188" s="32">
        <f t="shared" si="14"/>
        <v>212</v>
      </c>
      <c r="H188" s="11">
        <f t="shared" si="15"/>
        <v>0</v>
      </c>
      <c r="I188" s="11">
        <f t="shared" si="13"/>
        <v>-2459200</v>
      </c>
      <c r="J188" s="11">
        <f t="shared" si="16"/>
        <v>0</v>
      </c>
      <c r="K188" s="11">
        <f t="shared" si="17"/>
        <v>-2459200</v>
      </c>
    </row>
    <row r="189" spans="1:14">
      <c r="A189" s="11" t="s">
        <v>4029</v>
      </c>
      <c r="B189" s="18">
        <v>-3304327</v>
      </c>
      <c r="C189" s="18">
        <v>0</v>
      </c>
      <c r="D189" s="18">
        <f t="shared" si="18"/>
        <v>-3304327</v>
      </c>
      <c r="E189" s="11" t="s">
        <v>4032</v>
      </c>
      <c r="F189" s="11">
        <v>1</v>
      </c>
      <c r="G189" s="32">
        <f t="shared" si="14"/>
        <v>212</v>
      </c>
      <c r="H189" s="11">
        <f t="shared" si="15"/>
        <v>0</v>
      </c>
      <c r="I189" s="11">
        <f t="shared" si="13"/>
        <v>-700517324</v>
      </c>
      <c r="J189" s="11">
        <f t="shared" si="16"/>
        <v>0</v>
      </c>
      <c r="K189" s="11">
        <f t="shared" si="17"/>
        <v>-700517324</v>
      </c>
    </row>
    <row r="190" spans="1:14">
      <c r="A190" s="11" t="s">
        <v>4038</v>
      </c>
      <c r="B190" s="18">
        <v>-3000900</v>
      </c>
      <c r="C190" s="18">
        <v>0</v>
      </c>
      <c r="D190" s="18">
        <f t="shared" si="18"/>
        <v>-3000900</v>
      </c>
      <c r="E190" s="11" t="s">
        <v>4039</v>
      </c>
      <c r="F190" s="11">
        <v>1</v>
      </c>
      <c r="G190" s="32">
        <f t="shared" si="14"/>
        <v>211</v>
      </c>
      <c r="H190" s="11">
        <f t="shared" si="15"/>
        <v>0</v>
      </c>
      <c r="I190" s="11">
        <f t="shared" si="13"/>
        <v>-633189900</v>
      </c>
      <c r="J190" s="11">
        <f t="shared" si="16"/>
        <v>0</v>
      </c>
      <c r="K190" s="11">
        <f t="shared" si="17"/>
        <v>-633189900</v>
      </c>
    </row>
    <row r="191" spans="1:14">
      <c r="A191" s="11" t="s">
        <v>4042</v>
      </c>
      <c r="B191" s="18">
        <v>-2760900</v>
      </c>
      <c r="C191" s="18">
        <v>0</v>
      </c>
      <c r="D191" s="18">
        <f t="shared" si="18"/>
        <v>-2760900</v>
      </c>
      <c r="E191" s="11" t="s">
        <v>4043</v>
      </c>
      <c r="F191" s="11">
        <v>5</v>
      </c>
      <c r="G191" s="32">
        <f t="shared" si="14"/>
        <v>210</v>
      </c>
      <c r="H191" s="11">
        <f t="shared" si="15"/>
        <v>0</v>
      </c>
      <c r="I191" s="11">
        <f t="shared" si="13"/>
        <v>-579789000</v>
      </c>
      <c r="J191" s="11">
        <f t="shared" si="16"/>
        <v>0</v>
      </c>
      <c r="K191" s="11">
        <f t="shared" si="17"/>
        <v>-579789000</v>
      </c>
    </row>
    <row r="192" spans="1:14">
      <c r="A192" s="11" t="s">
        <v>4056</v>
      </c>
      <c r="B192" s="18">
        <v>1000000</v>
      </c>
      <c r="C192" s="18">
        <v>0</v>
      </c>
      <c r="D192" s="18">
        <f t="shared" si="18"/>
        <v>1000000</v>
      </c>
      <c r="E192" s="11" t="s">
        <v>4036</v>
      </c>
      <c r="F192" s="11">
        <v>1</v>
      </c>
      <c r="G192" s="32">
        <f t="shared" si="14"/>
        <v>205</v>
      </c>
      <c r="H192" s="11">
        <f t="shared" si="15"/>
        <v>1</v>
      </c>
      <c r="I192" s="11">
        <f t="shared" si="13"/>
        <v>204000000</v>
      </c>
      <c r="J192" s="11">
        <f t="shared" si="16"/>
        <v>0</v>
      </c>
      <c r="K192" s="11">
        <f t="shared" si="17"/>
        <v>204000000</v>
      </c>
    </row>
    <row r="193" spans="1:11">
      <c r="A193" s="11" t="s">
        <v>4067</v>
      </c>
      <c r="B193" s="18">
        <v>-15000</v>
      </c>
      <c r="C193" s="18">
        <v>0</v>
      </c>
      <c r="D193" s="18">
        <f t="shared" si="18"/>
        <v>-15000</v>
      </c>
      <c r="E193" s="11" t="s">
        <v>47</v>
      </c>
      <c r="F193" s="11">
        <v>2</v>
      </c>
      <c r="G193" s="32">
        <f t="shared" si="14"/>
        <v>204</v>
      </c>
      <c r="H193" s="11">
        <f t="shared" si="15"/>
        <v>0</v>
      </c>
      <c r="I193" s="11">
        <f t="shared" si="13"/>
        <v>-3060000</v>
      </c>
      <c r="J193" s="11">
        <f t="shared" si="16"/>
        <v>0</v>
      </c>
      <c r="K193" s="11">
        <f t="shared" si="17"/>
        <v>-3060000</v>
      </c>
    </row>
    <row r="194" spans="1:11">
      <c r="A194" s="11" t="s">
        <v>4064</v>
      </c>
      <c r="B194" s="18">
        <v>-990000</v>
      </c>
      <c r="C194" s="18">
        <v>0</v>
      </c>
      <c r="D194" s="18">
        <f t="shared" si="18"/>
        <v>-990000</v>
      </c>
      <c r="E194" s="11" t="s">
        <v>3732</v>
      </c>
      <c r="F194" s="11">
        <v>0</v>
      </c>
      <c r="G194" s="32">
        <f t="shared" si="14"/>
        <v>202</v>
      </c>
      <c r="H194" s="11">
        <f t="shared" si="15"/>
        <v>0</v>
      </c>
      <c r="I194" s="11">
        <f t="shared" si="13"/>
        <v>-199980000</v>
      </c>
      <c r="J194" s="11">
        <f t="shared" si="16"/>
        <v>0</v>
      </c>
      <c r="K194" s="11">
        <f t="shared" si="17"/>
        <v>-199980000</v>
      </c>
    </row>
    <row r="195" spans="1:11">
      <c r="A195" s="11" t="s">
        <v>4064</v>
      </c>
      <c r="B195" s="18">
        <v>783000</v>
      </c>
      <c r="C195" s="18">
        <v>0</v>
      </c>
      <c r="D195" s="18">
        <f t="shared" si="18"/>
        <v>783000</v>
      </c>
      <c r="E195" s="11" t="s">
        <v>4070</v>
      </c>
      <c r="F195" s="11">
        <v>2</v>
      </c>
      <c r="G195" s="32">
        <f t="shared" si="14"/>
        <v>202</v>
      </c>
      <c r="H195" s="11">
        <f t="shared" si="15"/>
        <v>1</v>
      </c>
      <c r="I195" s="11">
        <f t="shared" si="13"/>
        <v>157383000</v>
      </c>
      <c r="J195" s="11">
        <f t="shared" si="16"/>
        <v>0</v>
      </c>
      <c r="K195" s="11">
        <f t="shared" si="17"/>
        <v>157383000</v>
      </c>
    </row>
    <row r="196" spans="1:11">
      <c r="A196" s="11" t="s">
        <v>4073</v>
      </c>
      <c r="B196" s="18">
        <v>-750500</v>
      </c>
      <c r="C196" s="18">
        <v>0</v>
      </c>
      <c r="D196" s="18">
        <f t="shared" si="18"/>
        <v>-750500</v>
      </c>
      <c r="E196" s="11" t="s">
        <v>4074</v>
      </c>
      <c r="F196" s="11">
        <v>2</v>
      </c>
      <c r="G196" s="32">
        <f t="shared" si="14"/>
        <v>200</v>
      </c>
      <c r="H196" s="11">
        <f t="shared" si="15"/>
        <v>0</v>
      </c>
      <c r="I196" s="11">
        <f t="shared" si="13"/>
        <v>-150100000</v>
      </c>
      <c r="J196" s="11">
        <f t="shared" si="16"/>
        <v>0</v>
      </c>
      <c r="K196" s="11">
        <f t="shared" si="17"/>
        <v>-150100000</v>
      </c>
    </row>
    <row r="197" spans="1:11">
      <c r="A197" s="11" t="s">
        <v>4086</v>
      </c>
      <c r="B197" s="18">
        <v>700000</v>
      </c>
      <c r="C197" s="18">
        <v>0</v>
      </c>
      <c r="D197" s="18">
        <f t="shared" si="18"/>
        <v>700000</v>
      </c>
      <c r="E197" s="11" t="s">
        <v>3853</v>
      </c>
      <c r="F197" s="11">
        <v>0</v>
      </c>
      <c r="G197" s="32">
        <f t="shared" si="14"/>
        <v>198</v>
      </c>
      <c r="H197" s="11">
        <f t="shared" si="15"/>
        <v>1</v>
      </c>
      <c r="I197" s="11">
        <f t="shared" si="13"/>
        <v>137900000</v>
      </c>
      <c r="J197" s="11">
        <f t="shared" si="16"/>
        <v>0</v>
      </c>
      <c r="K197" s="11">
        <f t="shared" si="17"/>
        <v>137900000</v>
      </c>
    </row>
    <row r="198" spans="1:11">
      <c r="A198" s="11" t="s">
        <v>4086</v>
      </c>
      <c r="B198" s="18">
        <v>-99000</v>
      </c>
      <c r="C198" s="18">
        <v>0</v>
      </c>
      <c r="D198" s="18">
        <f t="shared" si="18"/>
        <v>-99000</v>
      </c>
      <c r="E198" s="11" t="s">
        <v>4088</v>
      </c>
      <c r="F198" s="11">
        <v>1</v>
      </c>
      <c r="G198" s="32">
        <f t="shared" si="14"/>
        <v>198</v>
      </c>
      <c r="H198" s="11">
        <f t="shared" si="15"/>
        <v>0</v>
      </c>
      <c r="I198" s="11">
        <f t="shared" si="13"/>
        <v>-19602000</v>
      </c>
      <c r="J198" s="11">
        <f t="shared" si="16"/>
        <v>0</v>
      </c>
      <c r="K198" s="11">
        <f t="shared" si="17"/>
        <v>-19602000</v>
      </c>
    </row>
    <row r="199" spans="1:11">
      <c r="A199" s="11" t="s">
        <v>4089</v>
      </c>
      <c r="B199" s="18">
        <v>-205750</v>
      </c>
      <c r="C199" s="18">
        <v>0</v>
      </c>
      <c r="D199" s="18">
        <f t="shared" si="18"/>
        <v>-205750</v>
      </c>
      <c r="E199" s="11" t="s">
        <v>4090</v>
      </c>
      <c r="F199" s="11">
        <v>0</v>
      </c>
      <c r="G199" s="32">
        <f t="shared" si="14"/>
        <v>197</v>
      </c>
      <c r="H199" s="11">
        <f t="shared" si="15"/>
        <v>0</v>
      </c>
      <c r="I199" s="11">
        <f t="shared" si="13"/>
        <v>-40532750</v>
      </c>
      <c r="J199" s="11">
        <f t="shared" si="16"/>
        <v>0</v>
      </c>
      <c r="K199" s="11">
        <f t="shared" si="17"/>
        <v>-40532750</v>
      </c>
    </row>
    <row r="200" spans="1:11">
      <c r="A200" s="11" t="s">
        <v>4089</v>
      </c>
      <c r="B200" s="18">
        <v>-95000</v>
      </c>
      <c r="C200" s="18">
        <v>0</v>
      </c>
      <c r="D200" s="18">
        <f t="shared" si="18"/>
        <v>-95000</v>
      </c>
      <c r="E200" s="11" t="s">
        <v>4091</v>
      </c>
      <c r="F200" s="11">
        <v>3</v>
      </c>
      <c r="G200" s="32">
        <f t="shared" si="14"/>
        <v>197</v>
      </c>
      <c r="H200" s="11">
        <f t="shared" si="15"/>
        <v>0</v>
      </c>
      <c r="I200" s="11">
        <f t="shared" si="13"/>
        <v>-18715000</v>
      </c>
      <c r="J200" s="11">
        <f t="shared" si="16"/>
        <v>0</v>
      </c>
      <c r="K200" s="11">
        <f t="shared" si="17"/>
        <v>-18715000</v>
      </c>
    </row>
    <row r="201" spans="1:11">
      <c r="A201" s="11" t="s">
        <v>4105</v>
      </c>
      <c r="B201" s="18">
        <v>48650000</v>
      </c>
      <c r="C201" s="18">
        <v>0</v>
      </c>
      <c r="D201" s="18">
        <f t="shared" si="18"/>
        <v>48650000</v>
      </c>
      <c r="E201" s="11" t="s">
        <v>4106</v>
      </c>
      <c r="F201" s="11">
        <v>0</v>
      </c>
      <c r="G201" s="32">
        <f t="shared" si="14"/>
        <v>194</v>
      </c>
      <c r="H201" s="11">
        <f t="shared" si="15"/>
        <v>1</v>
      </c>
      <c r="I201" s="11">
        <f t="shared" si="13"/>
        <v>9389450000</v>
      </c>
      <c r="J201" s="11">
        <f t="shared" si="16"/>
        <v>0</v>
      </c>
      <c r="K201" s="11">
        <f t="shared" si="17"/>
        <v>9389450000</v>
      </c>
    </row>
    <row r="202" spans="1:11">
      <c r="A202" s="11" t="s">
        <v>4105</v>
      </c>
      <c r="B202" s="18">
        <v>-3000900</v>
      </c>
      <c r="C202" s="18">
        <v>0</v>
      </c>
      <c r="D202" s="18">
        <f t="shared" si="18"/>
        <v>-3000900</v>
      </c>
      <c r="E202" s="11" t="s">
        <v>1182</v>
      </c>
      <c r="F202" s="11">
        <v>0</v>
      </c>
      <c r="G202" s="32">
        <f t="shared" si="14"/>
        <v>194</v>
      </c>
      <c r="H202" s="11">
        <f t="shared" si="15"/>
        <v>0</v>
      </c>
      <c r="I202" s="11">
        <f t="shared" si="13"/>
        <v>-582174600</v>
      </c>
      <c r="J202" s="11">
        <f t="shared" si="16"/>
        <v>0</v>
      </c>
      <c r="K202" s="11">
        <f t="shared" si="17"/>
        <v>-582174600</v>
      </c>
    </row>
    <row r="203" spans="1:11">
      <c r="A203" s="11" t="s">
        <v>4105</v>
      </c>
      <c r="B203" s="18">
        <v>-5000</v>
      </c>
      <c r="C203" s="18">
        <v>0</v>
      </c>
      <c r="D203" s="18">
        <f t="shared" si="18"/>
        <v>-5000</v>
      </c>
      <c r="E203" s="11" t="s">
        <v>4107</v>
      </c>
      <c r="F203" s="11">
        <v>0</v>
      </c>
      <c r="G203" s="32">
        <f t="shared" si="14"/>
        <v>194</v>
      </c>
      <c r="H203" s="11">
        <f t="shared" si="15"/>
        <v>0</v>
      </c>
      <c r="I203" s="11">
        <f t="shared" si="13"/>
        <v>-970000</v>
      </c>
      <c r="J203" s="11">
        <f t="shared" si="16"/>
        <v>0</v>
      </c>
      <c r="K203" s="11">
        <f t="shared" si="17"/>
        <v>-970000</v>
      </c>
    </row>
    <row r="204" spans="1:11">
      <c r="A204" s="11" t="s">
        <v>4105</v>
      </c>
      <c r="B204" s="18">
        <v>-33500000</v>
      </c>
      <c r="C204" s="18">
        <v>0</v>
      </c>
      <c r="D204" s="18">
        <f t="shared" si="18"/>
        <v>-33500000</v>
      </c>
      <c r="E204" s="11" t="s">
        <v>3732</v>
      </c>
      <c r="F204" s="11">
        <v>1</v>
      </c>
      <c r="G204" s="32">
        <f>G205+F204</f>
        <v>194</v>
      </c>
      <c r="H204" s="11">
        <f t="shared" si="15"/>
        <v>0</v>
      </c>
      <c r="I204" s="11">
        <f t="shared" si="13"/>
        <v>-6499000000</v>
      </c>
      <c r="J204" s="11">
        <f t="shared" si="16"/>
        <v>0</v>
      </c>
      <c r="K204" s="11">
        <f t="shared" si="17"/>
        <v>-6499000000</v>
      </c>
    </row>
    <row r="205" spans="1:11">
      <c r="A205" s="11" t="s">
        <v>4110</v>
      </c>
      <c r="B205" s="18">
        <v>-12435000</v>
      </c>
      <c r="C205" s="18">
        <v>0</v>
      </c>
      <c r="D205" s="18">
        <f t="shared" si="18"/>
        <v>-12435000</v>
      </c>
      <c r="E205" s="11" t="s">
        <v>3732</v>
      </c>
      <c r="F205" s="11">
        <v>3</v>
      </c>
      <c r="G205" s="32">
        <f t="shared" ref="G205:G216" si="19">G206+F205</f>
        <v>193</v>
      </c>
      <c r="H205" s="11">
        <f t="shared" si="15"/>
        <v>0</v>
      </c>
      <c r="I205" s="11">
        <f t="shared" si="13"/>
        <v>-2399955000</v>
      </c>
      <c r="J205" s="11">
        <f t="shared" si="16"/>
        <v>0</v>
      </c>
      <c r="K205" s="11">
        <f t="shared" si="17"/>
        <v>-2399955000</v>
      </c>
    </row>
    <row r="206" spans="1:11">
      <c r="A206" s="11" t="s">
        <v>4122</v>
      </c>
      <c r="B206" s="18">
        <v>-18500</v>
      </c>
      <c r="C206" s="18">
        <v>0</v>
      </c>
      <c r="D206" s="18">
        <f t="shared" si="18"/>
        <v>-18500</v>
      </c>
      <c r="E206" s="11" t="s">
        <v>4123</v>
      </c>
      <c r="F206" s="11">
        <v>2</v>
      </c>
      <c r="G206" s="32">
        <f t="shared" si="19"/>
        <v>190</v>
      </c>
      <c r="H206" s="11">
        <f t="shared" si="15"/>
        <v>0</v>
      </c>
      <c r="I206" s="11">
        <f t="shared" si="13"/>
        <v>-3515000</v>
      </c>
      <c r="J206" s="11">
        <f t="shared" si="16"/>
        <v>0</v>
      </c>
      <c r="K206" s="11">
        <f t="shared" si="17"/>
        <v>-3515000</v>
      </c>
    </row>
    <row r="207" spans="1:11">
      <c r="A207" s="11" t="s">
        <v>4119</v>
      </c>
      <c r="B207" s="18">
        <v>14480</v>
      </c>
      <c r="C207" s="18">
        <v>70874</v>
      </c>
      <c r="D207" s="18">
        <f t="shared" si="18"/>
        <v>-56394</v>
      </c>
      <c r="E207" s="11" t="s">
        <v>667</v>
      </c>
      <c r="F207" s="11">
        <v>1</v>
      </c>
      <c r="G207" s="32">
        <f t="shared" si="19"/>
        <v>188</v>
      </c>
      <c r="H207" s="11">
        <f t="shared" si="15"/>
        <v>1</v>
      </c>
      <c r="I207" s="11">
        <f t="shared" si="13"/>
        <v>2707760</v>
      </c>
      <c r="J207" s="11">
        <f t="shared" ref="J207:J281" si="20">C207*(G207-H207)</f>
        <v>13253438</v>
      </c>
      <c r="K207" s="11">
        <f t="shared" si="17"/>
        <v>-10545678</v>
      </c>
    </row>
    <row r="208" spans="1:11">
      <c r="A208" s="11" t="s">
        <v>4125</v>
      </c>
      <c r="B208" s="18">
        <v>830000</v>
      </c>
      <c r="C208" s="18">
        <v>0</v>
      </c>
      <c r="D208" s="18">
        <f t="shared" si="18"/>
        <v>830000</v>
      </c>
      <c r="E208" s="11" t="s">
        <v>4126</v>
      </c>
      <c r="F208" s="11">
        <v>2</v>
      </c>
      <c r="G208" s="32">
        <f t="shared" si="19"/>
        <v>187</v>
      </c>
      <c r="H208" s="11">
        <f t="shared" si="15"/>
        <v>1</v>
      </c>
      <c r="I208" s="11">
        <f t="shared" si="13"/>
        <v>154380000</v>
      </c>
      <c r="J208" s="11">
        <f t="shared" si="20"/>
        <v>0</v>
      </c>
      <c r="K208" s="11">
        <f t="shared" si="17"/>
        <v>154380000</v>
      </c>
    </row>
    <row r="209" spans="1:13">
      <c r="A209" s="11" t="s">
        <v>4138</v>
      </c>
      <c r="B209" s="18">
        <v>-52440</v>
      </c>
      <c r="C209" s="18">
        <v>0</v>
      </c>
      <c r="D209" s="18">
        <f t="shared" si="18"/>
        <v>-52440</v>
      </c>
      <c r="E209" s="11" t="s">
        <v>4140</v>
      </c>
      <c r="F209" s="11">
        <v>1</v>
      </c>
      <c r="G209" s="32">
        <f t="shared" si="19"/>
        <v>185</v>
      </c>
      <c r="H209" s="11">
        <f t="shared" si="15"/>
        <v>0</v>
      </c>
      <c r="I209" s="11">
        <f t="shared" si="13"/>
        <v>-9701400</v>
      </c>
      <c r="J209" s="11">
        <f t="shared" si="20"/>
        <v>0</v>
      </c>
      <c r="K209" s="11">
        <f t="shared" si="17"/>
        <v>-9701400</v>
      </c>
    </row>
    <row r="210" spans="1:13">
      <c r="A210" s="11" t="s">
        <v>4141</v>
      </c>
      <c r="B210" s="18">
        <v>-51100</v>
      </c>
      <c r="C210" s="18">
        <v>0</v>
      </c>
      <c r="D210" s="18">
        <f t="shared" si="18"/>
        <v>-51100</v>
      </c>
      <c r="E210" s="11" t="s">
        <v>433</v>
      </c>
      <c r="F210" s="11">
        <v>1</v>
      </c>
      <c r="G210" s="32">
        <f t="shared" si="19"/>
        <v>184</v>
      </c>
      <c r="H210" s="11">
        <f t="shared" si="15"/>
        <v>0</v>
      </c>
      <c r="I210" s="11">
        <f t="shared" si="13"/>
        <v>-9402400</v>
      </c>
      <c r="J210" s="11">
        <f t="shared" si="20"/>
        <v>0</v>
      </c>
      <c r="K210" s="11">
        <f t="shared" si="17"/>
        <v>-9402400</v>
      </c>
    </row>
    <row r="211" spans="1:13">
      <c r="A211" s="11" t="s">
        <v>4142</v>
      </c>
      <c r="B211" s="18">
        <v>-200000</v>
      </c>
      <c r="C211" s="18">
        <v>0</v>
      </c>
      <c r="D211" s="18">
        <f t="shared" si="18"/>
        <v>-200000</v>
      </c>
      <c r="E211" s="11" t="s">
        <v>4143</v>
      </c>
      <c r="F211" s="11">
        <v>1</v>
      </c>
      <c r="G211" s="32">
        <f t="shared" si="19"/>
        <v>183</v>
      </c>
      <c r="H211" s="11">
        <f t="shared" si="15"/>
        <v>0</v>
      </c>
      <c r="I211" s="11">
        <f t="shared" si="13"/>
        <v>-36600000</v>
      </c>
      <c r="J211" s="11">
        <f t="shared" si="20"/>
        <v>0</v>
      </c>
      <c r="K211" s="11">
        <f t="shared" si="17"/>
        <v>-36600000</v>
      </c>
    </row>
    <row r="212" spans="1:13">
      <c r="A212" s="11" t="s">
        <v>4144</v>
      </c>
      <c r="B212" s="18">
        <v>-28000</v>
      </c>
      <c r="C212" s="18">
        <v>0</v>
      </c>
      <c r="D212" s="18">
        <f t="shared" si="18"/>
        <v>-28000</v>
      </c>
      <c r="E212" s="11" t="s">
        <v>1002</v>
      </c>
      <c r="F212" s="11">
        <v>1</v>
      </c>
      <c r="G212" s="32">
        <f t="shared" si="19"/>
        <v>182</v>
      </c>
      <c r="H212" s="11">
        <f t="shared" si="15"/>
        <v>0</v>
      </c>
      <c r="I212" s="11">
        <f t="shared" si="13"/>
        <v>-5096000</v>
      </c>
      <c r="J212" s="11">
        <f t="shared" si="20"/>
        <v>0</v>
      </c>
      <c r="K212" s="11">
        <f t="shared" si="17"/>
        <v>-5096000</v>
      </c>
    </row>
    <row r="213" spans="1:13">
      <c r="A213" s="11" t="s">
        <v>4145</v>
      </c>
      <c r="B213" s="18">
        <v>-59100</v>
      </c>
      <c r="C213" s="18">
        <v>0</v>
      </c>
      <c r="D213" s="18">
        <f t="shared" si="18"/>
        <v>-59100</v>
      </c>
      <c r="E213" s="11" t="s">
        <v>433</v>
      </c>
      <c r="F213" s="11">
        <v>1</v>
      </c>
      <c r="G213" s="32">
        <f t="shared" si="19"/>
        <v>181</v>
      </c>
      <c r="H213" s="11">
        <f t="shared" si="15"/>
        <v>0</v>
      </c>
      <c r="I213" s="11">
        <f t="shared" si="13"/>
        <v>-10697100</v>
      </c>
      <c r="J213" s="11">
        <f t="shared" si="20"/>
        <v>0</v>
      </c>
      <c r="K213" s="11">
        <f t="shared" si="17"/>
        <v>-10697100</v>
      </c>
    </row>
    <row r="214" spans="1:13">
      <c r="A214" s="11" t="s">
        <v>4145</v>
      </c>
      <c r="B214" s="18">
        <v>-30000</v>
      </c>
      <c r="C214" s="18">
        <v>0</v>
      </c>
      <c r="D214" s="18">
        <f t="shared" si="18"/>
        <v>-30000</v>
      </c>
      <c r="E214" s="11" t="s">
        <v>4146</v>
      </c>
      <c r="F214" s="11">
        <v>0</v>
      </c>
      <c r="G214" s="32">
        <f t="shared" si="19"/>
        <v>180</v>
      </c>
      <c r="H214" s="11">
        <f t="shared" si="15"/>
        <v>0</v>
      </c>
      <c r="I214" s="11">
        <f t="shared" si="13"/>
        <v>-5400000</v>
      </c>
      <c r="J214" s="11">
        <f t="shared" si="20"/>
        <v>0</v>
      </c>
      <c r="K214" s="11">
        <f t="shared" si="17"/>
        <v>-5400000</v>
      </c>
    </row>
    <row r="215" spans="1:13">
      <c r="A215" s="11" t="s">
        <v>4145</v>
      </c>
      <c r="B215" s="18">
        <v>-178000</v>
      </c>
      <c r="C215" s="18">
        <v>0</v>
      </c>
      <c r="D215" s="18">
        <f t="shared" si="18"/>
        <v>-178000</v>
      </c>
      <c r="E215" s="11" t="s">
        <v>4148</v>
      </c>
      <c r="F215" s="11">
        <v>1</v>
      </c>
      <c r="G215" s="32">
        <f t="shared" si="19"/>
        <v>180</v>
      </c>
      <c r="H215" s="11">
        <f t="shared" si="15"/>
        <v>0</v>
      </c>
      <c r="I215" s="11">
        <f t="shared" si="13"/>
        <v>-32040000</v>
      </c>
      <c r="J215" s="11">
        <f t="shared" si="20"/>
        <v>0</v>
      </c>
      <c r="K215" s="11">
        <f t="shared" si="17"/>
        <v>-32040000</v>
      </c>
    </row>
    <row r="216" spans="1:13">
      <c r="A216" s="11" t="s">
        <v>4150</v>
      </c>
      <c r="B216" s="18">
        <v>-95610</v>
      </c>
      <c r="C216" s="18">
        <v>0</v>
      </c>
      <c r="D216" s="18">
        <f t="shared" si="18"/>
        <v>-95610</v>
      </c>
      <c r="E216" s="11" t="s">
        <v>433</v>
      </c>
      <c r="F216" s="11">
        <v>3</v>
      </c>
      <c r="G216" s="32">
        <f t="shared" si="19"/>
        <v>179</v>
      </c>
      <c r="H216" s="11">
        <f t="shared" si="15"/>
        <v>0</v>
      </c>
      <c r="I216" s="11">
        <f t="shared" si="13"/>
        <v>-17114190</v>
      </c>
      <c r="J216" s="11">
        <f t="shared" si="20"/>
        <v>0</v>
      </c>
      <c r="K216" s="11">
        <f t="shared" si="17"/>
        <v>-17114190</v>
      </c>
    </row>
    <row r="217" spans="1:13">
      <c r="A217" s="11" t="s">
        <v>4118</v>
      </c>
      <c r="B217" s="18">
        <v>-84000</v>
      </c>
      <c r="C217" s="18">
        <v>0</v>
      </c>
      <c r="D217" s="18">
        <f t="shared" si="18"/>
        <v>-84000</v>
      </c>
      <c r="E217" s="11" t="s">
        <v>433</v>
      </c>
      <c r="F217" s="11">
        <v>2</v>
      </c>
      <c r="G217" s="32">
        <f>G218+F217</f>
        <v>176</v>
      </c>
      <c r="H217" s="11">
        <f t="shared" si="15"/>
        <v>0</v>
      </c>
      <c r="I217" s="11">
        <f t="shared" si="13"/>
        <v>-14784000</v>
      </c>
      <c r="J217" s="11">
        <f t="shared" si="20"/>
        <v>0</v>
      </c>
      <c r="K217" s="11">
        <f t="shared" si="17"/>
        <v>-14784000</v>
      </c>
    </row>
    <row r="218" spans="1:13">
      <c r="A218" s="11" t="s">
        <v>4154</v>
      </c>
      <c r="B218" s="18">
        <v>-33000</v>
      </c>
      <c r="C218" s="18">
        <v>0</v>
      </c>
      <c r="D218" s="18">
        <f t="shared" si="18"/>
        <v>-33000</v>
      </c>
      <c r="E218" s="11" t="s">
        <v>433</v>
      </c>
      <c r="F218" s="11">
        <v>3</v>
      </c>
      <c r="G218" s="32">
        <f t="shared" ref="G218:G297" si="21">G219+F218</f>
        <v>174</v>
      </c>
      <c r="H218" s="11">
        <f t="shared" si="15"/>
        <v>0</v>
      </c>
      <c r="I218" s="11">
        <f t="shared" si="13"/>
        <v>-5742000</v>
      </c>
      <c r="J218" s="11">
        <f t="shared" si="20"/>
        <v>0</v>
      </c>
      <c r="K218" s="11">
        <f t="shared" si="17"/>
        <v>-5742000</v>
      </c>
    </row>
    <row r="219" spans="1:13">
      <c r="A219" s="11" t="s">
        <v>4159</v>
      </c>
      <c r="B219" s="18">
        <v>1548000</v>
      </c>
      <c r="C219" s="18">
        <v>0</v>
      </c>
      <c r="D219" s="18">
        <f t="shared" si="18"/>
        <v>1548000</v>
      </c>
      <c r="E219" s="11" t="s">
        <v>4189</v>
      </c>
      <c r="F219" s="11">
        <v>1</v>
      </c>
      <c r="G219" s="32">
        <f t="shared" si="21"/>
        <v>171</v>
      </c>
      <c r="H219" s="11">
        <f t="shared" si="15"/>
        <v>1</v>
      </c>
      <c r="I219" s="11">
        <f t="shared" si="13"/>
        <v>263160000</v>
      </c>
      <c r="J219" s="11">
        <f t="shared" si="20"/>
        <v>0</v>
      </c>
      <c r="K219" s="11">
        <f t="shared" si="17"/>
        <v>263160000</v>
      </c>
    </row>
    <row r="220" spans="1:13">
      <c r="A220" s="11" t="s">
        <v>4190</v>
      </c>
      <c r="B220" s="18">
        <v>-1400700</v>
      </c>
      <c r="C220" s="18">
        <v>0</v>
      </c>
      <c r="D220" s="18">
        <f t="shared" si="18"/>
        <v>-1400700</v>
      </c>
      <c r="E220" s="11" t="s">
        <v>4191</v>
      </c>
      <c r="F220" s="11">
        <v>0</v>
      </c>
      <c r="G220" s="32">
        <f t="shared" si="21"/>
        <v>170</v>
      </c>
      <c r="H220" s="11">
        <f t="shared" si="15"/>
        <v>0</v>
      </c>
      <c r="I220" s="11">
        <f t="shared" si="13"/>
        <v>-238119000</v>
      </c>
      <c r="J220" s="11">
        <f t="shared" si="20"/>
        <v>0</v>
      </c>
      <c r="K220" s="11">
        <f t="shared" si="17"/>
        <v>-238119000</v>
      </c>
    </row>
    <row r="221" spans="1:13">
      <c r="A221" s="11" t="s">
        <v>4190</v>
      </c>
      <c r="B221" s="18">
        <v>-10000</v>
      </c>
      <c r="C221" s="18">
        <v>0</v>
      </c>
      <c r="D221" s="18">
        <f t="shared" si="18"/>
        <v>-10000</v>
      </c>
      <c r="E221" s="11" t="s">
        <v>1096</v>
      </c>
      <c r="F221" s="11">
        <v>0</v>
      </c>
      <c r="G221" s="32">
        <f t="shared" si="21"/>
        <v>170</v>
      </c>
      <c r="H221" s="11">
        <f t="shared" si="15"/>
        <v>0</v>
      </c>
      <c r="I221" s="11">
        <f t="shared" si="13"/>
        <v>-1700000</v>
      </c>
      <c r="J221" s="11">
        <f t="shared" si="20"/>
        <v>0</v>
      </c>
      <c r="K221" s="11">
        <f t="shared" si="17"/>
        <v>-1700000</v>
      </c>
    </row>
    <row r="222" spans="1:13">
      <c r="A222" s="11" t="s">
        <v>4190</v>
      </c>
      <c r="B222" s="18">
        <v>-5000</v>
      </c>
      <c r="C222" s="18">
        <v>-2500</v>
      </c>
      <c r="D222" s="18">
        <f t="shared" si="18"/>
        <v>-2500</v>
      </c>
      <c r="E222" s="11" t="s">
        <v>4198</v>
      </c>
      <c r="F222" s="11">
        <v>6</v>
      </c>
      <c r="G222" s="32">
        <f t="shared" si="21"/>
        <v>170</v>
      </c>
      <c r="H222" s="11">
        <f t="shared" si="15"/>
        <v>0</v>
      </c>
      <c r="I222" s="11">
        <f t="shared" si="13"/>
        <v>-850000</v>
      </c>
      <c r="J222" s="11">
        <f t="shared" si="20"/>
        <v>-425000</v>
      </c>
      <c r="K222" s="11">
        <f t="shared" si="17"/>
        <v>-425000</v>
      </c>
    </row>
    <row r="223" spans="1:13">
      <c r="A223" s="11" t="s">
        <v>4207</v>
      </c>
      <c r="B223" s="18">
        <v>-190000</v>
      </c>
      <c r="C223" s="18">
        <v>0</v>
      </c>
      <c r="D223" s="18">
        <f t="shared" si="18"/>
        <v>-190000</v>
      </c>
      <c r="E223" s="11" t="s">
        <v>4208</v>
      </c>
      <c r="F223" s="11">
        <v>7</v>
      </c>
      <c r="G223" s="32">
        <f t="shared" si="21"/>
        <v>164</v>
      </c>
      <c r="H223" s="11">
        <f t="shared" si="15"/>
        <v>0</v>
      </c>
      <c r="I223" s="11">
        <f t="shared" si="13"/>
        <v>-31160000</v>
      </c>
      <c r="J223" s="11">
        <f t="shared" si="20"/>
        <v>0</v>
      </c>
      <c r="K223" s="11">
        <f t="shared" si="17"/>
        <v>-31160000</v>
      </c>
      <c r="M223" t="s">
        <v>25</v>
      </c>
    </row>
    <row r="224" spans="1:13">
      <c r="A224" s="11" t="s">
        <v>4234</v>
      </c>
      <c r="B224" s="18">
        <v>1911</v>
      </c>
      <c r="C224" s="18">
        <v>64972</v>
      </c>
      <c r="D224" s="18">
        <f t="shared" si="18"/>
        <v>-63061</v>
      </c>
      <c r="E224" s="11" t="s">
        <v>707</v>
      </c>
      <c r="F224" s="11">
        <v>6</v>
      </c>
      <c r="G224" s="32">
        <f t="shared" si="21"/>
        <v>157</v>
      </c>
      <c r="H224" s="11">
        <f t="shared" si="15"/>
        <v>1</v>
      </c>
      <c r="I224" s="11">
        <f t="shared" si="13"/>
        <v>298116</v>
      </c>
      <c r="J224" s="11">
        <f t="shared" si="20"/>
        <v>10135632</v>
      </c>
      <c r="K224" s="11">
        <f t="shared" si="17"/>
        <v>-9837516</v>
      </c>
      <c r="M224" t="s">
        <v>25</v>
      </c>
    </row>
    <row r="225" spans="1:13">
      <c r="A225" s="11" t="s">
        <v>4251</v>
      </c>
      <c r="B225" s="18">
        <v>5000000</v>
      </c>
      <c r="C225" s="18">
        <v>0</v>
      </c>
      <c r="D225" s="18">
        <f t="shared" si="18"/>
        <v>5000000</v>
      </c>
      <c r="E225" s="11" t="s">
        <v>3853</v>
      </c>
      <c r="F225" s="11">
        <v>1</v>
      </c>
      <c r="G225" s="32">
        <f t="shared" si="21"/>
        <v>151</v>
      </c>
      <c r="H225" s="11">
        <f t="shared" si="15"/>
        <v>1</v>
      </c>
      <c r="I225" s="11">
        <f t="shared" si="13"/>
        <v>750000000</v>
      </c>
      <c r="J225" s="11">
        <f t="shared" si="20"/>
        <v>0</v>
      </c>
      <c r="K225" s="11">
        <f t="shared" si="17"/>
        <v>750000000</v>
      </c>
    </row>
    <row r="226" spans="1:13">
      <c r="A226" s="11" t="s">
        <v>4256</v>
      </c>
      <c r="B226" s="18">
        <v>-3200000</v>
      </c>
      <c r="C226" s="18">
        <v>0</v>
      </c>
      <c r="D226" s="18">
        <f t="shared" si="18"/>
        <v>-3200000</v>
      </c>
      <c r="E226" s="11" t="s">
        <v>4265</v>
      </c>
      <c r="F226" s="11">
        <v>0</v>
      </c>
      <c r="G226" s="32">
        <f t="shared" si="21"/>
        <v>150</v>
      </c>
      <c r="H226" s="11">
        <f t="shared" si="15"/>
        <v>0</v>
      </c>
      <c r="I226" s="11">
        <f t="shared" si="13"/>
        <v>-480000000</v>
      </c>
      <c r="J226" s="11">
        <f t="shared" si="20"/>
        <v>0</v>
      </c>
      <c r="K226" s="11">
        <f t="shared" si="17"/>
        <v>-480000000</v>
      </c>
    </row>
    <row r="227" spans="1:13">
      <c r="A227" s="11" t="s">
        <v>4256</v>
      </c>
      <c r="B227" s="18">
        <v>2400000</v>
      </c>
      <c r="C227" s="18">
        <v>0</v>
      </c>
      <c r="D227" s="18">
        <f t="shared" si="18"/>
        <v>2400000</v>
      </c>
      <c r="E227" s="11" t="s">
        <v>3853</v>
      </c>
      <c r="F227" s="11">
        <v>2</v>
      </c>
      <c r="G227" s="32">
        <f t="shared" si="21"/>
        <v>150</v>
      </c>
      <c r="H227" s="11">
        <f t="shared" si="15"/>
        <v>1</v>
      </c>
      <c r="I227" s="11">
        <f t="shared" si="13"/>
        <v>357600000</v>
      </c>
      <c r="J227" s="11">
        <f t="shared" si="20"/>
        <v>0</v>
      </c>
      <c r="K227" s="11">
        <f t="shared" si="17"/>
        <v>357600000</v>
      </c>
    </row>
    <row r="228" spans="1:13">
      <c r="A228" s="11" t="s">
        <v>4280</v>
      </c>
      <c r="B228" s="18">
        <v>-50000</v>
      </c>
      <c r="C228" s="18">
        <v>0</v>
      </c>
      <c r="D228" s="18">
        <f t="shared" si="18"/>
        <v>-50000</v>
      </c>
      <c r="E228" s="11" t="s">
        <v>4284</v>
      </c>
      <c r="F228" s="11">
        <v>1</v>
      </c>
      <c r="G228" s="32">
        <f t="shared" si="21"/>
        <v>148</v>
      </c>
      <c r="H228" s="11">
        <f t="shared" si="15"/>
        <v>0</v>
      </c>
      <c r="I228" s="11">
        <f t="shared" si="13"/>
        <v>-7400000</v>
      </c>
      <c r="J228" s="11">
        <f t="shared" si="20"/>
        <v>0</v>
      </c>
      <c r="K228" s="11">
        <f t="shared" si="17"/>
        <v>-7400000</v>
      </c>
    </row>
    <row r="229" spans="1:13">
      <c r="A229" s="11" t="s">
        <v>4274</v>
      </c>
      <c r="B229" s="18">
        <v>-4100700</v>
      </c>
      <c r="C229" s="18">
        <v>0</v>
      </c>
      <c r="D229" s="18">
        <f t="shared" si="18"/>
        <v>-4100700</v>
      </c>
      <c r="E229" s="11" t="s">
        <v>4285</v>
      </c>
      <c r="F229" s="11">
        <v>4</v>
      </c>
      <c r="G229" s="32">
        <f t="shared" si="21"/>
        <v>147</v>
      </c>
      <c r="H229" s="11">
        <f t="shared" si="15"/>
        <v>0</v>
      </c>
      <c r="I229" s="11">
        <f t="shared" si="13"/>
        <v>-602802900</v>
      </c>
      <c r="J229" s="11">
        <f t="shared" si="20"/>
        <v>0</v>
      </c>
      <c r="K229" s="11">
        <f t="shared" si="17"/>
        <v>-602802900</v>
      </c>
    </row>
    <row r="230" spans="1:13">
      <c r="A230" s="11" t="s">
        <v>4288</v>
      </c>
      <c r="B230" s="18">
        <v>9700000</v>
      </c>
      <c r="C230" s="18">
        <v>0</v>
      </c>
      <c r="D230" s="18">
        <f t="shared" si="18"/>
        <v>9700000</v>
      </c>
      <c r="E230" s="11" t="s">
        <v>3853</v>
      </c>
      <c r="F230" s="11">
        <v>0</v>
      </c>
      <c r="G230" s="32">
        <f t="shared" si="21"/>
        <v>143</v>
      </c>
      <c r="H230" s="11">
        <f t="shared" si="15"/>
        <v>1</v>
      </c>
      <c r="I230" s="11">
        <f t="shared" si="13"/>
        <v>1377400000</v>
      </c>
      <c r="J230" s="11">
        <f t="shared" si="20"/>
        <v>0</v>
      </c>
      <c r="K230" s="11">
        <f t="shared" si="17"/>
        <v>1377400000</v>
      </c>
    </row>
    <row r="231" spans="1:13">
      <c r="A231" s="11" t="s">
        <v>4288</v>
      </c>
      <c r="B231" s="18">
        <v>-3000900</v>
      </c>
      <c r="C231" s="18">
        <v>0</v>
      </c>
      <c r="D231" s="18">
        <f t="shared" si="18"/>
        <v>-3000900</v>
      </c>
      <c r="E231" s="11" t="s">
        <v>4296</v>
      </c>
      <c r="F231" s="11">
        <v>1</v>
      </c>
      <c r="G231" s="32">
        <f t="shared" si="21"/>
        <v>143</v>
      </c>
      <c r="H231" s="11">
        <f t="shared" si="15"/>
        <v>0</v>
      </c>
      <c r="I231" s="11">
        <f t="shared" si="13"/>
        <v>-429128700</v>
      </c>
      <c r="J231" s="11">
        <f t="shared" si="20"/>
        <v>0</v>
      </c>
      <c r="K231" s="11">
        <f t="shared" si="17"/>
        <v>-429128700</v>
      </c>
    </row>
    <row r="232" spans="1:13">
      <c r="A232" s="11" t="s">
        <v>4289</v>
      </c>
      <c r="B232" s="18">
        <v>-3000900</v>
      </c>
      <c r="C232" s="18">
        <v>0</v>
      </c>
      <c r="D232" s="18">
        <f t="shared" si="18"/>
        <v>-3000900</v>
      </c>
      <c r="E232" s="11" t="s">
        <v>4296</v>
      </c>
      <c r="F232" s="11">
        <v>0</v>
      </c>
      <c r="G232" s="32">
        <f t="shared" si="21"/>
        <v>142</v>
      </c>
      <c r="H232" s="11">
        <f t="shared" si="15"/>
        <v>0</v>
      </c>
      <c r="I232" s="11">
        <f t="shared" si="13"/>
        <v>-426127800</v>
      </c>
      <c r="J232" s="11">
        <f t="shared" si="20"/>
        <v>0</v>
      </c>
      <c r="K232" s="11">
        <f t="shared" si="17"/>
        <v>-426127800</v>
      </c>
    </row>
    <row r="233" spans="1:13">
      <c r="A233" s="11" t="s">
        <v>4289</v>
      </c>
      <c r="B233" s="18">
        <v>-555000</v>
      </c>
      <c r="C233" s="18">
        <v>0</v>
      </c>
      <c r="D233" s="18">
        <f t="shared" si="18"/>
        <v>-555000</v>
      </c>
      <c r="E233" s="11" t="s">
        <v>4208</v>
      </c>
      <c r="F233" s="11">
        <v>1</v>
      </c>
      <c r="G233" s="32">
        <f t="shared" si="21"/>
        <v>142</v>
      </c>
      <c r="H233" s="11">
        <f t="shared" si="15"/>
        <v>0</v>
      </c>
      <c r="I233" s="11">
        <f t="shared" si="13"/>
        <v>-78810000</v>
      </c>
      <c r="J233" s="11">
        <f t="shared" si="20"/>
        <v>0</v>
      </c>
      <c r="K233" s="11">
        <f t="shared" si="17"/>
        <v>-78810000</v>
      </c>
    </row>
    <row r="234" spans="1:13">
      <c r="A234" s="11" t="s">
        <v>4308</v>
      </c>
      <c r="B234" s="18">
        <v>-138360</v>
      </c>
      <c r="C234" s="18">
        <v>0</v>
      </c>
      <c r="D234" s="18">
        <f t="shared" si="18"/>
        <v>-138360</v>
      </c>
      <c r="E234" s="11" t="s">
        <v>4310</v>
      </c>
      <c r="F234" s="11">
        <v>1</v>
      </c>
      <c r="G234" s="32">
        <f t="shared" si="21"/>
        <v>141</v>
      </c>
      <c r="H234" s="11">
        <f t="shared" si="15"/>
        <v>0</v>
      </c>
      <c r="I234" s="11">
        <f t="shared" si="13"/>
        <v>-19508760</v>
      </c>
      <c r="J234" s="11">
        <f t="shared" si="20"/>
        <v>0</v>
      </c>
      <c r="K234" s="11">
        <f t="shared" si="17"/>
        <v>-19508760</v>
      </c>
    </row>
    <row r="235" spans="1:13">
      <c r="A235" s="11" t="s">
        <v>4311</v>
      </c>
      <c r="B235" s="18">
        <v>-3000900</v>
      </c>
      <c r="C235" s="18">
        <v>0</v>
      </c>
      <c r="D235" s="18">
        <f t="shared" si="18"/>
        <v>-3000900</v>
      </c>
      <c r="E235" s="11" t="s">
        <v>4296</v>
      </c>
      <c r="F235" s="11">
        <v>2</v>
      </c>
      <c r="G235" s="32">
        <f t="shared" si="21"/>
        <v>140</v>
      </c>
      <c r="H235" s="11">
        <f t="shared" si="15"/>
        <v>0</v>
      </c>
      <c r="I235" s="11">
        <f t="shared" si="13"/>
        <v>-420126000</v>
      </c>
      <c r="J235" s="11">
        <f t="shared" si="20"/>
        <v>0</v>
      </c>
      <c r="K235" s="11">
        <f t="shared" si="17"/>
        <v>-420126000</v>
      </c>
      <c r="M235" t="s">
        <v>25</v>
      </c>
    </row>
    <row r="236" spans="1:13">
      <c r="A236" s="11" t="s">
        <v>4317</v>
      </c>
      <c r="B236" s="18">
        <v>-55000</v>
      </c>
      <c r="C236" s="18">
        <v>0</v>
      </c>
      <c r="D236" s="18">
        <f t="shared" si="18"/>
        <v>-55000</v>
      </c>
      <c r="E236" s="11" t="s">
        <v>4107</v>
      </c>
      <c r="F236" s="11">
        <v>4</v>
      </c>
      <c r="G236" s="32">
        <f t="shared" si="21"/>
        <v>138</v>
      </c>
      <c r="H236" s="11">
        <f t="shared" si="15"/>
        <v>0</v>
      </c>
      <c r="I236" s="11">
        <f t="shared" si="13"/>
        <v>-7590000</v>
      </c>
      <c r="J236" s="11">
        <f t="shared" si="20"/>
        <v>0</v>
      </c>
      <c r="K236" s="11">
        <f t="shared" si="17"/>
        <v>-7590000</v>
      </c>
    </row>
    <row r="237" spans="1:13">
      <c r="A237" s="11" t="s">
        <v>4331</v>
      </c>
      <c r="B237" s="18">
        <v>6035000</v>
      </c>
      <c r="C237" s="18">
        <v>0</v>
      </c>
      <c r="D237" s="18">
        <f t="shared" si="18"/>
        <v>6035000</v>
      </c>
      <c r="E237" s="11" t="s">
        <v>3853</v>
      </c>
      <c r="F237" s="11">
        <v>2</v>
      </c>
      <c r="G237" s="32">
        <f t="shared" si="21"/>
        <v>134</v>
      </c>
      <c r="H237" s="11">
        <f t="shared" si="15"/>
        <v>1</v>
      </c>
      <c r="I237" s="11">
        <f t="shared" si="13"/>
        <v>802655000</v>
      </c>
      <c r="J237" s="11">
        <f t="shared" si="20"/>
        <v>0</v>
      </c>
      <c r="K237" s="11">
        <f t="shared" si="17"/>
        <v>802655000</v>
      </c>
    </row>
    <row r="238" spans="1:13">
      <c r="A238" s="11" t="s">
        <v>4336</v>
      </c>
      <c r="B238" s="18">
        <v>-7500</v>
      </c>
      <c r="C238" s="18">
        <v>0</v>
      </c>
      <c r="D238" s="18">
        <f t="shared" si="18"/>
        <v>-7500</v>
      </c>
      <c r="E238" s="11" t="s">
        <v>4337</v>
      </c>
      <c r="F238" s="11">
        <v>1</v>
      </c>
      <c r="G238" s="32">
        <f t="shared" si="21"/>
        <v>132</v>
      </c>
      <c r="H238" s="11">
        <f t="shared" si="15"/>
        <v>0</v>
      </c>
      <c r="I238" s="11">
        <f t="shared" si="13"/>
        <v>-990000</v>
      </c>
      <c r="J238" s="11">
        <f t="shared" si="20"/>
        <v>0</v>
      </c>
      <c r="K238" s="11">
        <f t="shared" si="17"/>
        <v>-990000</v>
      </c>
    </row>
    <row r="239" spans="1:13">
      <c r="A239" s="11" t="s">
        <v>4338</v>
      </c>
      <c r="B239" s="18">
        <v>-4098523</v>
      </c>
      <c r="C239" s="18">
        <v>0</v>
      </c>
      <c r="D239" s="18">
        <f t="shared" si="18"/>
        <v>-4098523</v>
      </c>
      <c r="E239" s="11" t="s">
        <v>4339</v>
      </c>
      <c r="F239" s="11">
        <v>0</v>
      </c>
      <c r="G239" s="32">
        <f t="shared" si="21"/>
        <v>131</v>
      </c>
      <c r="H239" s="11">
        <f t="shared" si="15"/>
        <v>0</v>
      </c>
      <c r="I239" s="11">
        <f t="shared" si="13"/>
        <v>-536906513</v>
      </c>
      <c r="J239" s="11">
        <f t="shared" si="20"/>
        <v>0</v>
      </c>
      <c r="K239" s="11">
        <f t="shared" si="17"/>
        <v>-536906513</v>
      </c>
    </row>
    <row r="240" spans="1:13">
      <c r="A240" s="11" t="s">
        <v>4340</v>
      </c>
      <c r="B240" s="18">
        <v>-33225</v>
      </c>
      <c r="C240" s="18">
        <v>0</v>
      </c>
      <c r="D240" s="18">
        <f t="shared" si="18"/>
        <v>-33225</v>
      </c>
      <c r="E240" s="11" t="s">
        <v>4208</v>
      </c>
      <c r="F240" s="11">
        <v>0</v>
      </c>
      <c r="G240" s="32">
        <f t="shared" si="21"/>
        <v>131</v>
      </c>
      <c r="H240" s="11">
        <f t="shared" si="15"/>
        <v>0</v>
      </c>
      <c r="I240" s="11">
        <f t="shared" si="13"/>
        <v>-4352475</v>
      </c>
      <c r="J240" s="11">
        <f t="shared" si="20"/>
        <v>0</v>
      </c>
      <c r="K240" s="11">
        <f t="shared" si="17"/>
        <v>-4352475</v>
      </c>
    </row>
    <row r="241" spans="1:13">
      <c r="A241" s="11" t="s">
        <v>4340</v>
      </c>
      <c r="B241" s="18">
        <v>-1895000</v>
      </c>
      <c r="C241" s="18">
        <v>0</v>
      </c>
      <c r="D241" s="18">
        <f t="shared" si="18"/>
        <v>-1895000</v>
      </c>
      <c r="E241" s="11" t="s">
        <v>3732</v>
      </c>
      <c r="F241" s="11">
        <v>7</v>
      </c>
      <c r="G241" s="32">
        <f t="shared" si="21"/>
        <v>131</v>
      </c>
      <c r="H241" s="11">
        <f t="shared" si="15"/>
        <v>0</v>
      </c>
      <c r="I241" s="11">
        <f t="shared" si="13"/>
        <v>-248245000</v>
      </c>
      <c r="J241" s="11">
        <f t="shared" si="20"/>
        <v>0</v>
      </c>
      <c r="K241" s="11">
        <f t="shared" si="17"/>
        <v>-248245000</v>
      </c>
    </row>
    <row r="242" spans="1:13">
      <c r="A242" s="11" t="s">
        <v>4368</v>
      </c>
      <c r="B242" s="18">
        <v>2500000</v>
      </c>
      <c r="C242" s="18">
        <v>0</v>
      </c>
      <c r="D242" s="18">
        <f t="shared" si="18"/>
        <v>2500000</v>
      </c>
      <c r="E242" s="11" t="s">
        <v>3853</v>
      </c>
      <c r="F242" s="11">
        <v>2</v>
      </c>
      <c r="G242" s="32">
        <f t="shared" si="21"/>
        <v>124</v>
      </c>
      <c r="H242" s="11">
        <f t="shared" si="15"/>
        <v>1</v>
      </c>
      <c r="I242" s="11">
        <f t="shared" si="13"/>
        <v>307500000</v>
      </c>
      <c r="J242" s="11">
        <f t="shared" si="20"/>
        <v>0</v>
      </c>
      <c r="K242" s="11">
        <f t="shared" si="17"/>
        <v>307500000</v>
      </c>
    </row>
    <row r="243" spans="1:13">
      <c r="A243" s="11" t="s">
        <v>4370</v>
      </c>
      <c r="B243" s="18">
        <v>-2500000</v>
      </c>
      <c r="C243" s="18">
        <v>0</v>
      </c>
      <c r="D243" s="18">
        <f t="shared" si="18"/>
        <v>-2500000</v>
      </c>
      <c r="E243" s="11" t="s">
        <v>3732</v>
      </c>
      <c r="F243" s="11">
        <v>2</v>
      </c>
      <c r="G243" s="32">
        <f t="shared" si="21"/>
        <v>122</v>
      </c>
      <c r="H243" s="11">
        <f t="shared" si="15"/>
        <v>0</v>
      </c>
      <c r="I243" s="11">
        <f t="shared" si="13"/>
        <v>-305000000</v>
      </c>
      <c r="J243" s="11">
        <f t="shared" si="20"/>
        <v>0</v>
      </c>
      <c r="K243" s="11">
        <f t="shared" si="17"/>
        <v>-305000000</v>
      </c>
    </row>
    <row r="244" spans="1:13">
      <c r="A244" s="11" t="s">
        <v>4374</v>
      </c>
      <c r="B244" s="18">
        <v>1100000</v>
      </c>
      <c r="C244" s="18">
        <v>0</v>
      </c>
      <c r="D244" s="18">
        <f t="shared" si="18"/>
        <v>1100000</v>
      </c>
      <c r="E244" s="11" t="s">
        <v>3853</v>
      </c>
      <c r="F244" s="11">
        <v>2</v>
      </c>
      <c r="G244" s="32">
        <f t="shared" si="21"/>
        <v>120</v>
      </c>
      <c r="H244" s="11">
        <f t="shared" si="15"/>
        <v>1</v>
      </c>
      <c r="I244" s="11">
        <f t="shared" si="13"/>
        <v>130900000</v>
      </c>
      <c r="J244" s="11">
        <f t="shared" si="20"/>
        <v>0</v>
      </c>
      <c r="K244" s="11">
        <f t="shared" si="17"/>
        <v>130900000</v>
      </c>
    </row>
    <row r="245" spans="1:13">
      <c r="A245" s="11" t="s">
        <v>4376</v>
      </c>
      <c r="B245" s="18">
        <v>3000000</v>
      </c>
      <c r="C245" s="18">
        <v>0</v>
      </c>
      <c r="D245" s="18">
        <f t="shared" si="18"/>
        <v>3000000</v>
      </c>
      <c r="E245" s="11" t="s">
        <v>4378</v>
      </c>
      <c r="F245" s="11">
        <v>2</v>
      </c>
      <c r="G245" s="32">
        <f t="shared" si="21"/>
        <v>118</v>
      </c>
      <c r="H245" s="11">
        <f t="shared" si="15"/>
        <v>1</v>
      </c>
      <c r="I245" s="11">
        <f t="shared" si="13"/>
        <v>351000000</v>
      </c>
      <c r="J245" s="11">
        <f t="shared" si="20"/>
        <v>0</v>
      </c>
      <c r="K245" s="11">
        <f t="shared" si="17"/>
        <v>351000000</v>
      </c>
    </row>
    <row r="246" spans="1:13">
      <c r="A246" s="11" t="s">
        <v>4373</v>
      </c>
      <c r="B246" s="18">
        <v>-4040700</v>
      </c>
      <c r="C246" s="18">
        <v>0</v>
      </c>
      <c r="D246" s="18">
        <f t="shared" si="18"/>
        <v>-4040700</v>
      </c>
      <c r="E246" s="11" t="s">
        <v>4399</v>
      </c>
      <c r="F246" s="11">
        <v>0</v>
      </c>
      <c r="G246" s="32">
        <f t="shared" si="21"/>
        <v>116</v>
      </c>
      <c r="H246" s="11">
        <f t="shared" si="15"/>
        <v>0</v>
      </c>
      <c r="I246" s="11">
        <f t="shared" si="13"/>
        <v>-468721200</v>
      </c>
      <c r="J246" s="11">
        <f t="shared" si="20"/>
        <v>0</v>
      </c>
      <c r="K246" s="11">
        <f t="shared" si="17"/>
        <v>-468721200</v>
      </c>
    </row>
    <row r="247" spans="1:13">
      <c r="A247" s="11" t="s">
        <v>4373</v>
      </c>
      <c r="B247" s="18">
        <v>490000</v>
      </c>
      <c r="C247" s="18">
        <v>0</v>
      </c>
      <c r="D247" s="18">
        <f t="shared" si="18"/>
        <v>490000</v>
      </c>
      <c r="E247" s="11" t="s">
        <v>3853</v>
      </c>
      <c r="F247" s="11">
        <v>1</v>
      </c>
      <c r="G247" s="32">
        <f t="shared" si="21"/>
        <v>116</v>
      </c>
      <c r="H247" s="11">
        <f t="shared" si="15"/>
        <v>1</v>
      </c>
      <c r="I247" s="11">
        <f t="shared" si="13"/>
        <v>56350000</v>
      </c>
      <c r="J247" s="11">
        <f t="shared" si="20"/>
        <v>0</v>
      </c>
      <c r="K247" s="11">
        <f t="shared" si="17"/>
        <v>56350000</v>
      </c>
    </row>
    <row r="248" spans="1:13">
      <c r="A248" s="11" t="s">
        <v>4402</v>
      </c>
      <c r="B248" s="18">
        <v>1400000</v>
      </c>
      <c r="C248" s="18">
        <v>0</v>
      </c>
      <c r="D248" s="18">
        <f t="shared" si="18"/>
        <v>1400000</v>
      </c>
      <c r="E248" s="11" t="s">
        <v>3853</v>
      </c>
      <c r="F248" s="11">
        <v>0</v>
      </c>
      <c r="G248" s="32">
        <f t="shared" si="21"/>
        <v>115</v>
      </c>
      <c r="H248" s="11">
        <f t="shared" si="15"/>
        <v>1</v>
      </c>
      <c r="I248" s="11">
        <f t="shared" si="13"/>
        <v>159600000</v>
      </c>
      <c r="J248" s="11">
        <f t="shared" si="20"/>
        <v>0</v>
      </c>
      <c r="K248" s="11">
        <f t="shared" si="17"/>
        <v>159600000</v>
      </c>
      <c r="M248" t="s">
        <v>25</v>
      </c>
    </row>
    <row r="249" spans="1:13">
      <c r="A249" s="11" t="s">
        <v>4402</v>
      </c>
      <c r="B249" s="18">
        <v>-1500000</v>
      </c>
      <c r="C249" s="18">
        <v>0</v>
      </c>
      <c r="D249" s="18">
        <f t="shared" si="18"/>
        <v>-1500000</v>
      </c>
      <c r="E249" s="11" t="s">
        <v>3732</v>
      </c>
      <c r="F249" s="11">
        <v>1</v>
      </c>
      <c r="G249" s="32">
        <f t="shared" si="21"/>
        <v>115</v>
      </c>
      <c r="H249" s="11">
        <f t="shared" si="15"/>
        <v>0</v>
      </c>
      <c r="I249" s="11">
        <f t="shared" si="13"/>
        <v>-172500000</v>
      </c>
      <c r="J249" s="11">
        <f t="shared" si="20"/>
        <v>0</v>
      </c>
      <c r="K249" s="11">
        <f t="shared" si="17"/>
        <v>-172500000</v>
      </c>
    </row>
    <row r="250" spans="1:13">
      <c r="A250" s="11" t="s">
        <v>4408</v>
      </c>
      <c r="B250" s="18">
        <v>-100000</v>
      </c>
      <c r="C250" s="18">
        <v>0</v>
      </c>
      <c r="D250" s="18">
        <f t="shared" si="18"/>
        <v>-100000</v>
      </c>
      <c r="E250" s="11" t="s">
        <v>3732</v>
      </c>
      <c r="F250" s="11">
        <v>1</v>
      </c>
      <c r="G250" s="32">
        <f t="shared" si="21"/>
        <v>114</v>
      </c>
      <c r="H250" s="11">
        <f t="shared" si="15"/>
        <v>0</v>
      </c>
      <c r="I250" s="11">
        <f t="shared" si="13"/>
        <v>-11400000</v>
      </c>
      <c r="J250" s="11">
        <f t="shared" si="20"/>
        <v>0</v>
      </c>
      <c r="K250" s="11">
        <f t="shared" si="17"/>
        <v>-11400000</v>
      </c>
    </row>
    <row r="251" spans="1:13">
      <c r="A251" s="11" t="s">
        <v>4181</v>
      </c>
      <c r="B251" s="18">
        <v>-13900</v>
      </c>
      <c r="C251" s="18">
        <v>0</v>
      </c>
      <c r="D251" s="18">
        <f t="shared" si="18"/>
        <v>-13900</v>
      </c>
      <c r="E251" s="11" t="s">
        <v>3976</v>
      </c>
      <c r="F251" s="11">
        <v>0</v>
      </c>
      <c r="G251" s="32">
        <f t="shared" si="21"/>
        <v>113</v>
      </c>
      <c r="H251" s="11">
        <f t="shared" si="15"/>
        <v>0</v>
      </c>
      <c r="I251" s="11">
        <f t="shared" si="13"/>
        <v>-1570700</v>
      </c>
      <c r="J251" s="11">
        <f t="shared" si="20"/>
        <v>0</v>
      </c>
      <c r="K251" s="11">
        <f t="shared" si="17"/>
        <v>-1570700</v>
      </c>
    </row>
    <row r="252" spans="1:13">
      <c r="A252" s="11" t="s">
        <v>4181</v>
      </c>
      <c r="B252" s="18">
        <v>300000</v>
      </c>
      <c r="C252" s="18">
        <v>0</v>
      </c>
      <c r="D252" s="18">
        <f t="shared" si="18"/>
        <v>300000</v>
      </c>
      <c r="E252" s="11" t="s">
        <v>3853</v>
      </c>
      <c r="F252" s="11">
        <v>2</v>
      </c>
      <c r="G252" s="32">
        <f t="shared" si="21"/>
        <v>113</v>
      </c>
      <c r="H252" s="11">
        <f t="shared" si="15"/>
        <v>1</v>
      </c>
      <c r="I252" s="11">
        <f t="shared" si="13"/>
        <v>33600000</v>
      </c>
      <c r="J252" s="11">
        <f t="shared" si="20"/>
        <v>0</v>
      </c>
      <c r="K252" s="11">
        <f t="shared" si="17"/>
        <v>33600000</v>
      </c>
    </row>
    <row r="253" spans="1:13">
      <c r="A253" s="11" t="s">
        <v>4415</v>
      </c>
      <c r="B253" s="18">
        <v>12000000</v>
      </c>
      <c r="C253" s="18">
        <v>0</v>
      </c>
      <c r="D253" s="18">
        <f t="shared" si="18"/>
        <v>12000000</v>
      </c>
      <c r="E253" s="11" t="s">
        <v>4416</v>
      </c>
      <c r="F253" s="11">
        <v>1</v>
      </c>
      <c r="G253" s="32">
        <f t="shared" si="21"/>
        <v>111</v>
      </c>
      <c r="H253" s="11">
        <f t="shared" si="15"/>
        <v>1</v>
      </c>
      <c r="I253" s="11">
        <f t="shared" si="13"/>
        <v>1320000000</v>
      </c>
      <c r="J253" s="11">
        <f t="shared" si="20"/>
        <v>0</v>
      </c>
      <c r="K253" s="11">
        <f t="shared" si="17"/>
        <v>1320000000</v>
      </c>
    </row>
    <row r="254" spans="1:13">
      <c r="A254" s="11" t="s">
        <v>4417</v>
      </c>
      <c r="B254" s="18">
        <v>3000000</v>
      </c>
      <c r="C254" s="18">
        <v>0</v>
      </c>
      <c r="D254" s="18">
        <f t="shared" si="18"/>
        <v>3000000</v>
      </c>
      <c r="E254" s="11" t="s">
        <v>3853</v>
      </c>
      <c r="F254" s="11">
        <v>1</v>
      </c>
      <c r="G254" s="32">
        <f t="shared" si="21"/>
        <v>110</v>
      </c>
      <c r="H254" s="11">
        <f t="shared" si="15"/>
        <v>1</v>
      </c>
      <c r="I254" s="11">
        <f t="shared" si="13"/>
        <v>327000000</v>
      </c>
      <c r="J254" s="11">
        <f t="shared" si="20"/>
        <v>0</v>
      </c>
      <c r="K254" s="11">
        <f t="shared" si="17"/>
        <v>327000000</v>
      </c>
    </row>
    <row r="255" spans="1:13">
      <c r="A255" s="11" t="s">
        <v>4419</v>
      </c>
      <c r="B255" s="18">
        <v>-14000000</v>
      </c>
      <c r="C255" s="18">
        <v>0</v>
      </c>
      <c r="D255" s="18">
        <f t="shared" si="18"/>
        <v>-14000000</v>
      </c>
      <c r="E255" s="11" t="s">
        <v>3732</v>
      </c>
      <c r="F255" s="11">
        <v>1</v>
      </c>
      <c r="G255" s="32">
        <f t="shared" si="21"/>
        <v>109</v>
      </c>
      <c r="H255" s="11">
        <f t="shared" si="15"/>
        <v>0</v>
      </c>
      <c r="I255" s="11">
        <f t="shared" si="13"/>
        <v>-1526000000</v>
      </c>
      <c r="J255" s="11">
        <f t="shared" si="20"/>
        <v>0</v>
      </c>
      <c r="K255" s="11">
        <f t="shared" si="17"/>
        <v>-1526000000</v>
      </c>
    </row>
    <row r="256" spans="1:13">
      <c r="A256" s="11" t="s">
        <v>4420</v>
      </c>
      <c r="B256" s="18">
        <v>-124969</v>
      </c>
      <c r="C256" s="18">
        <v>0</v>
      </c>
      <c r="D256" s="18">
        <f t="shared" si="18"/>
        <v>-124969</v>
      </c>
      <c r="E256" s="11" t="s">
        <v>3976</v>
      </c>
      <c r="F256" s="11">
        <v>0</v>
      </c>
      <c r="G256" s="32">
        <f t="shared" si="21"/>
        <v>108</v>
      </c>
      <c r="H256" s="11">
        <f t="shared" si="15"/>
        <v>0</v>
      </c>
      <c r="I256" s="11">
        <f t="shared" si="13"/>
        <v>-13496652</v>
      </c>
      <c r="J256" s="11">
        <f t="shared" si="20"/>
        <v>0</v>
      </c>
      <c r="K256" s="11">
        <f t="shared" si="17"/>
        <v>-13496652</v>
      </c>
    </row>
    <row r="257" spans="1:13">
      <c r="A257" s="11" t="s">
        <v>4420</v>
      </c>
      <c r="B257" s="18">
        <v>0</v>
      </c>
      <c r="C257" s="34">
        <v>-7968789</v>
      </c>
      <c r="D257" s="34">
        <f t="shared" si="18"/>
        <v>7968789</v>
      </c>
      <c r="E257" s="11" t="s">
        <v>4421</v>
      </c>
      <c r="F257" s="11">
        <v>1</v>
      </c>
      <c r="G257" s="32">
        <f t="shared" si="21"/>
        <v>108</v>
      </c>
      <c r="H257" s="11">
        <f t="shared" si="15"/>
        <v>0</v>
      </c>
      <c r="I257" s="11">
        <f t="shared" si="13"/>
        <v>0</v>
      </c>
      <c r="J257" s="11">
        <f t="shared" si="20"/>
        <v>-860629212</v>
      </c>
      <c r="K257" s="11">
        <f t="shared" si="17"/>
        <v>860629212</v>
      </c>
    </row>
    <row r="258" spans="1:13">
      <c r="A258" s="11" t="s">
        <v>4423</v>
      </c>
      <c r="B258" s="18">
        <v>-1313000</v>
      </c>
      <c r="C258" s="18">
        <v>0</v>
      </c>
      <c r="D258" s="18">
        <f t="shared" si="18"/>
        <v>-1313000</v>
      </c>
      <c r="E258" s="11" t="s">
        <v>3732</v>
      </c>
      <c r="F258" s="11">
        <v>3</v>
      </c>
      <c r="G258" s="32">
        <f t="shared" si="21"/>
        <v>107</v>
      </c>
      <c r="H258" s="11">
        <f t="shared" si="15"/>
        <v>0</v>
      </c>
      <c r="I258" s="11">
        <f t="shared" si="13"/>
        <v>-140491000</v>
      </c>
      <c r="J258" s="11">
        <f t="shared" si="20"/>
        <v>0</v>
      </c>
      <c r="K258" s="11">
        <f t="shared" si="17"/>
        <v>-140491000</v>
      </c>
    </row>
    <row r="259" spans="1:13">
      <c r="A259" s="11" t="s">
        <v>4427</v>
      </c>
      <c r="B259" s="18">
        <v>2000000</v>
      </c>
      <c r="C259" s="18">
        <v>0</v>
      </c>
      <c r="D259" s="18">
        <f t="shared" si="18"/>
        <v>2000000</v>
      </c>
      <c r="E259" s="11" t="s">
        <v>3853</v>
      </c>
      <c r="F259" s="11">
        <v>1</v>
      </c>
      <c r="G259" s="32">
        <f t="shared" si="21"/>
        <v>104</v>
      </c>
      <c r="H259" s="11">
        <f t="shared" si="15"/>
        <v>1</v>
      </c>
      <c r="I259" s="11">
        <f t="shared" si="13"/>
        <v>206000000</v>
      </c>
      <c r="J259" s="11">
        <f t="shared" si="20"/>
        <v>0</v>
      </c>
      <c r="K259" s="11">
        <f t="shared" si="17"/>
        <v>206000000</v>
      </c>
      <c r="M259" t="s">
        <v>25</v>
      </c>
    </row>
    <row r="260" spans="1:13">
      <c r="A260" s="11" t="s">
        <v>4428</v>
      </c>
      <c r="B260" s="18">
        <v>-1900000</v>
      </c>
      <c r="C260" s="18">
        <v>0</v>
      </c>
      <c r="D260" s="18">
        <f t="shared" si="18"/>
        <v>-1900000</v>
      </c>
      <c r="E260" s="11" t="s">
        <v>3732</v>
      </c>
      <c r="F260" s="11">
        <v>0</v>
      </c>
      <c r="G260" s="32">
        <f t="shared" si="21"/>
        <v>103</v>
      </c>
      <c r="H260" s="11">
        <f t="shared" si="15"/>
        <v>0</v>
      </c>
      <c r="I260" s="11">
        <f t="shared" si="13"/>
        <v>-195700000</v>
      </c>
      <c r="J260" s="11">
        <f t="shared" si="20"/>
        <v>0</v>
      </c>
      <c r="K260" s="11">
        <f t="shared" si="17"/>
        <v>-195700000</v>
      </c>
    </row>
    <row r="261" spans="1:13">
      <c r="A261" s="11" t="s">
        <v>4428</v>
      </c>
      <c r="B261" s="18">
        <v>-100500</v>
      </c>
      <c r="C261" s="18">
        <v>0</v>
      </c>
      <c r="D261" s="18">
        <f t="shared" si="18"/>
        <v>-100500</v>
      </c>
      <c r="E261" s="11" t="s">
        <v>4430</v>
      </c>
      <c r="F261" s="11">
        <v>0</v>
      </c>
      <c r="G261" s="32">
        <f t="shared" si="21"/>
        <v>103</v>
      </c>
      <c r="H261" s="11">
        <f t="shared" si="15"/>
        <v>0</v>
      </c>
      <c r="I261" s="11">
        <f t="shared" si="13"/>
        <v>-10351500</v>
      </c>
      <c r="J261" s="11">
        <f t="shared" si="20"/>
        <v>0</v>
      </c>
      <c r="K261" s="11">
        <f t="shared" si="17"/>
        <v>-10351500</v>
      </c>
    </row>
    <row r="262" spans="1:13">
      <c r="A262" s="11" t="s">
        <v>4428</v>
      </c>
      <c r="B262" s="18">
        <v>-68670</v>
      </c>
      <c r="C262" s="18">
        <v>0</v>
      </c>
      <c r="D262" s="18">
        <f t="shared" si="18"/>
        <v>-68670</v>
      </c>
      <c r="E262" s="11" t="s">
        <v>4434</v>
      </c>
      <c r="F262" s="11">
        <v>1</v>
      </c>
      <c r="G262" s="32">
        <f t="shared" si="21"/>
        <v>103</v>
      </c>
      <c r="H262" s="11">
        <f t="shared" si="15"/>
        <v>0</v>
      </c>
      <c r="I262" s="11">
        <f t="shared" si="13"/>
        <v>-7073010</v>
      </c>
      <c r="J262" s="11">
        <f t="shared" si="20"/>
        <v>0</v>
      </c>
      <c r="K262" s="11">
        <f t="shared" si="17"/>
        <v>-7073010</v>
      </c>
    </row>
    <row r="263" spans="1:13">
      <c r="A263" s="11" t="s">
        <v>4431</v>
      </c>
      <c r="B263" s="18">
        <v>-118600</v>
      </c>
      <c r="C263" s="18">
        <v>0</v>
      </c>
      <c r="D263" s="18">
        <f t="shared" si="18"/>
        <v>-118600</v>
      </c>
      <c r="E263" s="11" t="s">
        <v>4339</v>
      </c>
      <c r="F263" s="11">
        <v>2</v>
      </c>
      <c r="G263" s="32">
        <f t="shared" si="21"/>
        <v>102</v>
      </c>
      <c r="H263" s="11">
        <f t="shared" si="15"/>
        <v>0</v>
      </c>
      <c r="I263" s="11">
        <f t="shared" si="13"/>
        <v>-12097200</v>
      </c>
      <c r="J263" s="11">
        <f t="shared" si="20"/>
        <v>0</v>
      </c>
      <c r="K263" s="11">
        <f t="shared" si="17"/>
        <v>-12097200</v>
      </c>
      <c r="L263" t="s">
        <v>25</v>
      </c>
    </row>
    <row r="264" spans="1:13">
      <c r="A264" s="11" t="s">
        <v>4441</v>
      </c>
      <c r="B264" s="18">
        <v>6779000</v>
      </c>
      <c r="C264" s="18">
        <v>0</v>
      </c>
      <c r="D264" s="18">
        <f t="shared" si="18"/>
        <v>6779000</v>
      </c>
      <c r="E264" s="11" t="s">
        <v>3853</v>
      </c>
      <c r="F264" s="11">
        <v>0</v>
      </c>
      <c r="G264" s="32">
        <f t="shared" si="21"/>
        <v>100</v>
      </c>
      <c r="H264" s="11">
        <f t="shared" si="15"/>
        <v>1</v>
      </c>
      <c r="I264" s="11">
        <f t="shared" si="13"/>
        <v>671121000</v>
      </c>
      <c r="J264" s="11">
        <f t="shared" si="20"/>
        <v>0</v>
      </c>
      <c r="K264" s="11">
        <f t="shared" si="17"/>
        <v>671121000</v>
      </c>
    </row>
    <row r="265" spans="1:13">
      <c r="A265" s="11" t="s">
        <v>4441</v>
      </c>
      <c r="B265" s="18">
        <v>-6400000</v>
      </c>
      <c r="C265" s="18">
        <v>0</v>
      </c>
      <c r="D265" s="18">
        <f t="shared" si="18"/>
        <v>-6400000</v>
      </c>
      <c r="E265" s="11" t="s">
        <v>3732</v>
      </c>
      <c r="F265" s="11">
        <v>0</v>
      </c>
      <c r="G265" s="32">
        <f t="shared" si="21"/>
        <v>100</v>
      </c>
      <c r="H265" s="11">
        <f t="shared" si="15"/>
        <v>0</v>
      </c>
      <c r="I265" s="11">
        <f t="shared" si="13"/>
        <v>-640000000</v>
      </c>
      <c r="J265" s="11">
        <f t="shared" si="20"/>
        <v>0</v>
      </c>
      <c r="K265" s="11">
        <f t="shared" si="17"/>
        <v>-640000000</v>
      </c>
    </row>
    <row r="266" spans="1:13">
      <c r="A266" s="11" t="s">
        <v>4441</v>
      </c>
      <c r="B266" s="18">
        <v>-389000</v>
      </c>
      <c r="C266" s="18">
        <v>0</v>
      </c>
      <c r="D266" s="18">
        <f t="shared" si="18"/>
        <v>-389000</v>
      </c>
      <c r="E266" s="11" t="s">
        <v>4444</v>
      </c>
      <c r="F266" s="11">
        <v>4</v>
      </c>
      <c r="G266" s="32">
        <f t="shared" si="21"/>
        <v>100</v>
      </c>
      <c r="H266" s="11">
        <f t="shared" si="15"/>
        <v>0</v>
      </c>
      <c r="I266" s="11">
        <f t="shared" si="13"/>
        <v>-38900000</v>
      </c>
      <c r="J266" s="11">
        <f t="shared" si="20"/>
        <v>0</v>
      </c>
      <c r="K266" s="11">
        <f t="shared" si="17"/>
        <v>-38900000</v>
      </c>
      <c r="M266" t="s">
        <v>25</v>
      </c>
    </row>
    <row r="267" spans="1:13">
      <c r="A267" s="11" t="s">
        <v>4460</v>
      </c>
      <c r="B267" s="18">
        <v>220000</v>
      </c>
      <c r="C267" s="18">
        <v>0</v>
      </c>
      <c r="D267" s="18">
        <f t="shared" si="18"/>
        <v>220000</v>
      </c>
      <c r="E267" s="11" t="s">
        <v>3853</v>
      </c>
      <c r="F267" s="11">
        <v>0</v>
      </c>
      <c r="G267" s="32">
        <f t="shared" si="21"/>
        <v>96</v>
      </c>
      <c r="H267" s="11">
        <f t="shared" si="15"/>
        <v>1</v>
      </c>
      <c r="I267" s="11">
        <f t="shared" si="13"/>
        <v>20900000</v>
      </c>
      <c r="J267" s="11">
        <f t="shared" si="20"/>
        <v>0</v>
      </c>
      <c r="K267" s="11">
        <f t="shared" si="17"/>
        <v>20900000</v>
      </c>
    </row>
    <row r="268" spans="1:13">
      <c r="A268" s="11" t="s">
        <v>4461</v>
      </c>
      <c r="B268" s="18">
        <v>-109390</v>
      </c>
      <c r="C268" s="18">
        <v>0</v>
      </c>
      <c r="D268" s="18">
        <f t="shared" si="18"/>
        <v>-109390</v>
      </c>
      <c r="E268" s="11" t="s">
        <v>433</v>
      </c>
      <c r="F268" s="11">
        <v>2</v>
      </c>
      <c r="G268" s="32">
        <f t="shared" si="21"/>
        <v>96</v>
      </c>
      <c r="H268" s="11">
        <f t="shared" si="15"/>
        <v>0</v>
      </c>
      <c r="I268" s="11">
        <f t="shared" si="13"/>
        <v>-10501440</v>
      </c>
      <c r="J268" s="11">
        <f t="shared" si="20"/>
        <v>0</v>
      </c>
      <c r="K268" s="11">
        <f t="shared" si="17"/>
        <v>-10501440</v>
      </c>
    </row>
    <row r="269" spans="1:13">
      <c r="A269" s="11" t="s">
        <v>4464</v>
      </c>
      <c r="B269" s="18">
        <v>100000</v>
      </c>
      <c r="C269" s="18">
        <v>0</v>
      </c>
      <c r="D269" s="18">
        <f t="shared" si="18"/>
        <v>100000</v>
      </c>
      <c r="E269" s="11" t="s">
        <v>3853</v>
      </c>
      <c r="F269" s="11">
        <v>0</v>
      </c>
      <c r="G269" s="32">
        <f t="shared" si="21"/>
        <v>94</v>
      </c>
      <c r="H269" s="11">
        <f t="shared" si="15"/>
        <v>1</v>
      </c>
      <c r="I269" s="11">
        <f t="shared" si="13"/>
        <v>9300000</v>
      </c>
      <c r="J269" s="11">
        <f t="shared" si="20"/>
        <v>0</v>
      </c>
      <c r="K269" s="11">
        <f t="shared" si="17"/>
        <v>9300000</v>
      </c>
    </row>
    <row r="270" spans="1:13">
      <c r="A270" s="11" t="s">
        <v>4464</v>
      </c>
      <c r="B270" s="18">
        <v>2600000</v>
      </c>
      <c r="C270" s="18">
        <v>0</v>
      </c>
      <c r="D270" s="18">
        <f t="shared" si="18"/>
        <v>2600000</v>
      </c>
      <c r="E270" s="11" t="s">
        <v>3853</v>
      </c>
      <c r="F270" s="11">
        <v>1</v>
      </c>
      <c r="G270" s="32">
        <f t="shared" si="21"/>
        <v>94</v>
      </c>
      <c r="H270" s="11">
        <f t="shared" si="15"/>
        <v>1</v>
      </c>
      <c r="I270" s="11">
        <f t="shared" si="13"/>
        <v>241800000</v>
      </c>
      <c r="J270" s="11">
        <f t="shared" si="20"/>
        <v>0</v>
      </c>
      <c r="K270" s="11">
        <f t="shared" si="17"/>
        <v>241800000</v>
      </c>
      <c r="L270" t="s">
        <v>25</v>
      </c>
    </row>
    <row r="271" spans="1:13">
      <c r="A271" s="11" t="s">
        <v>4467</v>
      </c>
      <c r="B271" s="18">
        <v>4400000</v>
      </c>
      <c r="C271" s="18">
        <v>0</v>
      </c>
      <c r="D271" s="18">
        <f t="shared" si="18"/>
        <v>4400000</v>
      </c>
      <c r="E271" s="11" t="s">
        <v>3853</v>
      </c>
      <c r="F271" s="11">
        <v>0</v>
      </c>
      <c r="G271" s="32">
        <f t="shared" si="21"/>
        <v>93</v>
      </c>
      <c r="H271" s="11">
        <f t="shared" si="15"/>
        <v>1</v>
      </c>
      <c r="I271" s="11">
        <f t="shared" si="13"/>
        <v>404800000</v>
      </c>
      <c r="J271" s="11">
        <f t="shared" si="20"/>
        <v>0</v>
      </c>
      <c r="K271" s="11">
        <f t="shared" si="17"/>
        <v>404800000</v>
      </c>
    </row>
    <row r="272" spans="1:13">
      <c r="A272" s="11" t="s">
        <v>4467</v>
      </c>
      <c r="B272" s="18">
        <v>-95000</v>
      </c>
      <c r="C272" s="18">
        <v>0</v>
      </c>
      <c r="D272" s="18">
        <f t="shared" si="18"/>
        <v>-95000</v>
      </c>
      <c r="E272" s="11" t="s">
        <v>1096</v>
      </c>
      <c r="F272" s="11">
        <v>1</v>
      </c>
      <c r="G272" s="32">
        <f t="shared" si="21"/>
        <v>93</v>
      </c>
      <c r="H272" s="11">
        <f t="shared" si="15"/>
        <v>0</v>
      </c>
      <c r="I272" s="11">
        <f t="shared" si="13"/>
        <v>-8835000</v>
      </c>
      <c r="J272" s="11">
        <f t="shared" si="20"/>
        <v>0</v>
      </c>
      <c r="K272" s="11">
        <f t="shared" si="17"/>
        <v>-8835000</v>
      </c>
    </row>
    <row r="273" spans="1:12">
      <c r="A273" s="11" t="s">
        <v>4470</v>
      </c>
      <c r="B273" s="18">
        <v>-900000</v>
      </c>
      <c r="C273" s="18">
        <v>0</v>
      </c>
      <c r="D273" s="18">
        <f t="shared" si="18"/>
        <v>-900000</v>
      </c>
      <c r="E273" s="11" t="s">
        <v>4476</v>
      </c>
      <c r="F273" s="11">
        <v>1</v>
      </c>
      <c r="G273" s="32">
        <f t="shared" si="21"/>
        <v>92</v>
      </c>
      <c r="H273" s="11">
        <f t="shared" si="15"/>
        <v>0</v>
      </c>
      <c r="I273" s="11">
        <f t="shared" si="13"/>
        <v>-82800000</v>
      </c>
      <c r="J273" s="11">
        <f t="shared" si="20"/>
        <v>0</v>
      </c>
      <c r="K273" s="11">
        <f t="shared" si="17"/>
        <v>-82800000</v>
      </c>
    </row>
    <row r="274" spans="1:12">
      <c r="A274" s="11" t="s">
        <v>4473</v>
      </c>
      <c r="B274" s="18">
        <v>2500000</v>
      </c>
      <c r="C274" s="18">
        <v>0</v>
      </c>
      <c r="D274" s="18">
        <f t="shared" si="18"/>
        <v>2500000</v>
      </c>
      <c r="E274" s="11" t="s">
        <v>3853</v>
      </c>
      <c r="F274" s="11">
        <v>0</v>
      </c>
      <c r="G274" s="32">
        <f t="shared" si="21"/>
        <v>91</v>
      </c>
      <c r="H274" s="11">
        <f t="shared" si="15"/>
        <v>1</v>
      </c>
      <c r="I274" s="11">
        <f t="shared" si="13"/>
        <v>225000000</v>
      </c>
      <c r="J274" s="11">
        <f t="shared" si="20"/>
        <v>0</v>
      </c>
      <c r="K274" s="11">
        <f t="shared" si="17"/>
        <v>225000000</v>
      </c>
    </row>
    <row r="275" spans="1:12">
      <c r="A275" s="11" t="s">
        <v>4473</v>
      </c>
      <c r="B275" s="18">
        <v>-1287000</v>
      </c>
      <c r="C275" s="18">
        <v>0</v>
      </c>
      <c r="D275" s="18">
        <f t="shared" si="18"/>
        <v>-1287000</v>
      </c>
      <c r="E275" s="11" t="s">
        <v>4474</v>
      </c>
      <c r="F275" s="11">
        <v>2</v>
      </c>
      <c r="G275" s="32">
        <f t="shared" si="21"/>
        <v>91</v>
      </c>
      <c r="H275" s="11">
        <f t="shared" si="15"/>
        <v>0</v>
      </c>
      <c r="I275" s="11">
        <f t="shared" si="13"/>
        <v>-117117000</v>
      </c>
      <c r="J275" s="11">
        <f t="shared" si="20"/>
        <v>0</v>
      </c>
      <c r="K275" s="11">
        <f t="shared" si="17"/>
        <v>-117117000</v>
      </c>
    </row>
    <row r="276" spans="1:12">
      <c r="A276" s="11" t="s">
        <v>4471</v>
      </c>
      <c r="B276" s="18">
        <v>3800000</v>
      </c>
      <c r="C276" s="18">
        <v>0</v>
      </c>
      <c r="D276" s="18">
        <f t="shared" si="18"/>
        <v>3800000</v>
      </c>
      <c r="E276" s="11" t="s">
        <v>3853</v>
      </c>
      <c r="F276" s="11">
        <v>1</v>
      </c>
      <c r="G276" s="32">
        <f t="shared" si="21"/>
        <v>89</v>
      </c>
      <c r="H276" s="11">
        <f t="shared" si="15"/>
        <v>1</v>
      </c>
      <c r="I276" s="11">
        <f t="shared" si="13"/>
        <v>334400000</v>
      </c>
      <c r="J276" s="11">
        <f t="shared" si="20"/>
        <v>0</v>
      </c>
      <c r="K276" s="11">
        <f t="shared" si="17"/>
        <v>334400000</v>
      </c>
    </row>
    <row r="277" spans="1:12">
      <c r="A277" s="11" t="s">
        <v>4480</v>
      </c>
      <c r="B277" s="18">
        <v>21000000</v>
      </c>
      <c r="C277" s="18">
        <v>0</v>
      </c>
      <c r="D277" s="18">
        <f t="shared" si="18"/>
        <v>21000000</v>
      </c>
      <c r="E277" s="11" t="s">
        <v>3853</v>
      </c>
      <c r="F277" s="11">
        <v>1</v>
      </c>
      <c r="G277" s="32">
        <f t="shared" si="21"/>
        <v>88</v>
      </c>
      <c r="H277" s="11">
        <f t="shared" si="15"/>
        <v>1</v>
      </c>
      <c r="I277" s="11">
        <f t="shared" si="13"/>
        <v>1827000000</v>
      </c>
      <c r="J277" s="11">
        <f t="shared" si="20"/>
        <v>0</v>
      </c>
      <c r="K277" s="11">
        <f t="shared" si="17"/>
        <v>1827000000</v>
      </c>
    </row>
    <row r="278" spans="1:12">
      <c r="A278" s="11" t="s">
        <v>957</v>
      </c>
      <c r="B278" s="18">
        <v>3000000</v>
      </c>
      <c r="C278" s="18">
        <v>0</v>
      </c>
      <c r="D278" s="18">
        <f t="shared" si="18"/>
        <v>3000000</v>
      </c>
      <c r="E278" s="11" t="s">
        <v>3853</v>
      </c>
      <c r="F278" s="11">
        <v>0</v>
      </c>
      <c r="G278" s="32">
        <f t="shared" si="21"/>
        <v>87</v>
      </c>
      <c r="H278" s="11">
        <f t="shared" si="15"/>
        <v>1</v>
      </c>
      <c r="I278" s="11">
        <f t="shared" si="13"/>
        <v>258000000</v>
      </c>
      <c r="J278" s="11">
        <f t="shared" si="20"/>
        <v>0</v>
      </c>
      <c r="K278" s="11">
        <f t="shared" si="17"/>
        <v>258000000</v>
      </c>
    </row>
    <row r="279" spans="1:12">
      <c r="A279" s="11" t="s">
        <v>957</v>
      </c>
      <c r="B279" s="18">
        <v>2000000</v>
      </c>
      <c r="C279" s="18">
        <v>0</v>
      </c>
      <c r="D279" s="18">
        <f t="shared" si="18"/>
        <v>2000000</v>
      </c>
      <c r="E279" s="11" t="s">
        <v>3853</v>
      </c>
      <c r="F279" s="11">
        <v>1</v>
      </c>
      <c r="G279" s="32">
        <f t="shared" si="21"/>
        <v>87</v>
      </c>
      <c r="H279" s="11">
        <f t="shared" si="15"/>
        <v>1</v>
      </c>
      <c r="I279" s="11">
        <f t="shared" si="13"/>
        <v>172000000</v>
      </c>
      <c r="J279" s="11">
        <f t="shared" si="20"/>
        <v>0</v>
      </c>
      <c r="K279" s="11">
        <f t="shared" si="17"/>
        <v>172000000</v>
      </c>
    </row>
    <row r="280" spans="1:12">
      <c r="A280" s="11" t="s">
        <v>4482</v>
      </c>
      <c r="B280" s="18">
        <v>-2000000</v>
      </c>
      <c r="C280" s="18">
        <v>0</v>
      </c>
      <c r="D280" s="18">
        <f t="shared" si="18"/>
        <v>-2000000</v>
      </c>
      <c r="E280" s="11" t="s">
        <v>3732</v>
      </c>
      <c r="F280" s="11">
        <v>1</v>
      </c>
      <c r="G280" s="32">
        <f t="shared" si="21"/>
        <v>86</v>
      </c>
      <c r="H280" s="11">
        <f t="shared" si="15"/>
        <v>0</v>
      </c>
      <c r="I280" s="11">
        <f t="shared" si="13"/>
        <v>-172000000</v>
      </c>
      <c r="J280" s="11">
        <f t="shared" si="20"/>
        <v>0</v>
      </c>
      <c r="K280" s="11">
        <f t="shared" si="17"/>
        <v>-172000000</v>
      </c>
    </row>
    <row r="281" spans="1:12">
      <c r="A281" s="11" t="s">
        <v>4483</v>
      </c>
      <c r="B281" s="18">
        <v>-10000000</v>
      </c>
      <c r="C281" s="18">
        <v>0</v>
      </c>
      <c r="D281" s="18">
        <f t="shared" si="18"/>
        <v>-10000000</v>
      </c>
      <c r="E281" s="11" t="s">
        <v>3732</v>
      </c>
      <c r="F281" s="11">
        <v>4</v>
      </c>
      <c r="G281" s="32">
        <f t="shared" si="21"/>
        <v>85</v>
      </c>
      <c r="H281" s="11">
        <f t="shared" si="15"/>
        <v>0</v>
      </c>
      <c r="I281" s="11">
        <f t="shared" si="13"/>
        <v>-850000000</v>
      </c>
      <c r="J281" s="11">
        <f t="shared" si="20"/>
        <v>0</v>
      </c>
      <c r="K281" s="11">
        <f t="shared" si="17"/>
        <v>-850000000</v>
      </c>
    </row>
    <row r="282" spans="1:12">
      <c r="A282" s="11" t="s">
        <v>4485</v>
      </c>
      <c r="B282" s="18">
        <v>-16700000</v>
      </c>
      <c r="C282" s="18">
        <v>0</v>
      </c>
      <c r="D282" s="18">
        <f t="shared" si="18"/>
        <v>-16700000</v>
      </c>
      <c r="E282" s="11" t="s">
        <v>3732</v>
      </c>
      <c r="F282" s="11">
        <v>2</v>
      </c>
      <c r="G282" s="32">
        <f t="shared" si="21"/>
        <v>81</v>
      </c>
      <c r="H282" s="11">
        <f t="shared" si="15"/>
        <v>0</v>
      </c>
      <c r="I282" s="11">
        <f t="shared" si="13"/>
        <v>-1352700000</v>
      </c>
      <c r="J282" s="11">
        <f t="shared" ref="J282:J296" si="22">C282*(G282-H282)</f>
        <v>0</v>
      </c>
      <c r="K282" s="11">
        <f t="shared" ref="K282:K296" si="23">D282*(G282-H282)</f>
        <v>-1352700000</v>
      </c>
    </row>
    <row r="283" spans="1:12">
      <c r="A283" s="11" t="s">
        <v>937</v>
      </c>
      <c r="B283" s="18">
        <v>12000000</v>
      </c>
      <c r="C283" s="18">
        <v>0</v>
      </c>
      <c r="D283" s="18">
        <f t="shared" si="18"/>
        <v>12000000</v>
      </c>
      <c r="E283" s="11" t="s">
        <v>3853</v>
      </c>
      <c r="F283" s="11">
        <v>1</v>
      </c>
      <c r="G283" s="32">
        <f t="shared" si="21"/>
        <v>79</v>
      </c>
      <c r="H283" s="11">
        <f t="shared" si="15"/>
        <v>1</v>
      </c>
      <c r="I283" s="11">
        <f t="shared" si="13"/>
        <v>936000000</v>
      </c>
      <c r="J283" s="11">
        <f t="shared" si="22"/>
        <v>0</v>
      </c>
      <c r="K283" s="11">
        <f t="shared" si="23"/>
        <v>936000000</v>
      </c>
    </row>
    <row r="284" spans="1:12">
      <c r="A284" s="11" t="s">
        <v>4495</v>
      </c>
      <c r="B284" s="18">
        <v>1900000</v>
      </c>
      <c r="C284" s="18">
        <v>0</v>
      </c>
      <c r="D284" s="18">
        <f t="shared" si="18"/>
        <v>1900000</v>
      </c>
      <c r="E284" s="11" t="s">
        <v>3853</v>
      </c>
      <c r="F284" s="11">
        <v>0</v>
      </c>
      <c r="G284" s="32">
        <f t="shared" si="21"/>
        <v>78</v>
      </c>
      <c r="H284" s="11">
        <f t="shared" si="15"/>
        <v>1</v>
      </c>
      <c r="I284" s="11">
        <f t="shared" si="13"/>
        <v>146300000</v>
      </c>
      <c r="J284" s="11">
        <f t="shared" si="22"/>
        <v>0</v>
      </c>
      <c r="K284" s="11">
        <f t="shared" si="23"/>
        <v>146300000</v>
      </c>
    </row>
    <row r="285" spans="1:12">
      <c r="A285" s="11" t="s">
        <v>4495</v>
      </c>
      <c r="B285" s="18">
        <v>-3995000</v>
      </c>
      <c r="C285" s="18">
        <v>0</v>
      </c>
      <c r="D285" s="18">
        <f t="shared" si="18"/>
        <v>-3995000</v>
      </c>
      <c r="E285" s="11" t="s">
        <v>4496</v>
      </c>
      <c r="F285" s="11">
        <v>3</v>
      </c>
      <c r="G285" s="32">
        <f t="shared" si="21"/>
        <v>78</v>
      </c>
      <c r="H285" s="11">
        <f t="shared" si="15"/>
        <v>0</v>
      </c>
      <c r="I285" s="11">
        <f t="shared" si="13"/>
        <v>-311610000</v>
      </c>
      <c r="J285" s="11">
        <f t="shared" si="22"/>
        <v>0</v>
      </c>
      <c r="K285" s="11">
        <f t="shared" si="23"/>
        <v>-311610000</v>
      </c>
    </row>
    <row r="286" spans="1:12">
      <c r="A286" s="11" t="s">
        <v>4504</v>
      </c>
      <c r="B286" s="18">
        <v>-2010700</v>
      </c>
      <c r="C286" s="18">
        <v>0</v>
      </c>
      <c r="D286" s="18">
        <f t="shared" si="18"/>
        <v>-2010700</v>
      </c>
      <c r="E286" s="11" t="s">
        <v>4507</v>
      </c>
      <c r="F286" s="11">
        <v>0</v>
      </c>
      <c r="G286" s="32">
        <f t="shared" si="21"/>
        <v>75</v>
      </c>
      <c r="H286" s="11">
        <f t="shared" si="15"/>
        <v>0</v>
      </c>
      <c r="I286" s="11">
        <f t="shared" si="13"/>
        <v>-150802500</v>
      </c>
      <c r="J286" s="11">
        <f t="shared" si="22"/>
        <v>0</v>
      </c>
      <c r="K286" s="11">
        <f t="shared" si="23"/>
        <v>-150802500</v>
      </c>
    </row>
    <row r="287" spans="1:12">
      <c r="A287" s="11" t="s">
        <v>4504</v>
      </c>
      <c r="B287" s="18">
        <v>-4000000</v>
      </c>
      <c r="C287" s="18">
        <v>0</v>
      </c>
      <c r="D287" s="18">
        <f t="shared" si="18"/>
        <v>-4000000</v>
      </c>
      <c r="E287" s="11" t="s">
        <v>3732</v>
      </c>
      <c r="F287" s="11">
        <v>1</v>
      </c>
      <c r="G287" s="32">
        <f t="shared" si="21"/>
        <v>75</v>
      </c>
      <c r="H287" s="11">
        <f t="shared" si="15"/>
        <v>0</v>
      </c>
      <c r="I287" s="11">
        <f t="shared" si="13"/>
        <v>-300000000</v>
      </c>
      <c r="J287" s="11">
        <f t="shared" si="22"/>
        <v>0</v>
      </c>
      <c r="K287" s="11">
        <f t="shared" si="23"/>
        <v>-300000000</v>
      </c>
    </row>
    <row r="288" spans="1:12">
      <c r="A288" s="11" t="s">
        <v>4508</v>
      </c>
      <c r="B288" s="18">
        <v>-5700000</v>
      </c>
      <c r="C288" s="18">
        <v>0</v>
      </c>
      <c r="D288" s="18">
        <f t="shared" si="18"/>
        <v>-5700000</v>
      </c>
      <c r="E288" s="11" t="s">
        <v>3732</v>
      </c>
      <c r="F288" s="11">
        <v>2</v>
      </c>
      <c r="G288" s="32">
        <f t="shared" si="21"/>
        <v>74</v>
      </c>
      <c r="H288" s="11">
        <f t="shared" si="15"/>
        <v>0</v>
      </c>
      <c r="I288" s="11">
        <f t="shared" si="13"/>
        <v>-421800000</v>
      </c>
      <c r="J288" s="11">
        <f t="shared" si="22"/>
        <v>0</v>
      </c>
      <c r="K288" s="11">
        <f t="shared" si="23"/>
        <v>-421800000</v>
      </c>
      <c r="L288" t="s">
        <v>25</v>
      </c>
    </row>
    <row r="289" spans="1:13">
      <c r="A289" s="11" t="s">
        <v>4512</v>
      </c>
      <c r="B289" s="18">
        <v>8000000</v>
      </c>
      <c r="C289" s="18">
        <v>0</v>
      </c>
      <c r="D289" s="18">
        <f t="shared" si="18"/>
        <v>8000000</v>
      </c>
      <c r="E289" s="11" t="s">
        <v>3853</v>
      </c>
      <c r="F289" s="11">
        <v>1</v>
      </c>
      <c r="G289" s="32">
        <f t="shared" si="21"/>
        <v>72</v>
      </c>
      <c r="H289" s="11">
        <f t="shared" si="15"/>
        <v>1</v>
      </c>
      <c r="I289" s="11">
        <f t="shared" si="13"/>
        <v>568000000</v>
      </c>
      <c r="J289" s="11">
        <f t="shared" si="22"/>
        <v>0</v>
      </c>
      <c r="K289" s="11">
        <f t="shared" si="23"/>
        <v>568000000</v>
      </c>
    </row>
    <row r="290" spans="1:13">
      <c r="A290" s="11" t="s">
        <v>3653</v>
      </c>
      <c r="B290" s="18">
        <v>-8000000</v>
      </c>
      <c r="C290" s="18">
        <v>0</v>
      </c>
      <c r="D290" s="18">
        <f t="shared" si="18"/>
        <v>-8000000</v>
      </c>
      <c r="E290" s="11" t="s">
        <v>3732</v>
      </c>
      <c r="F290" s="11">
        <v>3</v>
      </c>
      <c r="G290" s="32">
        <f t="shared" si="21"/>
        <v>71</v>
      </c>
      <c r="H290" s="11">
        <f t="shared" si="15"/>
        <v>0</v>
      </c>
      <c r="I290" s="11">
        <f t="shared" si="13"/>
        <v>-568000000</v>
      </c>
      <c r="J290" s="11">
        <f t="shared" si="22"/>
        <v>0</v>
      </c>
      <c r="K290" s="11">
        <f t="shared" si="23"/>
        <v>-568000000</v>
      </c>
    </row>
    <row r="291" spans="1:13">
      <c r="A291" s="11" t="s">
        <v>4516</v>
      </c>
      <c r="B291" s="18">
        <v>-6000000</v>
      </c>
      <c r="C291" s="18">
        <v>0</v>
      </c>
      <c r="D291" s="18">
        <f t="shared" si="18"/>
        <v>-6000000</v>
      </c>
      <c r="E291" s="11" t="s">
        <v>3732</v>
      </c>
      <c r="F291" s="11">
        <v>0</v>
      </c>
      <c r="G291" s="32">
        <f t="shared" si="21"/>
        <v>68</v>
      </c>
      <c r="H291" s="11">
        <f t="shared" si="15"/>
        <v>0</v>
      </c>
      <c r="I291" s="11">
        <f t="shared" si="13"/>
        <v>-408000000</v>
      </c>
      <c r="J291" s="11">
        <f t="shared" si="22"/>
        <v>0</v>
      </c>
      <c r="K291" s="11">
        <f t="shared" si="23"/>
        <v>-408000000</v>
      </c>
    </row>
    <row r="292" spans="1:13">
      <c r="A292" s="11" t="s">
        <v>4516</v>
      </c>
      <c r="B292" s="18">
        <v>-77315</v>
      </c>
      <c r="C292" s="18">
        <v>0</v>
      </c>
      <c r="D292" s="18">
        <f t="shared" si="18"/>
        <v>-77315</v>
      </c>
      <c r="E292" s="11" t="s">
        <v>61</v>
      </c>
      <c r="F292" s="11">
        <v>1</v>
      </c>
      <c r="G292" s="32">
        <f t="shared" si="21"/>
        <v>68</v>
      </c>
      <c r="H292" s="11">
        <f t="shared" si="15"/>
        <v>0</v>
      </c>
      <c r="I292" s="11">
        <f t="shared" si="13"/>
        <v>-5257420</v>
      </c>
      <c r="J292" s="11">
        <f t="shared" si="22"/>
        <v>0</v>
      </c>
      <c r="K292" s="11">
        <f t="shared" si="23"/>
        <v>-5257420</v>
      </c>
    </row>
    <row r="293" spans="1:13">
      <c r="A293" s="11" t="s">
        <v>4520</v>
      </c>
      <c r="B293" s="18">
        <v>-96850</v>
      </c>
      <c r="C293" s="18">
        <v>0</v>
      </c>
      <c r="D293" s="18">
        <f t="shared" si="18"/>
        <v>-96850</v>
      </c>
      <c r="E293" s="11" t="s">
        <v>4524</v>
      </c>
      <c r="F293" s="11">
        <v>2</v>
      </c>
      <c r="G293" s="32">
        <f t="shared" si="21"/>
        <v>67</v>
      </c>
      <c r="H293" s="11">
        <f t="shared" si="15"/>
        <v>0</v>
      </c>
      <c r="I293" s="11">
        <f t="shared" si="13"/>
        <v>-6488950</v>
      </c>
      <c r="J293" s="11">
        <f t="shared" si="22"/>
        <v>0</v>
      </c>
      <c r="K293" s="11">
        <f t="shared" si="23"/>
        <v>-6488950</v>
      </c>
    </row>
    <row r="294" spans="1:13">
      <c r="A294" s="11" t="s">
        <v>4526</v>
      </c>
      <c r="B294" s="18">
        <v>-45000</v>
      </c>
      <c r="C294" s="18">
        <v>0</v>
      </c>
      <c r="D294" s="18">
        <f t="shared" si="18"/>
        <v>-45000</v>
      </c>
      <c r="E294" s="11" t="s">
        <v>3732</v>
      </c>
      <c r="F294" s="11">
        <v>0</v>
      </c>
      <c r="G294" s="32">
        <f t="shared" si="21"/>
        <v>65</v>
      </c>
      <c r="H294" s="11">
        <f t="shared" si="15"/>
        <v>0</v>
      </c>
      <c r="I294" s="11">
        <f t="shared" si="13"/>
        <v>-2925000</v>
      </c>
      <c r="J294" s="11">
        <f t="shared" si="22"/>
        <v>0</v>
      </c>
      <c r="K294" s="11">
        <f t="shared" si="23"/>
        <v>-2925000</v>
      </c>
    </row>
    <row r="295" spans="1:13">
      <c r="A295" s="11" t="s">
        <v>4526</v>
      </c>
      <c r="B295" s="18">
        <v>-47848</v>
      </c>
      <c r="C295" s="18">
        <v>0</v>
      </c>
      <c r="D295" s="18">
        <f t="shared" si="18"/>
        <v>-47848</v>
      </c>
      <c r="E295" s="11" t="s">
        <v>61</v>
      </c>
      <c r="F295" s="11">
        <v>1</v>
      </c>
      <c r="G295" s="32">
        <f t="shared" si="21"/>
        <v>65</v>
      </c>
      <c r="H295" s="11">
        <f t="shared" si="15"/>
        <v>0</v>
      </c>
      <c r="I295" s="11">
        <f t="shared" si="13"/>
        <v>-3110120</v>
      </c>
      <c r="J295" s="11">
        <f t="shared" si="22"/>
        <v>0</v>
      </c>
      <c r="K295" s="11">
        <f t="shared" si="23"/>
        <v>-3110120</v>
      </c>
      <c r="M295" t="s">
        <v>25</v>
      </c>
    </row>
    <row r="296" spans="1:13">
      <c r="A296" s="11" t="s">
        <v>4537</v>
      </c>
      <c r="B296" s="18">
        <v>-200000</v>
      </c>
      <c r="C296" s="18">
        <v>0</v>
      </c>
      <c r="D296" s="18">
        <f t="shared" si="18"/>
        <v>-200000</v>
      </c>
      <c r="E296" s="11" t="s">
        <v>4538</v>
      </c>
      <c r="F296" s="11">
        <v>3</v>
      </c>
      <c r="G296" s="32">
        <f t="shared" si="21"/>
        <v>64</v>
      </c>
      <c r="H296" s="11">
        <f t="shared" si="15"/>
        <v>0</v>
      </c>
      <c r="I296" s="11">
        <f t="shared" si="13"/>
        <v>-12800000</v>
      </c>
      <c r="J296" s="11">
        <f t="shared" si="22"/>
        <v>0</v>
      </c>
      <c r="K296" s="11">
        <f t="shared" si="23"/>
        <v>-12800000</v>
      </c>
    </row>
    <row r="297" spans="1:13">
      <c r="A297" s="11" t="s">
        <v>4547</v>
      </c>
      <c r="B297" s="18">
        <v>-60460</v>
      </c>
      <c r="C297" s="18">
        <v>0</v>
      </c>
      <c r="D297" s="18">
        <f t="shared" si="18"/>
        <v>-60460</v>
      </c>
      <c r="E297" s="11" t="s">
        <v>61</v>
      </c>
      <c r="F297" s="11">
        <v>1</v>
      </c>
      <c r="G297" s="32">
        <f t="shared" si="21"/>
        <v>61</v>
      </c>
      <c r="H297" s="11">
        <f t="shared" si="15"/>
        <v>0</v>
      </c>
      <c r="I297" s="11">
        <f t="shared" ref="I297:I308" si="24">B297*(G297-H297)</f>
        <v>-3688060</v>
      </c>
      <c r="J297" s="11">
        <f t="shared" ref="J297:J308" si="25">C297*(G297-H297)</f>
        <v>0</v>
      </c>
      <c r="K297" s="11">
        <f t="shared" ref="K297:K308" si="26">D297*(G297-H297)</f>
        <v>-3688060</v>
      </c>
    </row>
    <row r="298" spans="1:13">
      <c r="A298" s="11" t="s">
        <v>4549</v>
      </c>
      <c r="B298" s="18">
        <v>-60000</v>
      </c>
      <c r="C298" s="18">
        <v>0</v>
      </c>
      <c r="D298" s="18">
        <f t="shared" si="18"/>
        <v>-60000</v>
      </c>
      <c r="E298" s="11" t="s">
        <v>3732</v>
      </c>
      <c r="F298" s="11">
        <v>0</v>
      </c>
      <c r="G298" s="32">
        <f t="shared" ref="G298:G307" si="27">G299+F298</f>
        <v>60</v>
      </c>
      <c r="H298" s="11">
        <f t="shared" si="15"/>
        <v>0</v>
      </c>
      <c r="I298" s="11">
        <f t="shared" si="24"/>
        <v>-3600000</v>
      </c>
      <c r="J298" s="11">
        <f t="shared" si="25"/>
        <v>0</v>
      </c>
      <c r="K298" s="11">
        <f t="shared" si="26"/>
        <v>-3600000</v>
      </c>
    </row>
    <row r="299" spans="1:13">
      <c r="A299" s="11" t="s">
        <v>4549</v>
      </c>
      <c r="B299" s="18">
        <v>2400000</v>
      </c>
      <c r="C299" s="18">
        <v>0</v>
      </c>
      <c r="D299" s="18">
        <f t="shared" si="18"/>
        <v>2400000</v>
      </c>
      <c r="E299" s="11" t="s">
        <v>3853</v>
      </c>
      <c r="F299" s="11">
        <v>0</v>
      </c>
      <c r="G299" s="32">
        <f t="shared" si="27"/>
        <v>60</v>
      </c>
      <c r="H299" s="11">
        <f t="shared" si="15"/>
        <v>1</v>
      </c>
      <c r="I299" s="11">
        <f t="shared" si="24"/>
        <v>141600000</v>
      </c>
      <c r="J299" s="11">
        <f t="shared" si="25"/>
        <v>0</v>
      </c>
      <c r="K299" s="11">
        <f t="shared" si="26"/>
        <v>141600000</v>
      </c>
    </row>
    <row r="300" spans="1:13">
      <c r="A300" s="11" t="s">
        <v>4549</v>
      </c>
      <c r="B300" s="18">
        <v>-137163</v>
      </c>
      <c r="C300" s="18">
        <v>0</v>
      </c>
      <c r="D300" s="18">
        <f t="shared" si="18"/>
        <v>-137163</v>
      </c>
      <c r="E300" s="11" t="s">
        <v>3976</v>
      </c>
      <c r="F300" s="11">
        <v>0</v>
      </c>
      <c r="G300" s="32">
        <f t="shared" si="27"/>
        <v>60</v>
      </c>
      <c r="H300" s="11">
        <f t="shared" si="15"/>
        <v>0</v>
      </c>
      <c r="I300" s="11">
        <f t="shared" si="24"/>
        <v>-8229780</v>
      </c>
      <c r="J300" s="11">
        <f t="shared" si="25"/>
        <v>0</v>
      </c>
      <c r="K300" s="11">
        <f t="shared" si="26"/>
        <v>-8229780</v>
      </c>
      <c r="L300" t="s">
        <v>25</v>
      </c>
      <c r="M300" t="s">
        <v>25</v>
      </c>
    </row>
    <row r="301" spans="1:13">
      <c r="A301" s="11" t="s">
        <v>4549</v>
      </c>
      <c r="B301" s="18">
        <v>-51400</v>
      </c>
      <c r="C301" s="18">
        <v>0</v>
      </c>
      <c r="D301" s="18">
        <f t="shared" si="18"/>
        <v>-51400</v>
      </c>
      <c r="E301" s="11" t="s">
        <v>4555</v>
      </c>
      <c r="F301" s="11">
        <v>1</v>
      </c>
      <c r="G301" s="32">
        <f t="shared" si="27"/>
        <v>60</v>
      </c>
      <c r="H301" s="11">
        <f t="shared" si="15"/>
        <v>0</v>
      </c>
      <c r="I301" s="11">
        <f t="shared" si="24"/>
        <v>-3084000</v>
      </c>
      <c r="J301" s="11">
        <f t="shared" si="25"/>
        <v>0</v>
      </c>
      <c r="K301" s="11">
        <f t="shared" si="26"/>
        <v>-3084000</v>
      </c>
    </row>
    <row r="302" spans="1:13">
      <c r="A302" s="11" t="s">
        <v>4558</v>
      </c>
      <c r="B302" s="18">
        <v>-2250000</v>
      </c>
      <c r="C302" s="18">
        <v>0</v>
      </c>
      <c r="D302" s="18">
        <f t="shared" si="18"/>
        <v>-2250000</v>
      </c>
      <c r="E302" s="11" t="s">
        <v>3732</v>
      </c>
      <c r="F302" s="11">
        <v>0</v>
      </c>
      <c r="G302" s="32">
        <f t="shared" si="27"/>
        <v>59</v>
      </c>
      <c r="H302" s="11">
        <f t="shared" si="15"/>
        <v>0</v>
      </c>
      <c r="I302" s="11">
        <f t="shared" si="24"/>
        <v>-132750000</v>
      </c>
      <c r="J302" s="11">
        <f t="shared" si="25"/>
        <v>0</v>
      </c>
      <c r="K302" s="11">
        <f t="shared" si="26"/>
        <v>-132750000</v>
      </c>
      <c r="M302" t="s">
        <v>25</v>
      </c>
    </row>
    <row r="303" spans="1:13">
      <c r="A303" s="11" t="s">
        <v>4558</v>
      </c>
      <c r="B303" s="18">
        <v>700000</v>
      </c>
      <c r="C303" s="18">
        <v>0</v>
      </c>
      <c r="D303" s="18">
        <f t="shared" si="18"/>
        <v>700000</v>
      </c>
      <c r="E303" s="11" t="s">
        <v>3853</v>
      </c>
      <c r="F303" s="11">
        <v>2</v>
      </c>
      <c r="G303" s="32">
        <f t="shared" si="27"/>
        <v>59</v>
      </c>
      <c r="H303" s="11">
        <f t="shared" si="15"/>
        <v>1</v>
      </c>
      <c r="I303" s="11">
        <f t="shared" si="24"/>
        <v>40600000</v>
      </c>
      <c r="J303" s="11">
        <f t="shared" si="25"/>
        <v>0</v>
      </c>
      <c r="K303" s="11">
        <f t="shared" si="26"/>
        <v>40600000</v>
      </c>
    </row>
    <row r="304" spans="1:13">
      <c r="A304" s="11" t="s">
        <v>4568</v>
      </c>
      <c r="B304" s="18">
        <v>570000</v>
      </c>
      <c r="C304" s="18">
        <v>0</v>
      </c>
      <c r="D304" s="18">
        <f t="shared" si="18"/>
        <v>570000</v>
      </c>
      <c r="E304" s="11" t="s">
        <v>3853</v>
      </c>
      <c r="F304" s="11">
        <v>0</v>
      </c>
      <c r="G304" s="32">
        <f t="shared" si="27"/>
        <v>57</v>
      </c>
      <c r="H304" s="11">
        <f t="shared" si="15"/>
        <v>1</v>
      </c>
      <c r="I304" s="11">
        <f t="shared" si="24"/>
        <v>31920000</v>
      </c>
      <c r="J304" s="11">
        <f t="shared" si="25"/>
        <v>0</v>
      </c>
      <c r="K304" s="11">
        <f t="shared" si="26"/>
        <v>31920000</v>
      </c>
    </row>
    <row r="305" spans="1:13">
      <c r="A305" s="11" t="s">
        <v>4568</v>
      </c>
      <c r="B305" s="18">
        <v>-276773</v>
      </c>
      <c r="C305" s="18">
        <v>0</v>
      </c>
      <c r="D305" s="18">
        <f t="shared" si="18"/>
        <v>-276773</v>
      </c>
      <c r="E305" s="11" t="s">
        <v>4570</v>
      </c>
      <c r="F305" s="11">
        <v>2</v>
      </c>
      <c r="G305" s="32">
        <f t="shared" si="27"/>
        <v>57</v>
      </c>
      <c r="H305" s="11">
        <f t="shared" si="15"/>
        <v>0</v>
      </c>
      <c r="I305" s="11">
        <f t="shared" si="24"/>
        <v>-15776061</v>
      </c>
      <c r="J305" s="11">
        <f t="shared" si="25"/>
        <v>0</v>
      </c>
      <c r="K305" s="11">
        <f t="shared" si="26"/>
        <v>-15776061</v>
      </c>
    </row>
    <row r="306" spans="1:13">
      <c r="A306" s="11" t="s">
        <v>4571</v>
      </c>
      <c r="B306" s="18">
        <v>-114710</v>
      </c>
      <c r="C306" s="18">
        <v>0</v>
      </c>
      <c r="D306" s="18">
        <f t="shared" si="18"/>
        <v>-114710</v>
      </c>
      <c r="E306" s="11" t="s">
        <v>61</v>
      </c>
      <c r="F306" s="11">
        <v>4</v>
      </c>
      <c r="G306" s="32">
        <f t="shared" si="27"/>
        <v>55</v>
      </c>
      <c r="H306" s="11">
        <f t="shared" si="15"/>
        <v>0</v>
      </c>
      <c r="I306" s="11">
        <f t="shared" si="24"/>
        <v>-6309050</v>
      </c>
      <c r="J306" s="11">
        <f t="shared" si="25"/>
        <v>0</v>
      </c>
      <c r="K306" s="11">
        <f t="shared" si="26"/>
        <v>-6309050</v>
      </c>
      <c r="M306" t="s">
        <v>25</v>
      </c>
    </row>
    <row r="307" spans="1:13">
      <c r="A307" s="11" t="s">
        <v>4576</v>
      </c>
      <c r="B307" s="18">
        <v>-1000</v>
      </c>
      <c r="C307" s="18">
        <v>0</v>
      </c>
      <c r="D307" s="18">
        <f t="shared" si="18"/>
        <v>-1000</v>
      </c>
      <c r="E307" s="11" t="s">
        <v>3732</v>
      </c>
      <c r="F307" s="11">
        <v>1</v>
      </c>
      <c r="G307" s="32">
        <f t="shared" si="27"/>
        <v>51</v>
      </c>
      <c r="H307" s="11">
        <f t="shared" si="15"/>
        <v>0</v>
      </c>
      <c r="I307" s="11">
        <f t="shared" si="24"/>
        <v>-51000</v>
      </c>
      <c r="J307" s="11">
        <f t="shared" si="25"/>
        <v>0</v>
      </c>
      <c r="K307" s="11">
        <f t="shared" si="26"/>
        <v>-51000</v>
      </c>
    </row>
    <row r="308" spans="1:13">
      <c r="A308" s="11" t="s">
        <v>4581</v>
      </c>
      <c r="B308" s="18">
        <v>250000</v>
      </c>
      <c r="C308" s="18">
        <v>0</v>
      </c>
      <c r="D308" s="18">
        <f t="shared" si="18"/>
        <v>250000</v>
      </c>
      <c r="E308" s="11" t="s">
        <v>3853</v>
      </c>
      <c r="F308" s="11">
        <v>0</v>
      </c>
      <c r="G308" s="32">
        <f>G309+F308</f>
        <v>50</v>
      </c>
      <c r="H308" s="11">
        <f t="shared" si="15"/>
        <v>1</v>
      </c>
      <c r="I308" s="11">
        <f t="shared" si="24"/>
        <v>12250000</v>
      </c>
      <c r="J308" s="11">
        <f t="shared" si="25"/>
        <v>0</v>
      </c>
      <c r="K308" s="11">
        <f t="shared" si="26"/>
        <v>12250000</v>
      </c>
    </row>
    <row r="309" spans="1:13">
      <c r="A309" s="11" t="s">
        <v>4581</v>
      </c>
      <c r="B309" s="18">
        <v>-55120</v>
      </c>
      <c r="C309" s="18">
        <v>0</v>
      </c>
      <c r="D309" s="18">
        <f t="shared" si="18"/>
        <v>-55120</v>
      </c>
      <c r="E309" s="11" t="s">
        <v>3976</v>
      </c>
      <c r="F309" s="11">
        <v>3</v>
      </c>
      <c r="G309" s="32">
        <f t="shared" ref="G309:G319" si="28">G310+F309</f>
        <v>50</v>
      </c>
      <c r="H309" s="11">
        <f t="shared" ref="H309:H319" si="29">IF(B309&gt;0,1,0)</f>
        <v>0</v>
      </c>
      <c r="I309" s="11">
        <f t="shared" ref="I309:I319" si="30">B309*(G309-H309)</f>
        <v>-2756000</v>
      </c>
      <c r="J309" s="11">
        <f t="shared" ref="J309:J319" si="31">C309*(G309-H309)</f>
        <v>0</v>
      </c>
      <c r="K309" s="11">
        <f t="shared" ref="K309:K319" si="32">D309*(G309-H309)</f>
        <v>-2756000</v>
      </c>
    </row>
    <row r="310" spans="1:13">
      <c r="A310" s="11" t="s">
        <v>4590</v>
      </c>
      <c r="B310" s="18">
        <v>-115000</v>
      </c>
      <c r="C310" s="18">
        <v>0</v>
      </c>
      <c r="D310" s="18">
        <f t="shared" si="18"/>
        <v>-115000</v>
      </c>
      <c r="E310" s="11" t="s">
        <v>785</v>
      </c>
      <c r="F310" s="11">
        <v>1</v>
      </c>
      <c r="G310" s="32">
        <f t="shared" si="28"/>
        <v>47</v>
      </c>
      <c r="H310" s="11">
        <f t="shared" si="29"/>
        <v>0</v>
      </c>
      <c r="I310" s="11">
        <f t="shared" si="30"/>
        <v>-5405000</v>
      </c>
      <c r="J310" s="11">
        <f t="shared" si="31"/>
        <v>0</v>
      </c>
      <c r="K310" s="11">
        <f t="shared" si="32"/>
        <v>-5405000</v>
      </c>
    </row>
    <row r="311" spans="1:13">
      <c r="A311" s="11" t="s">
        <v>4583</v>
      </c>
      <c r="B311" s="18">
        <v>-214549</v>
      </c>
      <c r="C311" s="18">
        <v>0</v>
      </c>
      <c r="D311" s="18">
        <f t="shared" si="18"/>
        <v>-214549</v>
      </c>
      <c r="E311" s="11" t="s">
        <v>3889</v>
      </c>
      <c r="F311" s="11">
        <v>2</v>
      </c>
      <c r="G311" s="32">
        <f t="shared" si="28"/>
        <v>46</v>
      </c>
      <c r="H311" s="11">
        <f t="shared" si="29"/>
        <v>0</v>
      </c>
      <c r="I311" s="11">
        <f t="shared" si="30"/>
        <v>-9869254</v>
      </c>
      <c r="J311" s="11">
        <f t="shared" si="31"/>
        <v>0</v>
      </c>
      <c r="K311" s="11">
        <f t="shared" si="32"/>
        <v>-9869254</v>
      </c>
      <c r="L311" t="s">
        <v>25</v>
      </c>
    </row>
    <row r="312" spans="1:13">
      <c r="A312" s="11" t="s">
        <v>4584</v>
      </c>
      <c r="B312" s="18">
        <v>-324747</v>
      </c>
      <c r="C312" s="18">
        <v>0</v>
      </c>
      <c r="D312" s="18">
        <f t="shared" si="18"/>
        <v>-324747</v>
      </c>
      <c r="E312" s="11" t="s">
        <v>4591</v>
      </c>
      <c r="F312" s="11">
        <v>3</v>
      </c>
      <c r="G312" s="32">
        <f t="shared" si="28"/>
        <v>44</v>
      </c>
      <c r="H312" s="11">
        <f t="shared" si="29"/>
        <v>0</v>
      </c>
      <c r="I312" s="11">
        <f t="shared" si="30"/>
        <v>-14288868</v>
      </c>
      <c r="J312" s="11">
        <f t="shared" si="31"/>
        <v>0</v>
      </c>
      <c r="K312" s="11">
        <f t="shared" si="32"/>
        <v>-14288868</v>
      </c>
      <c r="M312" t="s">
        <v>25</v>
      </c>
    </row>
    <row r="313" spans="1:13">
      <c r="A313" s="11" t="s">
        <v>4597</v>
      </c>
      <c r="B313" s="18">
        <v>-297992</v>
      </c>
      <c r="C313" s="18">
        <v>0</v>
      </c>
      <c r="D313" s="18">
        <f t="shared" si="18"/>
        <v>-297992</v>
      </c>
      <c r="E313" s="11" t="s">
        <v>4598</v>
      </c>
      <c r="F313" s="11">
        <v>2</v>
      </c>
      <c r="G313" s="32">
        <f t="shared" si="28"/>
        <v>41</v>
      </c>
      <c r="H313" s="11">
        <f t="shared" si="29"/>
        <v>0</v>
      </c>
      <c r="I313" s="11">
        <f t="shared" si="30"/>
        <v>-12217672</v>
      </c>
      <c r="J313" s="11">
        <f t="shared" si="31"/>
        <v>0</v>
      </c>
      <c r="K313" s="11">
        <f t="shared" si="32"/>
        <v>-12217672</v>
      </c>
    </row>
    <row r="314" spans="1:13">
      <c r="A314" s="11" t="s">
        <v>3646</v>
      </c>
      <c r="B314" s="18">
        <v>-130000</v>
      </c>
      <c r="C314" s="18">
        <v>0</v>
      </c>
      <c r="D314" s="18">
        <f t="shared" si="18"/>
        <v>-130000</v>
      </c>
      <c r="E314" s="11" t="s">
        <v>723</v>
      </c>
      <c r="F314" s="11">
        <v>1</v>
      </c>
      <c r="G314" s="32">
        <f t="shared" si="28"/>
        <v>39</v>
      </c>
      <c r="H314" s="11">
        <f t="shared" si="29"/>
        <v>0</v>
      </c>
      <c r="I314" s="11">
        <f t="shared" si="30"/>
        <v>-5070000</v>
      </c>
      <c r="J314" s="11">
        <f t="shared" si="31"/>
        <v>0</v>
      </c>
      <c r="K314" s="11">
        <f t="shared" si="32"/>
        <v>-5070000</v>
      </c>
    </row>
    <row r="315" spans="1:13">
      <c r="A315" s="11" t="s">
        <v>4605</v>
      </c>
      <c r="B315" s="18">
        <v>-40000</v>
      </c>
      <c r="C315" s="18">
        <v>0</v>
      </c>
      <c r="D315" s="18">
        <f t="shared" si="18"/>
        <v>-40000</v>
      </c>
      <c r="E315" s="11" t="s">
        <v>4611</v>
      </c>
      <c r="F315" s="11">
        <v>4</v>
      </c>
      <c r="G315" s="32">
        <f t="shared" si="28"/>
        <v>38</v>
      </c>
      <c r="H315" s="11">
        <f t="shared" si="29"/>
        <v>0</v>
      </c>
      <c r="I315" s="11">
        <f t="shared" si="30"/>
        <v>-1520000</v>
      </c>
      <c r="J315" s="11">
        <f t="shared" si="31"/>
        <v>0</v>
      </c>
      <c r="K315" s="11">
        <f t="shared" si="32"/>
        <v>-1520000</v>
      </c>
    </row>
    <row r="316" spans="1:13">
      <c r="A316" s="11" t="s">
        <v>4616</v>
      </c>
      <c r="B316" s="18">
        <v>1669690</v>
      </c>
      <c r="C316" s="18">
        <v>0</v>
      </c>
      <c r="D316" s="18">
        <f t="shared" si="18"/>
        <v>1669690</v>
      </c>
      <c r="E316" s="11" t="s">
        <v>3853</v>
      </c>
      <c r="F316" s="11">
        <v>4</v>
      </c>
      <c r="G316" s="32">
        <f t="shared" si="28"/>
        <v>34</v>
      </c>
      <c r="H316" s="11">
        <f t="shared" si="29"/>
        <v>1</v>
      </c>
      <c r="I316" s="11">
        <f t="shared" si="30"/>
        <v>55099770</v>
      </c>
      <c r="J316" s="11">
        <f t="shared" si="31"/>
        <v>0</v>
      </c>
      <c r="K316" s="11">
        <f t="shared" si="32"/>
        <v>55099770</v>
      </c>
    </row>
    <row r="317" spans="1:13">
      <c r="A317" s="11" t="s">
        <v>4633</v>
      </c>
      <c r="B317" s="18">
        <v>-548543</v>
      </c>
      <c r="C317" s="18">
        <v>0</v>
      </c>
      <c r="D317" s="18">
        <f t="shared" si="18"/>
        <v>-548543</v>
      </c>
      <c r="E317" s="11" t="s">
        <v>3889</v>
      </c>
      <c r="F317" s="11">
        <v>1</v>
      </c>
      <c r="G317" s="32">
        <f t="shared" si="28"/>
        <v>30</v>
      </c>
      <c r="H317" s="11">
        <f t="shared" si="29"/>
        <v>0</v>
      </c>
      <c r="I317" s="11">
        <f t="shared" si="30"/>
        <v>-16456290</v>
      </c>
      <c r="J317" s="11">
        <f t="shared" si="31"/>
        <v>0</v>
      </c>
      <c r="K317" s="11">
        <f t="shared" si="32"/>
        <v>-16456290</v>
      </c>
    </row>
    <row r="318" spans="1:13">
      <c r="A318" s="11" t="s">
        <v>4639</v>
      </c>
      <c r="B318" s="18">
        <v>2450000</v>
      </c>
      <c r="C318" s="18">
        <v>0</v>
      </c>
      <c r="D318" s="18">
        <f t="shared" si="18"/>
        <v>2450000</v>
      </c>
      <c r="E318" s="11" t="s">
        <v>3853</v>
      </c>
      <c r="F318" s="11">
        <v>0</v>
      </c>
      <c r="G318" s="32">
        <f t="shared" si="28"/>
        <v>29</v>
      </c>
      <c r="H318" s="11">
        <f t="shared" si="29"/>
        <v>1</v>
      </c>
      <c r="I318" s="11">
        <f t="shared" si="30"/>
        <v>68600000</v>
      </c>
      <c r="J318" s="11">
        <f t="shared" si="31"/>
        <v>0</v>
      </c>
      <c r="K318" s="11">
        <f t="shared" si="32"/>
        <v>68600000</v>
      </c>
    </row>
    <row r="319" spans="1:13">
      <c r="A319" s="11" t="s">
        <v>4639</v>
      </c>
      <c r="B319" s="18">
        <v>-1866154</v>
      </c>
      <c r="C319" s="18">
        <v>0</v>
      </c>
      <c r="D319" s="18">
        <f t="shared" si="18"/>
        <v>-1866154</v>
      </c>
      <c r="E319" s="19" t="s">
        <v>4645</v>
      </c>
      <c r="F319" s="11">
        <v>0</v>
      </c>
      <c r="G319" s="32">
        <f t="shared" si="28"/>
        <v>29</v>
      </c>
      <c r="H319" s="11">
        <f t="shared" si="29"/>
        <v>0</v>
      </c>
      <c r="I319" s="11">
        <f t="shared" si="30"/>
        <v>-54118466</v>
      </c>
      <c r="J319" s="11">
        <f t="shared" si="31"/>
        <v>0</v>
      </c>
      <c r="K319" s="11">
        <f t="shared" si="32"/>
        <v>-54118466</v>
      </c>
    </row>
    <row r="320" spans="1:13">
      <c r="A320" s="11" t="s">
        <v>4639</v>
      </c>
      <c r="B320" s="18">
        <v>-36600</v>
      </c>
      <c r="C320" s="18">
        <v>0</v>
      </c>
      <c r="D320" s="18">
        <f t="shared" si="18"/>
        <v>-36600</v>
      </c>
      <c r="E320" s="11" t="s">
        <v>4646</v>
      </c>
      <c r="F320" s="11">
        <v>1</v>
      </c>
      <c r="G320" s="32">
        <f t="shared" ref="G320:G336" si="33">G321+F320</f>
        <v>29</v>
      </c>
      <c r="H320" s="11">
        <f t="shared" ref="H320:H336" si="34">IF(B320&gt;0,1,0)</f>
        <v>0</v>
      </c>
      <c r="I320" s="11">
        <f t="shared" ref="I320:I336" si="35">B320*(G320-H320)</f>
        <v>-1061400</v>
      </c>
      <c r="J320" s="11">
        <f t="shared" ref="J320:J336" si="36">C320*(G320-H320)</f>
        <v>0</v>
      </c>
      <c r="K320" s="11">
        <f t="shared" ref="K320:K336" si="37">D320*(G320-H320)</f>
        <v>-1061400</v>
      </c>
    </row>
    <row r="321" spans="1:14">
      <c r="A321" s="11" t="s">
        <v>4647</v>
      </c>
      <c r="B321" s="18">
        <v>-492000</v>
      </c>
      <c r="C321" s="18">
        <v>0</v>
      </c>
      <c r="D321" s="18">
        <f t="shared" si="18"/>
        <v>-492000</v>
      </c>
      <c r="E321" s="11" t="s">
        <v>4648</v>
      </c>
      <c r="F321" s="11">
        <v>0</v>
      </c>
      <c r="G321" s="32">
        <f t="shared" si="33"/>
        <v>28</v>
      </c>
      <c r="H321" s="11">
        <f t="shared" si="34"/>
        <v>0</v>
      </c>
      <c r="I321" s="11">
        <f t="shared" si="35"/>
        <v>-13776000</v>
      </c>
      <c r="J321" s="11">
        <f t="shared" si="36"/>
        <v>0</v>
      </c>
      <c r="K321" s="11">
        <f t="shared" si="37"/>
        <v>-13776000</v>
      </c>
      <c r="M321" t="s">
        <v>25</v>
      </c>
    </row>
    <row r="322" spans="1:14">
      <c r="A322" s="11" t="s">
        <v>4647</v>
      </c>
      <c r="B322" s="18">
        <v>-518000</v>
      </c>
      <c r="C322" s="18">
        <v>0</v>
      </c>
      <c r="D322" s="18">
        <f t="shared" si="18"/>
        <v>-518000</v>
      </c>
      <c r="E322" s="11" t="s">
        <v>3889</v>
      </c>
      <c r="F322" s="11">
        <v>0</v>
      </c>
      <c r="G322" s="32">
        <f t="shared" si="33"/>
        <v>28</v>
      </c>
      <c r="H322" s="11">
        <f t="shared" si="34"/>
        <v>0</v>
      </c>
      <c r="I322" s="11">
        <f t="shared" si="35"/>
        <v>-14504000</v>
      </c>
      <c r="J322" s="11">
        <f t="shared" si="36"/>
        <v>0</v>
      </c>
      <c r="K322" s="11">
        <f t="shared" si="37"/>
        <v>-14504000</v>
      </c>
    </row>
    <row r="323" spans="1:14">
      <c r="A323" s="11" t="s">
        <v>4647</v>
      </c>
      <c r="B323" s="18">
        <v>-40000</v>
      </c>
      <c r="C323" s="18">
        <v>0</v>
      </c>
      <c r="D323" s="18">
        <f t="shared" si="18"/>
        <v>-40000</v>
      </c>
      <c r="E323" s="11" t="s">
        <v>4650</v>
      </c>
      <c r="F323" s="11">
        <v>1</v>
      </c>
      <c r="G323" s="32">
        <f t="shared" si="33"/>
        <v>28</v>
      </c>
      <c r="H323" s="11">
        <f t="shared" si="34"/>
        <v>0</v>
      </c>
      <c r="I323" s="11">
        <f t="shared" si="35"/>
        <v>-1120000</v>
      </c>
      <c r="J323" s="11">
        <f t="shared" si="36"/>
        <v>0</v>
      </c>
      <c r="K323" s="11">
        <f t="shared" si="37"/>
        <v>-1120000</v>
      </c>
    </row>
    <row r="324" spans="1:14">
      <c r="A324" s="11" t="s">
        <v>4651</v>
      </c>
      <c r="B324" s="18">
        <v>-66000</v>
      </c>
      <c r="C324" s="18">
        <v>0</v>
      </c>
      <c r="D324" s="18">
        <f t="shared" si="18"/>
        <v>-66000</v>
      </c>
      <c r="E324" s="11" t="s">
        <v>4650</v>
      </c>
      <c r="F324" s="11">
        <v>1</v>
      </c>
      <c r="G324" s="32">
        <f t="shared" si="33"/>
        <v>27</v>
      </c>
      <c r="H324" s="11">
        <f t="shared" si="34"/>
        <v>0</v>
      </c>
      <c r="I324" s="11">
        <f t="shared" si="35"/>
        <v>-1782000</v>
      </c>
      <c r="J324" s="11">
        <f t="shared" si="36"/>
        <v>0</v>
      </c>
      <c r="K324" s="11">
        <f t="shared" si="37"/>
        <v>-1782000</v>
      </c>
    </row>
    <row r="325" spans="1:14">
      <c r="A325" s="11" t="s">
        <v>4652</v>
      </c>
      <c r="B325" s="18">
        <v>-130000</v>
      </c>
      <c r="C325" s="18">
        <v>0</v>
      </c>
      <c r="D325" s="18">
        <f t="shared" si="18"/>
        <v>-130000</v>
      </c>
      <c r="E325" s="11" t="s">
        <v>304</v>
      </c>
      <c r="F325" s="11">
        <v>0</v>
      </c>
      <c r="G325" s="32">
        <f t="shared" si="33"/>
        <v>26</v>
      </c>
      <c r="H325" s="11">
        <f t="shared" si="34"/>
        <v>0</v>
      </c>
      <c r="I325" s="11">
        <f t="shared" si="35"/>
        <v>-3380000</v>
      </c>
      <c r="J325" s="11">
        <f t="shared" si="36"/>
        <v>0</v>
      </c>
      <c r="K325" s="11">
        <f t="shared" si="37"/>
        <v>-3380000</v>
      </c>
    </row>
    <row r="326" spans="1:14">
      <c r="A326" s="11" t="s">
        <v>4652</v>
      </c>
      <c r="B326" s="18">
        <v>-200500</v>
      </c>
      <c r="C326" s="18">
        <v>0</v>
      </c>
      <c r="D326" s="18">
        <f t="shared" si="18"/>
        <v>-200500</v>
      </c>
      <c r="E326" s="11" t="s">
        <v>4653</v>
      </c>
      <c r="F326" s="11">
        <v>2</v>
      </c>
      <c r="G326" s="32">
        <f t="shared" si="33"/>
        <v>26</v>
      </c>
      <c r="H326" s="11">
        <f t="shared" si="34"/>
        <v>0</v>
      </c>
      <c r="I326" s="11">
        <f t="shared" si="35"/>
        <v>-5213000</v>
      </c>
      <c r="J326" s="11">
        <f t="shared" si="36"/>
        <v>0</v>
      </c>
      <c r="K326" s="11">
        <f t="shared" si="37"/>
        <v>-5213000</v>
      </c>
      <c r="M326" t="s">
        <v>25</v>
      </c>
    </row>
    <row r="327" spans="1:14">
      <c r="A327" s="11" t="s">
        <v>4657</v>
      </c>
      <c r="B327" s="18">
        <v>1563000</v>
      </c>
      <c r="C327" s="18">
        <v>0</v>
      </c>
      <c r="D327" s="18">
        <f t="shared" si="18"/>
        <v>1563000</v>
      </c>
      <c r="E327" s="11" t="s">
        <v>4659</v>
      </c>
      <c r="F327" s="11">
        <v>0</v>
      </c>
      <c r="G327" s="32">
        <f t="shared" si="33"/>
        <v>24</v>
      </c>
      <c r="H327" s="11">
        <f t="shared" si="34"/>
        <v>1</v>
      </c>
      <c r="I327" s="11">
        <f t="shared" si="35"/>
        <v>35949000</v>
      </c>
      <c r="J327" s="11">
        <f t="shared" si="36"/>
        <v>0</v>
      </c>
      <c r="K327" s="11">
        <f t="shared" si="37"/>
        <v>35949000</v>
      </c>
    </row>
    <row r="328" spans="1:14">
      <c r="A328" s="11" t="s">
        <v>4657</v>
      </c>
      <c r="B328" s="18">
        <v>-160000</v>
      </c>
      <c r="C328" s="18">
        <v>0</v>
      </c>
      <c r="D328" s="18">
        <f t="shared" si="18"/>
        <v>-160000</v>
      </c>
      <c r="E328" s="11" t="s">
        <v>4107</v>
      </c>
      <c r="F328" s="11">
        <v>2</v>
      </c>
      <c r="G328" s="32">
        <f t="shared" si="33"/>
        <v>24</v>
      </c>
      <c r="H328" s="11">
        <f t="shared" si="34"/>
        <v>0</v>
      </c>
      <c r="I328" s="11">
        <f t="shared" si="35"/>
        <v>-3840000</v>
      </c>
      <c r="J328" s="11">
        <f t="shared" si="36"/>
        <v>0</v>
      </c>
      <c r="K328" s="11">
        <f t="shared" si="37"/>
        <v>-3840000</v>
      </c>
      <c r="N328" t="s">
        <v>25</v>
      </c>
    </row>
    <row r="329" spans="1:14">
      <c r="A329" s="11" t="s">
        <v>4666</v>
      </c>
      <c r="B329" s="18">
        <v>-20000</v>
      </c>
      <c r="C329" s="18">
        <v>0</v>
      </c>
      <c r="D329" s="18">
        <f t="shared" si="18"/>
        <v>-20000</v>
      </c>
      <c r="E329" s="11" t="s">
        <v>4669</v>
      </c>
      <c r="F329" s="11">
        <v>3</v>
      </c>
      <c r="G329" s="32">
        <f t="shared" si="33"/>
        <v>22</v>
      </c>
      <c r="H329" s="11">
        <f t="shared" si="34"/>
        <v>0</v>
      </c>
      <c r="I329" s="11">
        <f t="shared" si="35"/>
        <v>-440000</v>
      </c>
      <c r="J329" s="11">
        <f t="shared" si="36"/>
        <v>0</v>
      </c>
      <c r="K329" s="11">
        <f t="shared" si="37"/>
        <v>-440000</v>
      </c>
    </row>
    <row r="330" spans="1:14">
      <c r="A330" s="11" t="s">
        <v>937</v>
      </c>
      <c r="B330" s="18">
        <v>-30000</v>
      </c>
      <c r="C330" s="18">
        <v>0</v>
      </c>
      <c r="D330" s="18">
        <f t="shared" si="18"/>
        <v>-30000</v>
      </c>
      <c r="E330" s="11" t="s">
        <v>4677</v>
      </c>
      <c r="F330" s="11">
        <v>0</v>
      </c>
      <c r="G330" s="32">
        <f t="shared" si="33"/>
        <v>19</v>
      </c>
      <c r="H330" s="11">
        <f t="shared" si="34"/>
        <v>0</v>
      </c>
      <c r="I330" s="11">
        <f t="shared" si="35"/>
        <v>-570000</v>
      </c>
      <c r="J330" s="11">
        <f t="shared" si="36"/>
        <v>0</v>
      </c>
      <c r="K330" s="11">
        <f t="shared" si="37"/>
        <v>-570000</v>
      </c>
    </row>
    <row r="331" spans="1:14">
      <c r="A331" s="11" t="s">
        <v>937</v>
      </c>
      <c r="B331" s="18">
        <v>-790500</v>
      </c>
      <c r="C331" s="18">
        <v>0</v>
      </c>
      <c r="D331" s="18">
        <f t="shared" si="18"/>
        <v>-790500</v>
      </c>
      <c r="E331" s="11" t="s">
        <v>4682</v>
      </c>
      <c r="F331" s="11">
        <v>2</v>
      </c>
      <c r="G331" s="32">
        <f t="shared" si="33"/>
        <v>19</v>
      </c>
      <c r="H331" s="11">
        <f t="shared" si="34"/>
        <v>0</v>
      </c>
      <c r="I331" s="11">
        <f t="shared" si="35"/>
        <v>-15019500</v>
      </c>
      <c r="J331" s="11">
        <f t="shared" si="36"/>
        <v>0</v>
      </c>
      <c r="K331" s="11">
        <f t="shared" si="37"/>
        <v>-15019500</v>
      </c>
    </row>
    <row r="332" spans="1:14">
      <c r="A332" s="11" t="s">
        <v>4686</v>
      </c>
      <c r="B332" s="18">
        <v>-10932</v>
      </c>
      <c r="C332" s="18">
        <v>0</v>
      </c>
      <c r="D332" s="18">
        <f t="shared" si="18"/>
        <v>-10932</v>
      </c>
      <c r="E332" s="11" t="s">
        <v>3889</v>
      </c>
      <c r="F332" s="11">
        <v>2</v>
      </c>
      <c r="G332" s="32">
        <f t="shared" si="33"/>
        <v>17</v>
      </c>
      <c r="H332" s="11">
        <f t="shared" si="34"/>
        <v>0</v>
      </c>
      <c r="I332" s="11">
        <f t="shared" si="35"/>
        <v>-185844</v>
      </c>
      <c r="J332" s="11">
        <f t="shared" si="36"/>
        <v>0</v>
      </c>
      <c r="K332" s="11">
        <f t="shared" si="37"/>
        <v>-185844</v>
      </c>
    </row>
    <row r="333" spans="1:14">
      <c r="A333" s="11" t="s">
        <v>4691</v>
      </c>
      <c r="B333" s="18">
        <v>400000</v>
      </c>
      <c r="C333" s="18">
        <v>0</v>
      </c>
      <c r="D333" s="18">
        <f t="shared" si="18"/>
        <v>400000</v>
      </c>
      <c r="E333" s="11"/>
      <c r="F333" s="11">
        <v>1</v>
      </c>
      <c r="G333" s="32">
        <f t="shared" si="33"/>
        <v>15</v>
      </c>
      <c r="H333" s="11">
        <f t="shared" si="34"/>
        <v>1</v>
      </c>
      <c r="I333" s="11">
        <f t="shared" si="35"/>
        <v>5600000</v>
      </c>
      <c r="J333" s="11">
        <f t="shared" si="36"/>
        <v>0</v>
      </c>
      <c r="K333" s="11">
        <f t="shared" si="37"/>
        <v>5600000</v>
      </c>
    </row>
    <row r="334" spans="1:14">
      <c r="A334" s="11" t="s">
        <v>4694</v>
      </c>
      <c r="B334" s="18">
        <v>360000</v>
      </c>
      <c r="C334" s="18">
        <v>0</v>
      </c>
      <c r="D334" s="18">
        <f t="shared" si="18"/>
        <v>360000</v>
      </c>
      <c r="E334" s="11" t="s">
        <v>3853</v>
      </c>
      <c r="F334" s="11">
        <v>0</v>
      </c>
      <c r="G334" s="32">
        <f t="shared" si="33"/>
        <v>14</v>
      </c>
      <c r="H334" s="11">
        <f t="shared" si="34"/>
        <v>1</v>
      </c>
      <c r="I334" s="11">
        <f t="shared" si="35"/>
        <v>4680000</v>
      </c>
      <c r="J334" s="11">
        <f t="shared" si="36"/>
        <v>0</v>
      </c>
      <c r="K334" s="11">
        <f t="shared" si="37"/>
        <v>4680000</v>
      </c>
    </row>
    <row r="335" spans="1:14">
      <c r="A335" s="11" t="s">
        <v>4694</v>
      </c>
      <c r="B335" s="18">
        <v>-438200</v>
      </c>
      <c r="C335" s="18">
        <v>0</v>
      </c>
      <c r="D335" s="18">
        <f t="shared" si="18"/>
        <v>-438200</v>
      </c>
      <c r="E335" s="11" t="s">
        <v>3976</v>
      </c>
      <c r="F335" s="11">
        <v>0</v>
      </c>
      <c r="G335" s="32">
        <f t="shared" si="33"/>
        <v>14</v>
      </c>
      <c r="H335" s="11">
        <f t="shared" si="34"/>
        <v>0</v>
      </c>
      <c r="I335" s="11">
        <f t="shared" si="35"/>
        <v>-6134800</v>
      </c>
      <c r="J335" s="11">
        <f t="shared" si="36"/>
        <v>0</v>
      </c>
      <c r="K335" s="11">
        <f t="shared" si="37"/>
        <v>-6134800</v>
      </c>
    </row>
    <row r="336" spans="1:14">
      <c r="A336" s="11" t="s">
        <v>4694</v>
      </c>
      <c r="B336" s="18">
        <v>-299000</v>
      </c>
      <c r="C336" s="18">
        <v>0</v>
      </c>
      <c r="D336" s="18">
        <f t="shared" si="18"/>
        <v>-299000</v>
      </c>
      <c r="E336" s="11" t="s">
        <v>3889</v>
      </c>
      <c r="F336" s="11">
        <v>1</v>
      </c>
      <c r="G336" s="32">
        <f t="shared" si="33"/>
        <v>14</v>
      </c>
      <c r="H336" s="11">
        <f t="shared" si="34"/>
        <v>0</v>
      </c>
      <c r="I336" s="11">
        <f t="shared" si="35"/>
        <v>-4186000</v>
      </c>
      <c r="J336" s="11">
        <f t="shared" si="36"/>
        <v>0</v>
      </c>
      <c r="K336" s="11">
        <f t="shared" si="37"/>
        <v>-4186000</v>
      </c>
    </row>
    <row r="337" spans="1:13">
      <c r="A337" s="11" t="s">
        <v>4696</v>
      </c>
      <c r="B337" s="18">
        <v>1700000</v>
      </c>
      <c r="C337" s="18">
        <v>0</v>
      </c>
      <c r="D337" s="18">
        <f t="shared" si="18"/>
        <v>1700000</v>
      </c>
      <c r="E337" s="11" t="s">
        <v>494</v>
      </c>
      <c r="F337" s="11">
        <v>0</v>
      </c>
      <c r="G337" s="32">
        <f>G338+F337</f>
        <v>13</v>
      </c>
      <c r="H337" s="11">
        <f>IF(B337&gt;0,1,0)</f>
        <v>1</v>
      </c>
      <c r="I337" s="11">
        <f>B337*(G337-H337)</f>
        <v>20400000</v>
      </c>
      <c r="J337" s="11">
        <f>C337*(G337-H337)</f>
        <v>0</v>
      </c>
      <c r="K337" s="11">
        <f>D337*(G337-H337)</f>
        <v>20400000</v>
      </c>
      <c r="L337" t="s">
        <v>25</v>
      </c>
    </row>
    <row r="338" spans="1:13">
      <c r="A338" s="11" t="s">
        <v>4696</v>
      </c>
      <c r="B338" s="18">
        <v>-360000</v>
      </c>
      <c r="C338" s="18">
        <v>0</v>
      </c>
      <c r="D338" s="18">
        <f t="shared" si="18"/>
        <v>-360000</v>
      </c>
      <c r="E338" s="11" t="s">
        <v>3889</v>
      </c>
      <c r="F338" s="11">
        <v>1</v>
      </c>
      <c r="G338" s="32">
        <f>G339+F338</f>
        <v>13</v>
      </c>
      <c r="H338" s="11">
        <f>IF(B338&gt;0,1,0)</f>
        <v>0</v>
      </c>
      <c r="I338" s="11">
        <f>B338*(G338-H338)</f>
        <v>-4680000</v>
      </c>
      <c r="J338" s="11">
        <f>C338*(G338-H338)</f>
        <v>0</v>
      </c>
      <c r="K338" s="11">
        <f>D338*(G338-H338)</f>
        <v>-4680000</v>
      </c>
    </row>
    <row r="339" spans="1:13">
      <c r="A339" s="11" t="s">
        <v>4697</v>
      </c>
      <c r="B339" s="18">
        <v>-2000000</v>
      </c>
      <c r="C339" s="18">
        <v>0</v>
      </c>
      <c r="D339" s="18">
        <f t="shared" si="18"/>
        <v>-2000000</v>
      </c>
      <c r="E339" s="11" t="s">
        <v>4208</v>
      </c>
      <c r="F339" s="11">
        <v>0</v>
      </c>
      <c r="G339" s="32">
        <f>G340+F339</f>
        <v>12</v>
      </c>
      <c r="H339" s="11">
        <f>IF(B339&gt;0,1,0)</f>
        <v>0</v>
      </c>
      <c r="I339" s="11">
        <f>B339*(G339-H339)</f>
        <v>-24000000</v>
      </c>
      <c r="J339" s="11">
        <f>C339*(G339-H339)</f>
        <v>0</v>
      </c>
      <c r="K339" s="11">
        <f>D339*(G339-H339)</f>
        <v>-24000000</v>
      </c>
    </row>
    <row r="340" spans="1:13">
      <c r="A340" s="11" t="s">
        <v>4697</v>
      </c>
      <c r="B340" s="18">
        <v>280000</v>
      </c>
      <c r="C340" s="18">
        <v>0</v>
      </c>
      <c r="D340" s="18">
        <f t="shared" si="18"/>
        <v>280000</v>
      </c>
      <c r="E340" s="11" t="s">
        <v>3853</v>
      </c>
      <c r="F340" s="11">
        <v>1</v>
      </c>
      <c r="G340" s="32">
        <f>G341+F340</f>
        <v>12</v>
      </c>
      <c r="H340" s="11">
        <f>IF(B340&gt;0,1,0)</f>
        <v>1</v>
      </c>
      <c r="I340" s="11">
        <f>B340*(G340-H340)</f>
        <v>3080000</v>
      </c>
      <c r="J340" s="11">
        <f>C340*(G340-H340)</f>
        <v>0</v>
      </c>
      <c r="K340" s="11">
        <f>D340*(G340-H340)</f>
        <v>3080000</v>
      </c>
    </row>
    <row r="341" spans="1:13">
      <c r="A341" s="11" t="s">
        <v>4702</v>
      </c>
      <c r="B341" s="18">
        <v>433375</v>
      </c>
      <c r="C341" s="18">
        <v>0</v>
      </c>
      <c r="D341" s="18">
        <f t="shared" si="18"/>
        <v>433375</v>
      </c>
      <c r="E341" s="11" t="s">
        <v>4705</v>
      </c>
      <c r="F341" s="11">
        <v>1</v>
      </c>
      <c r="G341" s="32">
        <f>G342+F341</f>
        <v>11</v>
      </c>
      <c r="H341" s="11">
        <f>IF(B341&gt;0,1,0)</f>
        <v>1</v>
      </c>
      <c r="I341" s="11">
        <f>B341*(G341-H341)</f>
        <v>4333750</v>
      </c>
      <c r="J341" s="11">
        <f>C341*(G341-H341)</f>
        <v>0</v>
      </c>
      <c r="K341" s="11">
        <f>D341*(G341-H341)</f>
        <v>4333750</v>
      </c>
      <c r="M341" t="s">
        <v>25</v>
      </c>
    </row>
    <row r="342" spans="1:13">
      <c r="A342" s="11" t="s">
        <v>4711</v>
      </c>
      <c r="B342" s="18">
        <v>2000000</v>
      </c>
      <c r="C342" s="18">
        <v>0</v>
      </c>
      <c r="D342" s="18">
        <f t="shared" si="18"/>
        <v>2000000</v>
      </c>
      <c r="E342" s="11" t="s">
        <v>3853</v>
      </c>
      <c r="F342" s="11">
        <v>0</v>
      </c>
      <c r="G342" s="32">
        <f t="shared" ref="G342:G367" si="38">G343+F342</f>
        <v>10</v>
      </c>
      <c r="H342" s="11">
        <f t="shared" ref="H342:H367" si="39">IF(B342&gt;0,1,0)</f>
        <v>1</v>
      </c>
      <c r="I342" s="11">
        <f t="shared" ref="I342:I367" si="40">B342*(G342-H342)</f>
        <v>18000000</v>
      </c>
      <c r="J342" s="11">
        <f t="shared" ref="J342:J367" si="41">C342*(G342-H342)</f>
        <v>0</v>
      </c>
      <c r="K342" s="11">
        <f t="shared" ref="K342:K367" si="42">D342*(G342-H342)</f>
        <v>18000000</v>
      </c>
    </row>
    <row r="343" spans="1:13">
      <c r="A343" s="11" t="s">
        <v>4711</v>
      </c>
      <c r="B343" s="18">
        <v>-300000</v>
      </c>
      <c r="C343" s="18">
        <v>0</v>
      </c>
      <c r="D343" s="18">
        <f t="shared" si="18"/>
        <v>-300000</v>
      </c>
      <c r="E343" s="11" t="s">
        <v>4713</v>
      </c>
      <c r="F343" s="11">
        <v>0</v>
      </c>
      <c r="G343" s="32">
        <f t="shared" si="38"/>
        <v>10</v>
      </c>
      <c r="H343" s="11">
        <f t="shared" si="39"/>
        <v>0</v>
      </c>
      <c r="I343" s="11">
        <f t="shared" si="40"/>
        <v>-3000000</v>
      </c>
      <c r="J343" s="11">
        <f t="shared" si="41"/>
        <v>0</v>
      </c>
      <c r="K343" s="11">
        <f t="shared" si="42"/>
        <v>-3000000</v>
      </c>
    </row>
    <row r="344" spans="1:13">
      <c r="A344" s="11" t="s">
        <v>4711</v>
      </c>
      <c r="B344" s="18">
        <v>-92800</v>
      </c>
      <c r="C344" s="18">
        <v>0</v>
      </c>
      <c r="D344" s="18">
        <f t="shared" si="18"/>
        <v>-92800</v>
      </c>
      <c r="E344" s="11" t="s">
        <v>703</v>
      </c>
      <c r="F344" s="11">
        <v>1</v>
      </c>
      <c r="G344" s="32">
        <f t="shared" si="38"/>
        <v>10</v>
      </c>
      <c r="H344" s="11">
        <f t="shared" si="39"/>
        <v>0</v>
      </c>
      <c r="I344" s="11">
        <f t="shared" si="40"/>
        <v>-928000</v>
      </c>
      <c r="J344" s="11">
        <f t="shared" si="41"/>
        <v>0</v>
      </c>
      <c r="K344" s="11">
        <f t="shared" si="42"/>
        <v>-928000</v>
      </c>
    </row>
    <row r="345" spans="1:13">
      <c r="A345" s="11" t="s">
        <v>944</v>
      </c>
      <c r="B345" s="18">
        <v>-1417727</v>
      </c>
      <c r="C345" s="18">
        <v>0</v>
      </c>
      <c r="D345" s="18">
        <f t="shared" si="18"/>
        <v>-1417727</v>
      </c>
      <c r="E345" s="11" t="s">
        <v>4715</v>
      </c>
      <c r="F345" s="11">
        <v>3</v>
      </c>
      <c r="G345" s="32">
        <f t="shared" si="38"/>
        <v>9</v>
      </c>
      <c r="H345" s="11">
        <f t="shared" si="39"/>
        <v>0</v>
      </c>
      <c r="I345" s="11">
        <f t="shared" si="40"/>
        <v>-12759543</v>
      </c>
      <c r="J345" s="11">
        <f t="shared" si="41"/>
        <v>0</v>
      </c>
      <c r="K345" s="11">
        <f t="shared" si="42"/>
        <v>-12759543</v>
      </c>
      <c r="L345" t="s">
        <v>25</v>
      </c>
    </row>
    <row r="346" spans="1:13">
      <c r="A346" s="11" t="s">
        <v>4720</v>
      </c>
      <c r="B346" s="18">
        <v>-80575</v>
      </c>
      <c r="C346" s="18">
        <v>0</v>
      </c>
      <c r="D346" s="18">
        <f t="shared" si="18"/>
        <v>-80575</v>
      </c>
      <c r="E346" s="11" t="s">
        <v>3976</v>
      </c>
      <c r="F346" s="11">
        <v>5</v>
      </c>
      <c r="G346" s="32">
        <f t="shared" si="38"/>
        <v>6</v>
      </c>
      <c r="H346" s="11">
        <f t="shared" si="39"/>
        <v>0</v>
      </c>
      <c r="I346" s="11">
        <f t="shared" si="40"/>
        <v>-483450</v>
      </c>
      <c r="J346" s="11">
        <f t="shared" si="41"/>
        <v>0</v>
      </c>
      <c r="K346" s="11">
        <f t="shared" si="42"/>
        <v>-483450</v>
      </c>
    </row>
    <row r="347" spans="1:13">
      <c r="A347" s="11" t="s">
        <v>4717</v>
      </c>
      <c r="B347" s="18">
        <v>-960200</v>
      </c>
      <c r="C347" s="18">
        <v>0</v>
      </c>
      <c r="D347" s="18">
        <f t="shared" si="18"/>
        <v>-960200</v>
      </c>
      <c r="E347" s="11" t="s">
        <v>4721</v>
      </c>
      <c r="F347" s="11">
        <v>1</v>
      </c>
      <c r="G347" s="32">
        <f t="shared" si="38"/>
        <v>1</v>
      </c>
      <c r="H347" s="11">
        <f t="shared" si="39"/>
        <v>0</v>
      </c>
      <c r="I347" s="11">
        <f t="shared" si="40"/>
        <v>-960200</v>
      </c>
      <c r="J347" s="11">
        <f t="shared" si="41"/>
        <v>0</v>
      </c>
      <c r="K347" s="11">
        <f t="shared" si="42"/>
        <v>-960200</v>
      </c>
    </row>
    <row r="348" spans="1:13">
      <c r="A348" s="11"/>
      <c r="B348" s="18"/>
      <c r="C348" s="18"/>
      <c r="D348" s="18"/>
      <c r="E348" s="11"/>
      <c r="F348" s="11"/>
      <c r="G348" s="32">
        <f t="shared" si="38"/>
        <v>0</v>
      </c>
      <c r="H348" s="11">
        <f t="shared" si="39"/>
        <v>0</v>
      </c>
      <c r="I348" s="11">
        <f t="shared" si="40"/>
        <v>0</v>
      </c>
      <c r="J348" s="11">
        <f t="shared" si="41"/>
        <v>0</v>
      </c>
      <c r="K348" s="11">
        <f t="shared" si="42"/>
        <v>0</v>
      </c>
      <c r="L348" t="s">
        <v>25</v>
      </c>
      <c r="M348" t="s">
        <v>25</v>
      </c>
    </row>
    <row r="349" spans="1:13">
      <c r="A349" s="11"/>
      <c r="B349" s="18"/>
      <c r="C349" s="18"/>
      <c r="D349" s="18"/>
      <c r="E349" s="11"/>
      <c r="F349" s="11"/>
      <c r="G349" s="32">
        <f t="shared" si="38"/>
        <v>0</v>
      </c>
      <c r="H349" s="11">
        <f t="shared" si="39"/>
        <v>0</v>
      </c>
      <c r="I349" s="11">
        <f t="shared" si="40"/>
        <v>0</v>
      </c>
      <c r="J349" s="11">
        <f t="shared" si="41"/>
        <v>0</v>
      </c>
      <c r="K349" s="11">
        <f t="shared" si="42"/>
        <v>0</v>
      </c>
    </row>
    <row r="350" spans="1:13">
      <c r="A350" s="11"/>
      <c r="B350" s="18"/>
      <c r="C350" s="18"/>
      <c r="D350" s="18"/>
      <c r="E350" s="11"/>
      <c r="F350" s="11"/>
      <c r="G350" s="32">
        <f t="shared" si="38"/>
        <v>0</v>
      </c>
      <c r="H350" s="11">
        <f t="shared" si="39"/>
        <v>0</v>
      </c>
      <c r="I350" s="11">
        <f t="shared" si="40"/>
        <v>0</v>
      </c>
      <c r="J350" s="11">
        <f t="shared" si="41"/>
        <v>0</v>
      </c>
      <c r="K350" s="11">
        <f t="shared" si="42"/>
        <v>0</v>
      </c>
    </row>
    <row r="351" spans="1:13">
      <c r="A351" s="11"/>
      <c r="B351" s="18"/>
      <c r="C351" s="18"/>
      <c r="D351" s="18"/>
      <c r="E351" s="11"/>
      <c r="F351" s="11"/>
      <c r="G351" s="32">
        <f t="shared" si="38"/>
        <v>0</v>
      </c>
      <c r="H351" s="11">
        <f t="shared" si="39"/>
        <v>0</v>
      </c>
      <c r="I351" s="11">
        <f t="shared" si="40"/>
        <v>0</v>
      </c>
      <c r="J351" s="11">
        <f t="shared" si="41"/>
        <v>0</v>
      </c>
      <c r="K351" s="11">
        <f t="shared" si="42"/>
        <v>0</v>
      </c>
    </row>
    <row r="352" spans="1:13">
      <c r="A352" s="11"/>
      <c r="B352" s="18"/>
      <c r="C352" s="18"/>
      <c r="D352" s="18"/>
      <c r="E352" s="11"/>
      <c r="F352" s="11"/>
      <c r="G352" s="32">
        <f t="shared" si="38"/>
        <v>0</v>
      </c>
      <c r="H352" s="11">
        <f t="shared" si="39"/>
        <v>0</v>
      </c>
      <c r="I352" s="11">
        <f t="shared" si="40"/>
        <v>0</v>
      </c>
      <c r="J352" s="11">
        <f t="shared" si="41"/>
        <v>0</v>
      </c>
      <c r="K352" s="11">
        <f t="shared" si="42"/>
        <v>0</v>
      </c>
    </row>
    <row r="353" spans="1:11">
      <c r="A353" s="11"/>
      <c r="B353" s="18"/>
      <c r="C353" s="18"/>
      <c r="D353" s="18"/>
      <c r="E353" s="11"/>
      <c r="F353" s="11"/>
      <c r="G353" s="32">
        <f t="shared" si="38"/>
        <v>0</v>
      </c>
      <c r="H353" s="11">
        <f t="shared" si="39"/>
        <v>0</v>
      </c>
      <c r="I353" s="11">
        <f t="shared" si="40"/>
        <v>0</v>
      </c>
      <c r="J353" s="11">
        <f t="shared" si="41"/>
        <v>0</v>
      </c>
      <c r="K353" s="11">
        <f t="shared" si="42"/>
        <v>0</v>
      </c>
    </row>
    <row r="354" spans="1:11">
      <c r="A354" s="11"/>
      <c r="B354" s="18"/>
      <c r="C354" s="18"/>
      <c r="D354" s="18"/>
      <c r="E354" s="11"/>
      <c r="F354" s="11"/>
      <c r="G354" s="32">
        <f t="shared" si="38"/>
        <v>0</v>
      </c>
      <c r="H354" s="11">
        <f t="shared" si="39"/>
        <v>0</v>
      </c>
      <c r="I354" s="11">
        <f t="shared" si="40"/>
        <v>0</v>
      </c>
      <c r="J354" s="11">
        <f t="shared" si="41"/>
        <v>0</v>
      </c>
      <c r="K354" s="11">
        <f t="shared" si="42"/>
        <v>0</v>
      </c>
    </row>
    <row r="355" spans="1:11">
      <c r="A355" s="11"/>
      <c r="B355" s="18"/>
      <c r="C355" s="18"/>
      <c r="D355" s="18"/>
      <c r="E355" s="11"/>
      <c r="F355" s="11"/>
      <c r="G355" s="32">
        <f t="shared" si="38"/>
        <v>0</v>
      </c>
      <c r="H355" s="11">
        <f t="shared" si="39"/>
        <v>0</v>
      </c>
      <c r="I355" s="11">
        <f t="shared" si="40"/>
        <v>0</v>
      </c>
      <c r="J355" s="11">
        <f t="shared" si="41"/>
        <v>0</v>
      </c>
      <c r="K355" s="11">
        <f t="shared" si="42"/>
        <v>0</v>
      </c>
    </row>
    <row r="356" spans="1:11">
      <c r="A356" s="11"/>
      <c r="B356" s="18"/>
      <c r="C356" s="18"/>
      <c r="D356" s="18"/>
      <c r="E356" s="11"/>
      <c r="F356" s="11"/>
      <c r="G356" s="32">
        <f t="shared" si="38"/>
        <v>0</v>
      </c>
      <c r="H356" s="11">
        <f t="shared" si="39"/>
        <v>0</v>
      </c>
      <c r="I356" s="11">
        <f t="shared" si="40"/>
        <v>0</v>
      </c>
      <c r="J356" s="11">
        <f t="shared" si="41"/>
        <v>0</v>
      </c>
      <c r="K356" s="11">
        <f t="shared" si="42"/>
        <v>0</v>
      </c>
    </row>
    <row r="357" spans="1:11">
      <c r="A357" s="11"/>
      <c r="B357" s="18"/>
      <c r="C357" s="18"/>
      <c r="D357" s="18"/>
      <c r="E357" s="11"/>
      <c r="F357" s="11"/>
      <c r="G357" s="32">
        <f t="shared" si="38"/>
        <v>0</v>
      </c>
      <c r="H357" s="11">
        <f t="shared" si="39"/>
        <v>0</v>
      </c>
      <c r="I357" s="11">
        <f t="shared" si="40"/>
        <v>0</v>
      </c>
      <c r="J357" s="11">
        <f t="shared" si="41"/>
        <v>0</v>
      </c>
      <c r="K357" s="11">
        <f t="shared" si="42"/>
        <v>0</v>
      </c>
    </row>
    <row r="358" spans="1:11">
      <c r="A358" s="11"/>
      <c r="B358" s="18"/>
      <c r="C358" s="18"/>
      <c r="D358" s="18"/>
      <c r="E358" s="11"/>
      <c r="F358" s="11"/>
      <c r="G358" s="32">
        <f t="shared" si="38"/>
        <v>0</v>
      </c>
      <c r="H358" s="11">
        <f t="shared" si="39"/>
        <v>0</v>
      </c>
      <c r="I358" s="11">
        <f t="shared" si="40"/>
        <v>0</v>
      </c>
      <c r="J358" s="11">
        <f t="shared" si="41"/>
        <v>0</v>
      </c>
      <c r="K358" s="11">
        <f t="shared" si="42"/>
        <v>0</v>
      </c>
    </row>
    <row r="359" spans="1:11">
      <c r="A359" s="11"/>
      <c r="B359" s="18"/>
      <c r="C359" s="18"/>
      <c r="D359" s="18"/>
      <c r="E359" s="11"/>
      <c r="F359" s="11"/>
      <c r="G359" s="32">
        <f t="shared" si="38"/>
        <v>0</v>
      </c>
      <c r="H359" s="11">
        <f t="shared" si="39"/>
        <v>0</v>
      </c>
      <c r="I359" s="11">
        <f t="shared" si="40"/>
        <v>0</v>
      </c>
      <c r="J359" s="11">
        <f t="shared" si="41"/>
        <v>0</v>
      </c>
      <c r="K359" s="11">
        <f t="shared" si="42"/>
        <v>0</v>
      </c>
    </row>
    <row r="360" spans="1:11">
      <c r="A360" s="11"/>
      <c r="B360" s="18"/>
      <c r="C360" s="18"/>
      <c r="D360" s="18"/>
      <c r="E360" s="11"/>
      <c r="F360" s="11"/>
      <c r="G360" s="32">
        <f t="shared" si="38"/>
        <v>0</v>
      </c>
      <c r="H360" s="11">
        <f t="shared" si="39"/>
        <v>0</v>
      </c>
      <c r="I360" s="11">
        <f t="shared" si="40"/>
        <v>0</v>
      </c>
      <c r="J360" s="11">
        <f t="shared" si="41"/>
        <v>0</v>
      </c>
      <c r="K360" s="11">
        <f t="shared" si="42"/>
        <v>0</v>
      </c>
    </row>
    <row r="361" spans="1:11">
      <c r="A361" s="11"/>
      <c r="B361" s="18"/>
      <c r="C361" s="18"/>
      <c r="D361" s="18"/>
      <c r="E361" s="11"/>
      <c r="F361" s="11"/>
      <c r="G361" s="32">
        <f t="shared" si="38"/>
        <v>0</v>
      </c>
      <c r="H361" s="11">
        <f t="shared" si="39"/>
        <v>0</v>
      </c>
      <c r="I361" s="11">
        <f t="shared" si="40"/>
        <v>0</v>
      </c>
      <c r="J361" s="11">
        <f t="shared" si="41"/>
        <v>0</v>
      </c>
      <c r="K361" s="11">
        <f t="shared" si="42"/>
        <v>0</v>
      </c>
    </row>
    <row r="362" spans="1:11">
      <c r="A362" s="11"/>
      <c r="B362" s="18"/>
      <c r="C362" s="18"/>
      <c r="D362" s="18"/>
      <c r="E362" s="11"/>
      <c r="F362" s="11"/>
      <c r="G362" s="32">
        <f t="shared" si="38"/>
        <v>0</v>
      </c>
      <c r="H362" s="11">
        <f t="shared" si="39"/>
        <v>0</v>
      </c>
      <c r="I362" s="11">
        <f t="shared" si="40"/>
        <v>0</v>
      </c>
      <c r="J362" s="11">
        <f t="shared" si="41"/>
        <v>0</v>
      </c>
      <c r="K362" s="11">
        <f t="shared" si="42"/>
        <v>0</v>
      </c>
    </row>
    <row r="363" spans="1:11">
      <c r="A363" s="11"/>
      <c r="B363" s="18"/>
      <c r="C363" s="18"/>
      <c r="D363" s="18"/>
      <c r="E363" s="11"/>
      <c r="F363" s="11"/>
      <c r="G363" s="32">
        <f t="shared" si="38"/>
        <v>0</v>
      </c>
      <c r="H363" s="11">
        <f t="shared" si="39"/>
        <v>0</v>
      </c>
      <c r="I363" s="11">
        <f t="shared" si="40"/>
        <v>0</v>
      </c>
      <c r="J363" s="11">
        <f t="shared" si="41"/>
        <v>0</v>
      </c>
      <c r="K363" s="11">
        <f t="shared" si="42"/>
        <v>0</v>
      </c>
    </row>
    <row r="364" spans="1:11">
      <c r="A364" s="11"/>
      <c r="B364" s="18"/>
      <c r="C364" s="18"/>
      <c r="D364" s="18"/>
      <c r="E364" s="11"/>
      <c r="F364" s="11"/>
      <c r="G364" s="32">
        <f t="shared" si="38"/>
        <v>0</v>
      </c>
      <c r="H364" s="11">
        <f t="shared" si="39"/>
        <v>0</v>
      </c>
      <c r="I364" s="11">
        <f t="shared" si="40"/>
        <v>0</v>
      </c>
      <c r="J364" s="11">
        <f t="shared" si="41"/>
        <v>0</v>
      </c>
      <c r="K364" s="11">
        <f t="shared" si="42"/>
        <v>0</v>
      </c>
    </row>
    <row r="365" spans="1:11">
      <c r="A365" s="11"/>
      <c r="B365" s="18"/>
      <c r="C365" s="18"/>
      <c r="D365" s="18"/>
      <c r="E365" s="11"/>
      <c r="F365" s="11"/>
      <c r="G365" s="32">
        <f t="shared" si="38"/>
        <v>0</v>
      </c>
      <c r="H365" s="11">
        <f t="shared" si="39"/>
        <v>0</v>
      </c>
      <c r="I365" s="11">
        <f t="shared" si="40"/>
        <v>0</v>
      </c>
      <c r="J365" s="11">
        <f t="shared" si="41"/>
        <v>0</v>
      </c>
      <c r="K365" s="11">
        <f t="shared" si="42"/>
        <v>0</v>
      </c>
    </row>
    <row r="366" spans="1:11">
      <c r="A366" s="11"/>
      <c r="B366" s="18"/>
      <c r="C366" s="18"/>
      <c r="D366" s="18"/>
      <c r="E366" s="11"/>
      <c r="F366" s="11"/>
      <c r="G366" s="32">
        <f t="shared" si="38"/>
        <v>0</v>
      </c>
      <c r="H366" s="11">
        <f t="shared" si="39"/>
        <v>0</v>
      </c>
      <c r="I366" s="11">
        <f t="shared" si="40"/>
        <v>0</v>
      </c>
      <c r="J366" s="11">
        <f t="shared" si="41"/>
        <v>0</v>
      </c>
      <c r="K366" s="11">
        <f t="shared" si="42"/>
        <v>0</v>
      </c>
    </row>
    <row r="367" spans="1:11">
      <c r="A367" s="11"/>
      <c r="B367" s="18"/>
      <c r="C367" s="18"/>
      <c r="D367" s="18"/>
      <c r="E367" s="11"/>
      <c r="F367" s="11"/>
      <c r="G367" s="32">
        <f t="shared" si="38"/>
        <v>0</v>
      </c>
      <c r="H367" s="11">
        <f t="shared" si="39"/>
        <v>0</v>
      </c>
      <c r="I367" s="11">
        <f t="shared" si="40"/>
        <v>0</v>
      </c>
      <c r="J367" s="11">
        <f t="shared" si="41"/>
        <v>0</v>
      </c>
      <c r="K367" s="11">
        <f t="shared" si="42"/>
        <v>0</v>
      </c>
    </row>
    <row r="368" spans="1:11">
      <c r="A368" s="11"/>
      <c r="B368" s="18"/>
      <c r="C368" s="18"/>
      <c r="D368" s="18"/>
      <c r="E368" s="11"/>
      <c r="F368" s="11"/>
      <c r="G368" s="32">
        <f>G369+F368</f>
        <v>0</v>
      </c>
      <c r="H368" s="11">
        <f>IF(B368&gt;0,1,0)</f>
        <v>0</v>
      </c>
      <c r="I368" s="11">
        <f>B368*(G368-H368)</f>
        <v>0</v>
      </c>
      <c r="J368" s="11">
        <f>C368*(G368-H368)</f>
        <v>0</v>
      </c>
      <c r="K368" s="11">
        <f>D368*(G368-H368)</f>
        <v>0</v>
      </c>
    </row>
    <row r="369" spans="1:11">
      <c r="A369" s="11"/>
      <c r="B369" s="18"/>
      <c r="C369" s="18"/>
      <c r="D369" s="18">
        <f t="shared" si="18"/>
        <v>0</v>
      </c>
      <c r="E369" s="11"/>
      <c r="F369" s="11"/>
      <c r="G369" s="32">
        <f>G370+F369</f>
        <v>0</v>
      </c>
      <c r="H369" s="11">
        <f>IF(B369&gt;0,1,0)</f>
        <v>0</v>
      </c>
      <c r="I369" s="11">
        <f>B369*(G369-H369)</f>
        <v>0</v>
      </c>
      <c r="J369" s="11">
        <f>C369*(G369-H369)</f>
        <v>0</v>
      </c>
      <c r="K369" s="11">
        <f>D369*(G369-H369)</f>
        <v>0</v>
      </c>
    </row>
    <row r="370" spans="1:11">
      <c r="A370" s="11"/>
      <c r="B370" s="18"/>
      <c r="C370" s="18"/>
      <c r="D370" s="18">
        <f t="shared" si="18"/>
        <v>0</v>
      </c>
      <c r="E370" s="11"/>
      <c r="F370" s="11">
        <v>0</v>
      </c>
      <c r="G370" s="32">
        <f>G371+F370</f>
        <v>0</v>
      </c>
      <c r="H370" s="11">
        <f>IF(B370&gt;0,1,0)</f>
        <v>0</v>
      </c>
      <c r="I370" s="11">
        <f>B370*(G370-H370)</f>
        <v>0</v>
      </c>
      <c r="J370" s="11">
        <f>C370*(G370-H370)</f>
        <v>0</v>
      </c>
      <c r="K370" s="11">
        <f>D370*(G370-H370)</f>
        <v>0</v>
      </c>
    </row>
    <row r="371" spans="1:11">
      <c r="A371" s="11"/>
      <c r="B371" s="26">
        <f>SUM(B2:B370)</f>
        <v>52748</v>
      </c>
      <c r="C371" s="26">
        <f>SUM(C2:C370)</f>
        <v>0</v>
      </c>
      <c r="D371" s="26">
        <f>SUM(D2:D370)</f>
        <v>52748</v>
      </c>
      <c r="E371" s="11"/>
      <c r="F371" s="11"/>
      <c r="G371" s="11"/>
      <c r="H371" s="11"/>
      <c r="I371" s="26">
        <f>SUM(I2:I370)</f>
        <v>19215932161</v>
      </c>
      <c r="J371" s="26">
        <f>SUM(J2:J370)</f>
        <v>8687685429</v>
      </c>
      <c r="K371" s="26">
        <f>SUM(K2:K370)</f>
        <v>10528246732</v>
      </c>
    </row>
    <row r="372" spans="1:11">
      <c r="A372" s="11"/>
      <c r="B372" s="11" t="s">
        <v>283</v>
      </c>
      <c r="C372" s="11" t="s">
        <v>465</v>
      </c>
      <c r="D372" s="11" t="s">
        <v>466</v>
      </c>
      <c r="E372" s="11"/>
      <c r="F372" s="11"/>
      <c r="G372" s="11"/>
      <c r="H372" s="11"/>
      <c r="I372" s="11" t="s">
        <v>462</v>
      </c>
      <c r="J372" s="11" t="s">
        <v>463</v>
      </c>
      <c r="K372" s="11" t="s">
        <v>464</v>
      </c>
    </row>
    <row r="373" spans="1:11">
      <c r="A373" s="11"/>
      <c r="B373" s="11"/>
      <c r="C373" s="11"/>
      <c r="D373" s="11"/>
      <c r="E373" s="11"/>
      <c r="F373" s="11"/>
      <c r="G373" s="11"/>
      <c r="H373" s="11"/>
      <c r="I373" s="11"/>
      <c r="J373" s="11"/>
      <c r="K373" s="11"/>
    </row>
    <row r="374" spans="1:11">
      <c r="A374" s="11"/>
      <c r="B374" s="11"/>
      <c r="C374" s="11"/>
      <c r="D374" s="11"/>
      <c r="E374" s="11"/>
      <c r="F374" s="11"/>
      <c r="G374" s="11"/>
      <c r="H374" s="11"/>
      <c r="I374" s="3">
        <f>I371/G2</f>
        <v>17759641.553604435</v>
      </c>
      <c r="J374" s="26">
        <f>J371/G2</f>
        <v>8029284.1303142328</v>
      </c>
      <c r="K374" s="26">
        <f>K371/G2</f>
        <v>9730357.4232902043</v>
      </c>
    </row>
    <row r="375" spans="1:11">
      <c r="A375" s="11"/>
      <c r="B375" s="11"/>
      <c r="C375" s="11"/>
      <c r="D375" s="11"/>
      <c r="E375" s="11"/>
      <c r="F375" s="11"/>
      <c r="G375" s="11"/>
      <c r="H375" s="11"/>
      <c r="I375" s="11" t="s">
        <v>468</v>
      </c>
      <c r="J375" s="11" t="s">
        <v>469</v>
      </c>
      <c r="K375" s="11" t="s">
        <v>470</v>
      </c>
    </row>
    <row r="378" spans="1:11" ht="30">
      <c r="B378" s="22" t="s">
        <v>818</v>
      </c>
      <c r="D378" s="7">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2" t="s">
        <v>280</v>
      </c>
      <c r="D1" s="32" t="s">
        <v>281</v>
      </c>
      <c r="E1" s="32"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375</v>
      </c>
      <c r="B3" s="3">
        <v>3000000</v>
      </c>
      <c r="C3" s="11">
        <v>3</v>
      </c>
      <c r="D3" s="11">
        <f t="shared" si="0"/>
        <v>1483</v>
      </c>
      <c r="E3" s="11">
        <f t="shared" ref="E3:E66" si="1">IF(B3&gt;0,1,0)</f>
        <v>1</v>
      </c>
      <c r="F3" s="11">
        <f t="shared" ref="F3:F66" si="2">B3*(D3-E3)</f>
        <v>4446000000</v>
      </c>
      <c r="G3" s="11"/>
    </row>
    <row r="4" spans="1:7">
      <c r="A4" s="11" t="s">
        <v>374</v>
      </c>
      <c r="B4" s="3">
        <v>-200000</v>
      </c>
      <c r="C4" s="11">
        <v>2</v>
      </c>
      <c r="D4" s="11">
        <f t="shared" si="0"/>
        <v>1480</v>
      </c>
      <c r="E4" s="11">
        <f t="shared" si="1"/>
        <v>0</v>
      </c>
      <c r="F4" s="11">
        <f t="shared" si="2"/>
        <v>-296000000</v>
      </c>
      <c r="G4" s="11"/>
    </row>
    <row r="5" spans="1:7">
      <c r="A5" s="11" t="s">
        <v>373</v>
      </c>
      <c r="B5" s="3">
        <v>-100000</v>
      </c>
      <c r="C5" s="11">
        <v>1</v>
      </c>
      <c r="D5" s="11">
        <f t="shared" si="0"/>
        <v>1478</v>
      </c>
      <c r="E5" s="11">
        <f t="shared" si="1"/>
        <v>0</v>
      </c>
      <c r="F5" s="11">
        <f t="shared" si="2"/>
        <v>-147800000</v>
      </c>
      <c r="G5" s="11"/>
    </row>
    <row r="6" spans="1:7">
      <c r="A6" s="11" t="s">
        <v>372</v>
      </c>
      <c r="B6" s="3">
        <v>-55000</v>
      </c>
      <c r="C6" s="11">
        <v>1</v>
      </c>
      <c r="D6" s="11">
        <f t="shared" si="0"/>
        <v>1477</v>
      </c>
      <c r="E6" s="11">
        <f t="shared" si="1"/>
        <v>0</v>
      </c>
      <c r="F6" s="11">
        <f t="shared" si="2"/>
        <v>-81235000</v>
      </c>
      <c r="G6" s="11"/>
    </row>
    <row r="7" spans="1:7">
      <c r="A7" s="11" t="s">
        <v>371</v>
      </c>
      <c r="B7" s="3">
        <v>-200000</v>
      </c>
      <c r="C7" s="11">
        <v>4</v>
      </c>
      <c r="D7" s="11">
        <f t="shared" si="0"/>
        <v>1476</v>
      </c>
      <c r="E7" s="11">
        <f t="shared" si="1"/>
        <v>0</v>
      </c>
      <c r="F7" s="11">
        <f t="shared" si="2"/>
        <v>-295200000</v>
      </c>
      <c r="G7" s="11"/>
    </row>
    <row r="8" spans="1:7">
      <c r="A8" s="11" t="s">
        <v>370</v>
      </c>
      <c r="B8" s="3">
        <v>-200000</v>
      </c>
      <c r="C8" s="11">
        <v>10</v>
      </c>
      <c r="D8" s="11">
        <f t="shared" si="0"/>
        <v>1472</v>
      </c>
      <c r="E8" s="11">
        <f t="shared" si="1"/>
        <v>0</v>
      </c>
      <c r="F8" s="11">
        <f t="shared" si="2"/>
        <v>-294400000</v>
      </c>
      <c r="G8" s="11"/>
    </row>
    <row r="9" spans="1:7">
      <c r="A9" s="11" t="s">
        <v>369</v>
      </c>
      <c r="B9" s="3">
        <v>-950500</v>
      </c>
      <c r="C9" s="11">
        <v>1</v>
      </c>
      <c r="D9" s="11">
        <f t="shared" si="0"/>
        <v>1462</v>
      </c>
      <c r="E9" s="11">
        <f t="shared" si="1"/>
        <v>0</v>
      </c>
      <c r="F9" s="11">
        <f t="shared" si="2"/>
        <v>-1389631000</v>
      </c>
      <c r="G9" s="11"/>
    </row>
    <row r="10" spans="1:7">
      <c r="A10" s="23" t="s">
        <v>368</v>
      </c>
      <c r="B10" s="3">
        <v>2000000</v>
      </c>
      <c r="C10" s="11">
        <v>2</v>
      </c>
      <c r="D10" s="11">
        <f t="shared" si="0"/>
        <v>1461</v>
      </c>
      <c r="E10" s="11">
        <f t="shared" si="1"/>
        <v>1</v>
      </c>
      <c r="F10" s="11">
        <f t="shared" si="2"/>
        <v>2920000000</v>
      </c>
      <c r="G10" s="11"/>
    </row>
    <row r="11" spans="1:7">
      <c r="A11" s="11" t="s">
        <v>367</v>
      </c>
      <c r="B11" s="3">
        <v>-1065000</v>
      </c>
      <c r="C11" s="11">
        <v>3</v>
      </c>
      <c r="D11" s="11">
        <f t="shared" si="0"/>
        <v>1459</v>
      </c>
      <c r="E11" s="11">
        <f t="shared" si="1"/>
        <v>0</v>
      </c>
      <c r="F11" s="11">
        <f t="shared" si="2"/>
        <v>-1553835000</v>
      </c>
      <c r="G11" s="11"/>
    </row>
    <row r="12" spans="1:7">
      <c r="A12" s="11" t="s">
        <v>366</v>
      </c>
      <c r="B12" s="3">
        <v>-45000</v>
      </c>
      <c r="C12" s="11">
        <v>1</v>
      </c>
      <c r="D12" s="11">
        <f t="shared" si="0"/>
        <v>1456</v>
      </c>
      <c r="E12" s="11">
        <f t="shared" si="1"/>
        <v>0</v>
      </c>
      <c r="F12" s="11">
        <f t="shared" si="2"/>
        <v>-65520000</v>
      </c>
      <c r="G12" s="11"/>
    </row>
    <row r="13" spans="1:7">
      <c r="A13" s="11" t="s">
        <v>365</v>
      </c>
      <c r="B13" s="3">
        <v>-2000700</v>
      </c>
      <c r="C13" s="11">
        <v>4</v>
      </c>
      <c r="D13" s="11">
        <f t="shared" si="0"/>
        <v>1455</v>
      </c>
      <c r="E13" s="11">
        <f t="shared" si="1"/>
        <v>0</v>
      </c>
      <c r="F13" s="11">
        <f t="shared" si="2"/>
        <v>-2911018500</v>
      </c>
      <c r="G13" s="11"/>
    </row>
    <row r="14" spans="1:7">
      <c r="A14" s="23" t="s">
        <v>364</v>
      </c>
      <c r="B14" s="3">
        <v>-200000</v>
      </c>
      <c r="C14" s="11">
        <v>2</v>
      </c>
      <c r="D14" s="11">
        <f t="shared" si="0"/>
        <v>1451</v>
      </c>
      <c r="E14" s="11">
        <f t="shared" si="1"/>
        <v>0</v>
      </c>
      <c r="F14" s="11">
        <f t="shared" si="2"/>
        <v>-290200000</v>
      </c>
      <c r="G14" s="11"/>
    </row>
    <row r="15" spans="1:7">
      <c r="A15" s="11" t="s">
        <v>363</v>
      </c>
      <c r="B15" s="3">
        <v>2000000</v>
      </c>
      <c r="C15" s="11">
        <v>0</v>
      </c>
      <c r="D15" s="11">
        <f t="shared" si="0"/>
        <v>1449</v>
      </c>
      <c r="E15" s="11">
        <f t="shared" si="1"/>
        <v>1</v>
      </c>
      <c r="F15" s="11">
        <f t="shared" si="2"/>
        <v>2896000000</v>
      </c>
      <c r="G15" s="11"/>
    </row>
    <row r="16" spans="1:7">
      <c r="A16" s="11" t="s">
        <v>363</v>
      </c>
      <c r="B16" s="3">
        <v>2000000</v>
      </c>
      <c r="C16" s="11">
        <v>0</v>
      </c>
      <c r="D16" s="11">
        <f t="shared" si="0"/>
        <v>1449</v>
      </c>
      <c r="E16" s="11">
        <f t="shared" si="1"/>
        <v>1</v>
      </c>
      <c r="F16" s="11">
        <f t="shared" si="2"/>
        <v>2896000000</v>
      </c>
      <c r="G16" s="11"/>
    </row>
    <row r="17" spans="1:12">
      <c r="A17" s="11" t="s">
        <v>363</v>
      </c>
      <c r="B17" s="3">
        <v>1200000</v>
      </c>
      <c r="C17" s="11">
        <v>0</v>
      </c>
      <c r="D17" s="11">
        <f t="shared" si="0"/>
        <v>1449</v>
      </c>
      <c r="E17" s="11">
        <f t="shared" si="1"/>
        <v>1</v>
      </c>
      <c r="F17" s="11">
        <f t="shared" si="2"/>
        <v>1737600000</v>
      </c>
      <c r="G17" s="11"/>
    </row>
    <row r="18" spans="1:12">
      <c r="A18" s="11" t="s">
        <v>363</v>
      </c>
      <c r="B18" s="3">
        <v>1000000</v>
      </c>
      <c r="C18" s="11">
        <v>1</v>
      </c>
      <c r="D18" s="11">
        <f t="shared" si="0"/>
        <v>1449</v>
      </c>
      <c r="E18" s="11">
        <f t="shared" si="1"/>
        <v>1</v>
      </c>
      <c r="F18" s="11">
        <f t="shared" si="2"/>
        <v>1448000000</v>
      </c>
      <c r="G18" s="11"/>
    </row>
    <row r="19" spans="1:12">
      <c r="A19" s="11" t="s">
        <v>362</v>
      </c>
      <c r="B19" s="3">
        <v>3000000</v>
      </c>
      <c r="C19" s="11">
        <v>0</v>
      </c>
      <c r="D19" s="11">
        <f t="shared" si="0"/>
        <v>1448</v>
      </c>
      <c r="E19" s="11">
        <f t="shared" si="1"/>
        <v>1</v>
      </c>
      <c r="F19" s="11">
        <f t="shared" si="2"/>
        <v>4341000000</v>
      </c>
      <c r="G19" s="11"/>
      <c r="L19" t="s">
        <v>25</v>
      </c>
    </row>
    <row r="20" spans="1:12">
      <c r="A20" s="11" t="s">
        <v>362</v>
      </c>
      <c r="B20" s="3">
        <v>-432700</v>
      </c>
      <c r="C20" s="11">
        <v>0</v>
      </c>
      <c r="D20" s="11">
        <f t="shared" si="0"/>
        <v>1448</v>
      </c>
      <c r="E20" s="11">
        <f t="shared" si="1"/>
        <v>0</v>
      </c>
      <c r="F20" s="11">
        <f t="shared" si="2"/>
        <v>-626549600</v>
      </c>
      <c r="G20" s="11"/>
    </row>
    <row r="21" spans="1:12">
      <c r="A21" s="11" t="s">
        <v>362</v>
      </c>
      <c r="B21" s="3">
        <v>-432700</v>
      </c>
      <c r="C21" s="11">
        <v>0</v>
      </c>
      <c r="D21" s="11">
        <f t="shared" si="0"/>
        <v>1448</v>
      </c>
      <c r="E21" s="11">
        <f t="shared" si="1"/>
        <v>0</v>
      </c>
      <c r="F21" s="11">
        <f t="shared" si="2"/>
        <v>-626549600</v>
      </c>
      <c r="G21" s="11"/>
    </row>
    <row r="22" spans="1:12">
      <c r="A22" s="11" t="s">
        <v>362</v>
      </c>
      <c r="B22" s="3">
        <v>-432700</v>
      </c>
      <c r="C22" s="11">
        <v>0</v>
      </c>
      <c r="D22" s="11">
        <f t="shared" si="0"/>
        <v>1448</v>
      </c>
      <c r="E22" s="11">
        <f t="shared" si="1"/>
        <v>0</v>
      </c>
      <c r="F22" s="11">
        <f t="shared" si="2"/>
        <v>-626549600</v>
      </c>
      <c r="G22" s="11"/>
    </row>
    <row r="23" spans="1:12">
      <c r="A23" s="11" t="s">
        <v>362</v>
      </c>
      <c r="B23" s="3">
        <v>-432700</v>
      </c>
      <c r="C23" s="11">
        <v>0</v>
      </c>
      <c r="D23" s="11">
        <f t="shared" si="0"/>
        <v>1448</v>
      </c>
      <c r="E23" s="11">
        <f t="shared" si="1"/>
        <v>0</v>
      </c>
      <c r="F23" s="11">
        <f t="shared" si="2"/>
        <v>-626549600</v>
      </c>
      <c r="G23" s="11"/>
    </row>
    <row r="24" spans="1:12">
      <c r="A24" s="11" t="s">
        <v>362</v>
      </c>
      <c r="B24" s="3">
        <v>-432700</v>
      </c>
      <c r="C24" s="11">
        <v>0</v>
      </c>
      <c r="D24" s="11">
        <f t="shared" si="0"/>
        <v>1448</v>
      </c>
      <c r="E24" s="11">
        <f t="shared" si="1"/>
        <v>0</v>
      </c>
      <c r="F24" s="11">
        <f t="shared" si="2"/>
        <v>-626549600</v>
      </c>
      <c r="G24" s="11"/>
    </row>
    <row r="25" spans="1:12">
      <c r="A25" s="11" t="s">
        <v>362</v>
      </c>
      <c r="B25" s="3">
        <v>-200000</v>
      </c>
      <c r="C25" s="11">
        <v>1</v>
      </c>
      <c r="D25" s="11">
        <f t="shared" si="0"/>
        <v>1448</v>
      </c>
      <c r="E25" s="11">
        <f t="shared" si="1"/>
        <v>0</v>
      </c>
      <c r="F25" s="11">
        <f t="shared" si="2"/>
        <v>-289600000</v>
      </c>
      <c r="G25" s="11"/>
    </row>
    <row r="26" spans="1:12">
      <c r="A26" s="11" t="s">
        <v>361</v>
      </c>
      <c r="B26" s="3">
        <v>3000000</v>
      </c>
      <c r="C26" s="11">
        <v>2</v>
      </c>
      <c r="D26" s="11">
        <f t="shared" si="0"/>
        <v>1447</v>
      </c>
      <c r="E26" s="11">
        <f t="shared" si="1"/>
        <v>1</v>
      </c>
      <c r="F26" s="11">
        <f t="shared" si="2"/>
        <v>4338000000</v>
      </c>
      <c r="G26" s="11"/>
    </row>
    <row r="27" spans="1:12">
      <c r="A27" s="11" t="s">
        <v>360</v>
      </c>
      <c r="B27" s="3">
        <v>-200000</v>
      </c>
      <c r="C27" s="11">
        <v>1</v>
      </c>
      <c r="D27" s="11">
        <f t="shared" si="0"/>
        <v>1445</v>
      </c>
      <c r="E27" s="11">
        <f t="shared" si="1"/>
        <v>0</v>
      </c>
      <c r="F27" s="11">
        <f t="shared" si="2"/>
        <v>-289000000</v>
      </c>
      <c r="G27" s="11"/>
    </row>
    <row r="28" spans="1:12">
      <c r="A28" s="11" t="s">
        <v>359</v>
      </c>
      <c r="B28" s="3">
        <v>2000000</v>
      </c>
      <c r="C28" s="11">
        <v>1</v>
      </c>
      <c r="D28" s="11">
        <f t="shared" si="0"/>
        <v>1444</v>
      </c>
      <c r="E28" s="11">
        <f t="shared" si="1"/>
        <v>1</v>
      </c>
      <c r="F28" s="11">
        <f t="shared" si="2"/>
        <v>2886000000</v>
      </c>
      <c r="G28" s="11"/>
    </row>
    <row r="29" spans="1:12">
      <c r="A29" s="11" t="s">
        <v>358</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357</v>
      </c>
      <c r="B32" s="3">
        <v>994300</v>
      </c>
      <c r="C32" s="11">
        <v>6</v>
      </c>
      <c r="D32" s="11">
        <f t="shared" si="0"/>
        <v>1438</v>
      </c>
      <c r="E32" s="11">
        <f t="shared" si="1"/>
        <v>1</v>
      </c>
      <c r="F32" s="11">
        <f t="shared" si="2"/>
        <v>1428809100</v>
      </c>
      <c r="G32" s="11"/>
    </row>
    <row r="33" spans="1:7">
      <c r="A33" s="11" t="s">
        <v>355</v>
      </c>
      <c r="B33" s="3">
        <v>35091</v>
      </c>
      <c r="C33" s="11">
        <v>1</v>
      </c>
      <c r="D33" s="11">
        <f t="shared" si="0"/>
        <v>1432</v>
      </c>
      <c r="E33" s="11">
        <f t="shared" si="1"/>
        <v>1</v>
      </c>
      <c r="F33" s="11">
        <f t="shared" si="2"/>
        <v>50215221</v>
      </c>
      <c r="G33" s="11" t="s">
        <v>356</v>
      </c>
    </row>
    <row r="34" spans="1:7">
      <c r="A34" s="11" t="s">
        <v>354</v>
      </c>
      <c r="B34" s="3">
        <v>-850000</v>
      </c>
      <c r="C34" s="11">
        <v>8</v>
      </c>
      <c r="D34" s="11">
        <f t="shared" si="0"/>
        <v>1431</v>
      </c>
      <c r="E34" s="11">
        <f t="shared" si="1"/>
        <v>0</v>
      </c>
      <c r="F34" s="11">
        <f t="shared" si="2"/>
        <v>-1216350000</v>
      </c>
      <c r="G34" s="11"/>
    </row>
    <row r="35" spans="1:7">
      <c r="A35" s="23" t="s">
        <v>353</v>
      </c>
      <c r="B35" s="3">
        <v>-190500</v>
      </c>
      <c r="C35" s="11">
        <v>1</v>
      </c>
      <c r="D35" s="11">
        <f t="shared" si="0"/>
        <v>1423</v>
      </c>
      <c r="E35" s="11">
        <f t="shared" si="1"/>
        <v>0</v>
      </c>
      <c r="F35" s="11">
        <f t="shared" si="2"/>
        <v>-271081500</v>
      </c>
      <c r="G35" s="11"/>
    </row>
    <row r="36" spans="1:7">
      <c r="A36" s="33"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352</v>
      </c>
      <c r="B38" s="3">
        <v>300806</v>
      </c>
      <c r="C38" s="11">
        <v>1</v>
      </c>
      <c r="D38" s="11">
        <f t="shared" si="0"/>
        <v>1400</v>
      </c>
      <c r="E38" s="11">
        <f t="shared" si="1"/>
        <v>1</v>
      </c>
      <c r="F38" s="11">
        <f t="shared" si="2"/>
        <v>420827594</v>
      </c>
      <c r="G38" s="11" t="s">
        <v>376</v>
      </c>
    </row>
    <row r="39" spans="1:7">
      <c r="A39" s="11" t="s">
        <v>351</v>
      </c>
      <c r="B39" s="3">
        <v>-95000</v>
      </c>
      <c r="C39" s="11">
        <v>0</v>
      </c>
      <c r="D39" s="11">
        <f t="shared" si="0"/>
        <v>1399</v>
      </c>
      <c r="E39" s="11">
        <f t="shared" si="1"/>
        <v>0</v>
      </c>
      <c r="F39" s="11">
        <f t="shared" si="2"/>
        <v>-132905000</v>
      </c>
      <c r="G39" s="11"/>
    </row>
    <row r="40" spans="1:7">
      <c r="A40" s="11" t="s">
        <v>351</v>
      </c>
      <c r="B40" s="3">
        <v>-88103</v>
      </c>
      <c r="C40" s="11">
        <v>5</v>
      </c>
      <c r="D40" s="11">
        <f t="shared" si="0"/>
        <v>1399</v>
      </c>
      <c r="E40" s="11">
        <f t="shared" si="1"/>
        <v>0</v>
      </c>
      <c r="F40" s="11">
        <f t="shared" si="2"/>
        <v>-123256097</v>
      </c>
      <c r="G40" s="11"/>
    </row>
    <row r="41" spans="1:7">
      <c r="A41" s="11" t="s">
        <v>350</v>
      </c>
      <c r="B41" s="3">
        <v>-120000</v>
      </c>
      <c r="C41" s="11">
        <v>22</v>
      </c>
      <c r="D41" s="11">
        <f t="shared" si="0"/>
        <v>1394</v>
      </c>
      <c r="E41" s="11">
        <f t="shared" si="1"/>
        <v>0</v>
      </c>
      <c r="F41" s="11">
        <f t="shared" si="2"/>
        <v>-167280000</v>
      </c>
      <c r="G41" s="11"/>
    </row>
    <row r="42" spans="1:7">
      <c r="A42" s="11" t="s">
        <v>349</v>
      </c>
      <c r="B42" s="3">
        <v>1000204</v>
      </c>
      <c r="C42" s="11">
        <v>4</v>
      </c>
      <c r="D42" s="11">
        <f t="shared" si="0"/>
        <v>1372</v>
      </c>
      <c r="E42" s="11">
        <f t="shared" si="1"/>
        <v>1</v>
      </c>
      <c r="F42" s="11">
        <f t="shared" si="2"/>
        <v>1371279684</v>
      </c>
      <c r="G42" s="11" t="s">
        <v>377</v>
      </c>
    </row>
    <row r="43" spans="1:7">
      <c r="A43" s="11" t="s">
        <v>348</v>
      </c>
      <c r="B43" s="3">
        <v>-80000</v>
      </c>
      <c r="C43" s="11">
        <v>4</v>
      </c>
      <c r="D43" s="11">
        <f t="shared" si="0"/>
        <v>1368</v>
      </c>
      <c r="E43" s="11">
        <f t="shared" si="1"/>
        <v>0</v>
      </c>
      <c r="F43" s="11">
        <f t="shared" si="2"/>
        <v>-109440000</v>
      </c>
      <c r="G43" s="11"/>
    </row>
    <row r="44" spans="1:7">
      <c r="A44" s="11" t="s">
        <v>347</v>
      </c>
      <c r="B44" s="3">
        <v>-211029</v>
      </c>
      <c r="C44" s="11">
        <v>1</v>
      </c>
      <c r="D44" s="11">
        <f t="shared" si="0"/>
        <v>1364</v>
      </c>
      <c r="E44" s="11">
        <f t="shared" si="1"/>
        <v>0</v>
      </c>
      <c r="F44" s="11">
        <f t="shared" si="2"/>
        <v>-287843556</v>
      </c>
      <c r="G44" s="11"/>
    </row>
    <row r="45" spans="1:7">
      <c r="A45" s="11" t="s">
        <v>346</v>
      </c>
      <c r="B45" s="3">
        <v>-200000</v>
      </c>
      <c r="C45" s="11">
        <v>1</v>
      </c>
      <c r="D45" s="11">
        <f t="shared" si="0"/>
        <v>1363</v>
      </c>
      <c r="E45" s="11">
        <f t="shared" si="1"/>
        <v>0</v>
      </c>
      <c r="F45" s="11">
        <f t="shared" si="2"/>
        <v>-272600000</v>
      </c>
      <c r="G45" s="11"/>
    </row>
    <row r="46" spans="1:7">
      <c r="A46" s="11" t="s">
        <v>345</v>
      </c>
      <c r="B46" s="3">
        <v>-95000</v>
      </c>
      <c r="C46" s="11">
        <v>2</v>
      </c>
      <c r="D46" s="11">
        <f t="shared" si="0"/>
        <v>1362</v>
      </c>
      <c r="E46" s="11">
        <f t="shared" si="1"/>
        <v>0</v>
      </c>
      <c r="F46" s="11">
        <f t="shared" si="2"/>
        <v>-129390000</v>
      </c>
      <c r="G46" s="11"/>
    </row>
    <row r="47" spans="1:7">
      <c r="A47" s="11" t="s">
        <v>344</v>
      </c>
      <c r="B47" s="3">
        <v>-45000</v>
      </c>
      <c r="C47" s="11">
        <v>0</v>
      </c>
      <c r="D47" s="11">
        <f t="shared" si="0"/>
        <v>1360</v>
      </c>
      <c r="E47" s="11">
        <f t="shared" si="1"/>
        <v>0</v>
      </c>
      <c r="F47" s="11">
        <f t="shared" si="2"/>
        <v>-61200000</v>
      </c>
      <c r="G47" s="11"/>
    </row>
    <row r="48" spans="1:7">
      <c r="A48" s="11" t="s">
        <v>344</v>
      </c>
      <c r="B48" s="3">
        <v>-64180</v>
      </c>
      <c r="C48" s="11">
        <v>3</v>
      </c>
      <c r="D48" s="11">
        <f t="shared" si="0"/>
        <v>1360</v>
      </c>
      <c r="E48" s="11">
        <f t="shared" si="1"/>
        <v>0</v>
      </c>
      <c r="F48" s="11">
        <f t="shared" si="2"/>
        <v>-87284800</v>
      </c>
      <c r="G48" s="11"/>
    </row>
    <row r="49" spans="1:7">
      <c r="A49" s="11" t="s">
        <v>343</v>
      </c>
      <c r="B49" s="3">
        <v>-27484</v>
      </c>
      <c r="C49" s="11">
        <v>1</v>
      </c>
      <c r="D49" s="11">
        <f t="shared" si="0"/>
        <v>1357</v>
      </c>
      <c r="E49" s="11">
        <f t="shared" si="1"/>
        <v>0</v>
      </c>
      <c r="F49" s="11">
        <f t="shared" si="2"/>
        <v>-37295788</v>
      </c>
      <c r="G49" s="11"/>
    </row>
    <row r="50" spans="1:7">
      <c r="A50" s="11" t="s">
        <v>342</v>
      </c>
      <c r="B50" s="3">
        <v>-141000</v>
      </c>
      <c r="C50" s="11">
        <v>0</v>
      </c>
      <c r="D50" s="11">
        <f t="shared" si="0"/>
        <v>1356</v>
      </c>
      <c r="E50" s="11">
        <f t="shared" si="1"/>
        <v>0</v>
      </c>
      <c r="F50" s="11">
        <f t="shared" si="2"/>
        <v>-191196000</v>
      </c>
      <c r="G50" s="11"/>
    </row>
    <row r="51" spans="1:7">
      <c r="A51" s="11" t="s">
        <v>342</v>
      </c>
      <c r="B51" s="3">
        <v>-26746</v>
      </c>
      <c r="C51" s="11">
        <v>1</v>
      </c>
      <c r="D51" s="11">
        <f t="shared" si="0"/>
        <v>1356</v>
      </c>
      <c r="E51" s="11">
        <f t="shared" si="1"/>
        <v>0</v>
      </c>
      <c r="F51" s="11">
        <f t="shared" si="2"/>
        <v>-36267576</v>
      </c>
      <c r="G51" s="11"/>
    </row>
    <row r="52" spans="1:7">
      <c r="A52" s="11" t="s">
        <v>341</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340</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339</v>
      </c>
      <c r="B57" s="3">
        <v>3005189</v>
      </c>
      <c r="C57" s="11">
        <v>0</v>
      </c>
      <c r="D57" s="11">
        <f t="shared" si="0"/>
        <v>1334</v>
      </c>
      <c r="E57" s="11">
        <f t="shared" si="1"/>
        <v>1</v>
      </c>
      <c r="F57" s="11">
        <f t="shared" si="2"/>
        <v>4005916937</v>
      </c>
      <c r="G57" s="11" t="s">
        <v>378</v>
      </c>
    </row>
    <row r="58" spans="1:7">
      <c r="A58" s="11" t="s">
        <v>339</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338</v>
      </c>
      <c r="B61" s="3">
        <v>3000000</v>
      </c>
      <c r="C61" s="11">
        <v>1</v>
      </c>
      <c r="D61" s="11">
        <f t="shared" si="0"/>
        <v>1309</v>
      </c>
      <c r="E61" s="11">
        <f t="shared" si="1"/>
        <v>1</v>
      </c>
      <c r="F61" s="11">
        <f t="shared" si="2"/>
        <v>3924000000</v>
      </c>
      <c r="G61" s="11"/>
    </row>
    <row r="62" spans="1:7">
      <c r="A62" s="11" t="s">
        <v>337</v>
      </c>
      <c r="B62" s="3">
        <v>-27109</v>
      </c>
      <c r="C62" s="11">
        <v>0</v>
      </c>
      <c r="D62" s="11">
        <f t="shared" si="0"/>
        <v>1308</v>
      </c>
      <c r="E62" s="11">
        <f t="shared" si="1"/>
        <v>0</v>
      </c>
      <c r="F62" s="11">
        <f t="shared" si="2"/>
        <v>-35458572</v>
      </c>
      <c r="G62" s="11"/>
    </row>
    <row r="63" spans="1:7">
      <c r="A63" s="11" t="s">
        <v>337</v>
      </c>
      <c r="B63" s="3">
        <v>-32989</v>
      </c>
      <c r="C63" s="11">
        <v>0</v>
      </c>
      <c r="D63" s="11">
        <f t="shared" si="0"/>
        <v>1308</v>
      </c>
      <c r="E63" s="11">
        <f t="shared" si="1"/>
        <v>0</v>
      </c>
      <c r="F63" s="11">
        <f t="shared" si="2"/>
        <v>-43149612</v>
      </c>
      <c r="G63" s="11"/>
    </row>
    <row r="64" spans="1:7">
      <c r="A64" s="11" t="s">
        <v>337</v>
      </c>
      <c r="B64" s="3">
        <v>3000000</v>
      </c>
      <c r="C64" s="11">
        <v>0</v>
      </c>
      <c r="D64" s="11">
        <f t="shared" si="0"/>
        <v>1308</v>
      </c>
      <c r="E64" s="11">
        <f t="shared" si="1"/>
        <v>1</v>
      </c>
      <c r="F64" s="11">
        <f t="shared" si="2"/>
        <v>3921000000</v>
      </c>
      <c r="G64" s="11"/>
    </row>
    <row r="65" spans="1:7">
      <c r="A65" s="11" t="s">
        <v>337</v>
      </c>
      <c r="B65" s="3">
        <v>2970000</v>
      </c>
      <c r="C65" s="11">
        <v>0</v>
      </c>
      <c r="D65" s="11">
        <f t="shared" si="0"/>
        <v>1308</v>
      </c>
      <c r="E65" s="11">
        <f t="shared" si="1"/>
        <v>1</v>
      </c>
      <c r="F65" s="11">
        <f t="shared" si="2"/>
        <v>3881790000</v>
      </c>
      <c r="G65" s="11"/>
    </row>
    <row r="66" spans="1:7">
      <c r="A66" s="11" t="s">
        <v>337</v>
      </c>
      <c r="B66" s="3">
        <v>1000000</v>
      </c>
      <c r="C66" s="11">
        <v>0</v>
      </c>
      <c r="D66" s="11">
        <f t="shared" ref="D66:D129" si="3">D67+C66</f>
        <v>1308</v>
      </c>
      <c r="E66" s="11">
        <f t="shared" si="1"/>
        <v>1</v>
      </c>
      <c r="F66" s="11">
        <f t="shared" si="2"/>
        <v>1307000000</v>
      </c>
      <c r="G66" s="11"/>
    </row>
    <row r="67" spans="1:7">
      <c r="A67" s="11" t="s">
        <v>337</v>
      </c>
      <c r="B67" s="3">
        <v>30000</v>
      </c>
      <c r="C67" s="11">
        <v>1</v>
      </c>
      <c r="D67" s="11">
        <f t="shared" si="3"/>
        <v>1308</v>
      </c>
      <c r="E67" s="11">
        <f t="shared" ref="E67:E130" si="4">IF(B67&gt;0,1,0)</f>
        <v>1</v>
      </c>
      <c r="F67" s="11">
        <f t="shared" ref="F67:F249" si="5">B67*(D67-E67)</f>
        <v>39210000</v>
      </c>
      <c r="G67" s="11"/>
    </row>
    <row r="68" spans="1:7">
      <c r="A68" s="11" t="s">
        <v>336</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335</v>
      </c>
      <c r="B70" s="3">
        <v>1400000</v>
      </c>
      <c r="C70" s="11">
        <v>0</v>
      </c>
      <c r="D70" s="11">
        <f t="shared" si="3"/>
        <v>1306</v>
      </c>
      <c r="E70" s="11">
        <f t="shared" si="4"/>
        <v>1</v>
      </c>
      <c r="F70" s="11">
        <f t="shared" si="5"/>
        <v>1827000000</v>
      </c>
      <c r="G70" s="11"/>
    </row>
    <row r="71" spans="1:7">
      <c r="A71" s="11" t="s">
        <v>335</v>
      </c>
      <c r="B71" s="3">
        <v>2600000</v>
      </c>
      <c r="C71" s="11">
        <v>0</v>
      </c>
      <c r="D71" s="11">
        <f t="shared" si="3"/>
        <v>1306</v>
      </c>
      <c r="E71" s="11">
        <f t="shared" si="4"/>
        <v>1</v>
      </c>
      <c r="F71" s="11">
        <f t="shared" si="5"/>
        <v>3393000000</v>
      </c>
      <c r="G71" s="11"/>
    </row>
    <row r="72" spans="1:7">
      <c r="A72" s="11" t="s">
        <v>335</v>
      </c>
      <c r="B72" s="3">
        <v>-1000000</v>
      </c>
      <c r="C72" s="11">
        <v>2</v>
      </c>
      <c r="D72" s="11">
        <f t="shared" si="3"/>
        <v>1306</v>
      </c>
      <c r="E72" s="11">
        <f t="shared" si="4"/>
        <v>0</v>
      </c>
      <c r="F72" s="11">
        <f t="shared" si="5"/>
        <v>-1306000000</v>
      </c>
      <c r="G72" s="11"/>
    </row>
    <row r="73" spans="1:7">
      <c r="A73" s="11" t="s">
        <v>334</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333</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332</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331</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330</v>
      </c>
      <c r="B88" s="3">
        <v>-500000</v>
      </c>
      <c r="C88" s="11">
        <v>0</v>
      </c>
      <c r="D88" s="11">
        <f t="shared" si="3"/>
        <v>1254</v>
      </c>
      <c r="E88" s="11">
        <f t="shared" si="4"/>
        <v>0</v>
      </c>
      <c r="F88" s="11">
        <f t="shared" si="5"/>
        <v>-627000000</v>
      </c>
      <c r="G88" s="11"/>
    </row>
    <row r="89" spans="1:10">
      <c r="A89" s="11" t="s">
        <v>329</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318</v>
      </c>
    </row>
    <row r="92" spans="1:10">
      <c r="A92" s="23" t="s">
        <v>317</v>
      </c>
      <c r="B92" s="3">
        <v>-205000</v>
      </c>
      <c r="C92" s="11">
        <v>0</v>
      </c>
      <c r="D92" s="11">
        <f t="shared" si="3"/>
        <v>1247</v>
      </c>
      <c r="E92" s="11">
        <f t="shared" si="4"/>
        <v>0</v>
      </c>
      <c r="F92" s="11">
        <f t="shared" si="5"/>
        <v>-255635000</v>
      </c>
      <c r="G92" s="11" t="s">
        <v>319</v>
      </c>
    </row>
    <row r="93" spans="1:10">
      <c r="A93" s="11" t="s">
        <v>315</v>
      </c>
      <c r="B93" s="3">
        <v>-350500</v>
      </c>
      <c r="C93" s="11">
        <v>11</v>
      </c>
      <c r="D93" s="11">
        <f t="shared" si="3"/>
        <v>1247</v>
      </c>
      <c r="E93" s="11">
        <f t="shared" si="4"/>
        <v>0</v>
      </c>
      <c r="F93" s="11">
        <f t="shared" si="5"/>
        <v>-437073500</v>
      </c>
      <c r="G93" s="11" t="s">
        <v>316</v>
      </c>
    </row>
    <row r="94" spans="1:10">
      <c r="A94" s="11" t="s">
        <v>313</v>
      </c>
      <c r="B94" s="3">
        <v>1000000</v>
      </c>
      <c r="C94" s="11">
        <v>5</v>
      </c>
      <c r="D94" s="11">
        <f t="shared" si="3"/>
        <v>1236</v>
      </c>
      <c r="E94" s="11">
        <f t="shared" si="4"/>
        <v>1</v>
      </c>
      <c r="F94" s="11">
        <f t="shared" si="5"/>
        <v>1235000000</v>
      </c>
      <c r="G94" s="11" t="s">
        <v>314</v>
      </c>
    </row>
    <row r="95" spans="1:10">
      <c r="A95" s="11" t="s">
        <v>324</v>
      </c>
      <c r="B95" s="3">
        <v>9000000</v>
      </c>
      <c r="C95" s="11">
        <v>2</v>
      </c>
      <c r="D95" s="11">
        <f t="shared" si="3"/>
        <v>1231</v>
      </c>
      <c r="E95" s="11">
        <f t="shared" si="4"/>
        <v>1</v>
      </c>
      <c r="F95" s="11">
        <f t="shared" si="5"/>
        <v>11070000000</v>
      </c>
      <c r="G95" s="11" t="s">
        <v>326</v>
      </c>
      <c r="J95" s="25"/>
    </row>
    <row r="96" spans="1:10">
      <c r="A96" s="11" t="s">
        <v>327</v>
      </c>
      <c r="B96" s="3">
        <v>-26000000</v>
      </c>
      <c r="C96" s="11">
        <v>0</v>
      </c>
      <c r="D96" s="11">
        <f t="shared" si="3"/>
        <v>1229</v>
      </c>
      <c r="E96" s="11">
        <f t="shared" si="4"/>
        <v>0</v>
      </c>
      <c r="F96" s="11">
        <f t="shared" si="5"/>
        <v>-31954000000</v>
      </c>
      <c r="G96" s="11" t="s">
        <v>328</v>
      </c>
    </row>
    <row r="97" spans="1:9">
      <c r="A97" s="11" t="s">
        <v>327</v>
      </c>
      <c r="B97" s="3">
        <v>-26000000</v>
      </c>
      <c r="C97" s="11">
        <v>0</v>
      </c>
      <c r="D97" s="11">
        <f t="shared" si="3"/>
        <v>1229</v>
      </c>
      <c r="E97" s="11">
        <f t="shared" si="4"/>
        <v>0</v>
      </c>
      <c r="F97" s="11">
        <f t="shared" si="5"/>
        <v>-31954000000</v>
      </c>
      <c r="G97" s="11"/>
    </row>
    <row r="98" spans="1:9">
      <c r="A98" s="11" t="s">
        <v>327</v>
      </c>
      <c r="B98" s="3">
        <v>26000000</v>
      </c>
      <c r="C98" s="11">
        <v>0</v>
      </c>
      <c r="D98" s="11">
        <f t="shared" si="3"/>
        <v>1229</v>
      </c>
      <c r="E98" s="11">
        <f t="shared" si="4"/>
        <v>1</v>
      </c>
      <c r="F98" s="11">
        <f t="shared" si="5"/>
        <v>31928000000</v>
      </c>
      <c r="G98" s="11"/>
    </row>
    <row r="99" spans="1:9">
      <c r="A99" s="11" t="s">
        <v>327</v>
      </c>
      <c r="B99" s="3">
        <v>-200000</v>
      </c>
      <c r="C99" s="11">
        <v>2</v>
      </c>
      <c r="D99" s="11">
        <f t="shared" si="3"/>
        <v>1229</v>
      </c>
      <c r="E99" s="11">
        <f t="shared" si="4"/>
        <v>0</v>
      </c>
      <c r="F99" s="11">
        <f t="shared" si="5"/>
        <v>-245800000</v>
      </c>
      <c r="G99" s="11"/>
      <c r="I99" t="s">
        <v>25</v>
      </c>
    </row>
    <row r="100" spans="1:9">
      <c r="A100" s="11" t="s">
        <v>379</v>
      </c>
      <c r="B100" s="3">
        <v>29200000</v>
      </c>
      <c r="C100" s="11">
        <v>5</v>
      </c>
      <c r="D100" s="11">
        <f t="shared" si="3"/>
        <v>1227</v>
      </c>
      <c r="E100" s="11">
        <f t="shared" si="4"/>
        <v>1</v>
      </c>
      <c r="F100" s="11">
        <f t="shared" si="5"/>
        <v>35799200000</v>
      </c>
      <c r="G100" s="11"/>
    </row>
    <row r="101" spans="1:9">
      <c r="A101" s="11" t="s">
        <v>380</v>
      </c>
      <c r="B101" s="3">
        <v>399945</v>
      </c>
      <c r="C101" s="11">
        <v>1</v>
      </c>
      <c r="D101" s="11">
        <f t="shared" si="3"/>
        <v>1222</v>
      </c>
      <c r="E101" s="11">
        <f t="shared" si="4"/>
        <v>1</v>
      </c>
      <c r="F101" s="11">
        <f t="shared" si="5"/>
        <v>488332845</v>
      </c>
      <c r="G101" s="11" t="s">
        <v>381</v>
      </c>
    </row>
    <row r="102" spans="1:9">
      <c r="A102" s="11" t="s">
        <v>382</v>
      </c>
      <c r="B102" s="3">
        <v>2000000</v>
      </c>
      <c r="C102" s="11">
        <v>1</v>
      </c>
      <c r="D102" s="11">
        <f t="shared" si="3"/>
        <v>1221</v>
      </c>
      <c r="E102" s="11">
        <f t="shared" si="4"/>
        <v>1</v>
      </c>
      <c r="F102" s="11">
        <f t="shared" si="5"/>
        <v>2440000000</v>
      </c>
      <c r="G102" s="11" t="s">
        <v>383</v>
      </c>
    </row>
    <row r="103" spans="1:9">
      <c r="A103" s="11" t="s">
        <v>390</v>
      </c>
      <c r="B103" s="3">
        <v>7500000</v>
      </c>
      <c r="C103" s="11">
        <v>0</v>
      </c>
      <c r="D103" s="11">
        <f t="shared" si="3"/>
        <v>1220</v>
      </c>
      <c r="E103" s="11">
        <f t="shared" si="4"/>
        <v>1</v>
      </c>
      <c r="F103" s="11">
        <f t="shared" si="5"/>
        <v>9142500000</v>
      </c>
      <c r="G103" s="11" t="s">
        <v>391</v>
      </c>
    </row>
    <row r="104" spans="1:9">
      <c r="A104" s="11" t="s">
        <v>390</v>
      </c>
      <c r="B104" s="3">
        <v>-66000000</v>
      </c>
      <c r="C104" s="11">
        <v>0</v>
      </c>
      <c r="D104" s="11">
        <f t="shared" si="3"/>
        <v>1220</v>
      </c>
      <c r="E104" s="11">
        <f t="shared" si="4"/>
        <v>0</v>
      </c>
      <c r="F104" s="11">
        <f t="shared" si="5"/>
        <v>-80520000000</v>
      </c>
      <c r="G104" s="11" t="s">
        <v>405</v>
      </c>
    </row>
    <row r="105" spans="1:9">
      <c r="A105" s="11" t="s">
        <v>390</v>
      </c>
      <c r="B105" s="3">
        <v>-145000</v>
      </c>
      <c r="C105" s="11">
        <v>2</v>
      </c>
      <c r="D105" s="11">
        <f t="shared" si="3"/>
        <v>1220</v>
      </c>
      <c r="E105" s="11">
        <f t="shared" si="4"/>
        <v>0</v>
      </c>
      <c r="F105" s="11">
        <f t="shared" si="5"/>
        <v>-176900000</v>
      </c>
      <c r="G105" s="11" t="s">
        <v>406</v>
      </c>
    </row>
    <row r="106" spans="1:9">
      <c r="A106" s="11" t="s">
        <v>402</v>
      </c>
      <c r="B106" s="3">
        <v>6000000</v>
      </c>
      <c r="C106" s="11">
        <v>2</v>
      </c>
      <c r="D106" s="11">
        <f t="shared" si="3"/>
        <v>1218</v>
      </c>
      <c r="E106" s="11">
        <f t="shared" si="4"/>
        <v>1</v>
      </c>
      <c r="F106" s="11">
        <f t="shared" si="5"/>
        <v>7302000000</v>
      </c>
      <c r="G106" s="11" t="s">
        <v>407</v>
      </c>
    </row>
    <row r="107" spans="1:9">
      <c r="A107" s="11" t="s">
        <v>415</v>
      </c>
      <c r="B107" s="3">
        <v>-6005900</v>
      </c>
      <c r="C107" s="11">
        <v>3</v>
      </c>
      <c r="D107" s="11">
        <f t="shared" si="3"/>
        <v>1216</v>
      </c>
      <c r="E107" s="11">
        <f t="shared" si="4"/>
        <v>0</v>
      </c>
      <c r="F107" s="11">
        <f t="shared" si="5"/>
        <v>-7303174400</v>
      </c>
      <c r="G107" s="11" t="s">
        <v>417</v>
      </c>
    </row>
    <row r="108" spans="1:9">
      <c r="A108" s="11" t="s">
        <v>420</v>
      </c>
      <c r="B108" s="3">
        <v>6000000</v>
      </c>
      <c r="C108" s="11">
        <v>12</v>
      </c>
      <c r="D108" s="11">
        <f t="shared" si="3"/>
        <v>1213</v>
      </c>
      <c r="E108" s="11">
        <f t="shared" si="4"/>
        <v>1</v>
      </c>
      <c r="F108" s="11">
        <f t="shared" si="5"/>
        <v>7272000000</v>
      </c>
      <c r="G108" s="11" t="s">
        <v>425</v>
      </c>
    </row>
    <row r="109" spans="1:9">
      <c r="A109" s="11" t="s">
        <v>438</v>
      </c>
      <c r="B109" s="3">
        <v>-120000</v>
      </c>
      <c r="C109" s="11">
        <v>1</v>
      </c>
      <c r="D109" s="11">
        <f t="shared" si="3"/>
        <v>1201</v>
      </c>
      <c r="E109" s="11">
        <f t="shared" si="4"/>
        <v>0</v>
      </c>
      <c r="F109" s="11">
        <f t="shared" si="5"/>
        <v>-144120000</v>
      </c>
      <c r="G109" s="11" t="s">
        <v>439</v>
      </c>
    </row>
    <row r="110" spans="1:9">
      <c r="A110" s="11" t="s">
        <v>440</v>
      </c>
      <c r="B110" s="3">
        <v>4000000</v>
      </c>
      <c r="C110" s="11">
        <v>1</v>
      </c>
      <c r="D110" s="11">
        <f t="shared" si="3"/>
        <v>1200</v>
      </c>
      <c r="E110" s="11">
        <f t="shared" si="4"/>
        <v>1</v>
      </c>
      <c r="F110" s="11">
        <f t="shared" si="5"/>
        <v>4796000000</v>
      </c>
      <c r="G110" s="11" t="s">
        <v>441</v>
      </c>
    </row>
    <row r="111" spans="1:9">
      <c r="A111" s="11" t="s">
        <v>445</v>
      </c>
      <c r="B111" s="3">
        <v>2800000</v>
      </c>
      <c r="C111" s="11">
        <v>4</v>
      </c>
      <c r="D111" s="11">
        <f t="shared" si="3"/>
        <v>1199</v>
      </c>
      <c r="E111" s="11">
        <f t="shared" si="4"/>
        <v>1</v>
      </c>
      <c r="F111" s="11">
        <f t="shared" si="5"/>
        <v>3354400000</v>
      </c>
      <c r="G111" s="11" t="s">
        <v>446</v>
      </c>
    </row>
    <row r="112" spans="1:9">
      <c r="A112" s="11" t="s">
        <v>450</v>
      </c>
      <c r="B112" s="3">
        <v>-200000</v>
      </c>
      <c r="C112" s="11">
        <v>1</v>
      </c>
      <c r="D112" s="11">
        <f t="shared" si="3"/>
        <v>1195</v>
      </c>
      <c r="E112" s="11">
        <f t="shared" si="4"/>
        <v>0</v>
      </c>
      <c r="F112" s="11">
        <f t="shared" si="5"/>
        <v>-239000000</v>
      </c>
      <c r="G112" s="11" t="s">
        <v>452</v>
      </c>
    </row>
    <row r="113" spans="1:10">
      <c r="A113" s="11" t="s">
        <v>451</v>
      </c>
      <c r="B113" s="3">
        <v>72310</v>
      </c>
      <c r="C113" s="11">
        <v>17</v>
      </c>
      <c r="D113" s="11">
        <f t="shared" si="3"/>
        <v>1194</v>
      </c>
      <c r="E113" s="11">
        <f t="shared" si="4"/>
        <v>1</v>
      </c>
      <c r="F113" s="11">
        <f t="shared" si="5"/>
        <v>86265830</v>
      </c>
      <c r="G113" s="11" t="s">
        <v>475</v>
      </c>
    </row>
    <row r="114" spans="1:10">
      <c r="A114" s="11" t="s">
        <v>471</v>
      </c>
      <c r="B114" s="3">
        <v>-200000</v>
      </c>
      <c r="C114" s="11">
        <v>1</v>
      </c>
      <c r="D114" s="11">
        <f t="shared" si="3"/>
        <v>1177</v>
      </c>
      <c r="E114" s="11">
        <f t="shared" si="4"/>
        <v>0</v>
      </c>
      <c r="F114" s="11">
        <f t="shared" si="5"/>
        <v>-235400000</v>
      </c>
      <c r="G114" s="11" t="s">
        <v>439</v>
      </c>
      <c r="J114" t="s">
        <v>25</v>
      </c>
    </row>
    <row r="115" spans="1:10">
      <c r="A115" s="23" t="s">
        <v>472</v>
      </c>
      <c r="B115" s="31">
        <v>-11000000</v>
      </c>
      <c r="C115" s="23">
        <v>0</v>
      </c>
      <c r="D115" s="11">
        <f t="shared" si="3"/>
        <v>1176</v>
      </c>
      <c r="E115" s="11">
        <f t="shared" si="4"/>
        <v>0</v>
      </c>
      <c r="F115" s="23">
        <f t="shared" si="5"/>
        <v>-12936000000</v>
      </c>
      <c r="G115" s="23" t="s">
        <v>476</v>
      </c>
    </row>
    <row r="116" spans="1:10">
      <c r="A116" s="11" t="s">
        <v>472</v>
      </c>
      <c r="B116" s="3">
        <v>-200000</v>
      </c>
      <c r="C116" s="11">
        <v>2</v>
      </c>
      <c r="D116" s="11">
        <f t="shared" si="3"/>
        <v>1176</v>
      </c>
      <c r="E116" s="11">
        <f t="shared" si="4"/>
        <v>0</v>
      </c>
      <c r="F116" s="11">
        <f t="shared" si="5"/>
        <v>-235200000</v>
      </c>
      <c r="G116" s="11" t="s">
        <v>439</v>
      </c>
      <c r="I116" t="s">
        <v>25</v>
      </c>
    </row>
    <row r="117" spans="1:10">
      <c r="A117" s="11" t="s">
        <v>477</v>
      </c>
      <c r="B117" s="3">
        <v>-450500</v>
      </c>
      <c r="C117" s="11">
        <v>0</v>
      </c>
      <c r="D117" s="11">
        <f t="shared" si="3"/>
        <v>1174</v>
      </c>
      <c r="E117" s="11">
        <f t="shared" si="4"/>
        <v>0</v>
      </c>
      <c r="F117" s="11">
        <f t="shared" si="5"/>
        <v>-528887000</v>
      </c>
      <c r="G117" s="11" t="s">
        <v>478</v>
      </c>
    </row>
    <row r="118" spans="1:10">
      <c r="A118" s="11" t="s">
        <v>477</v>
      </c>
      <c r="B118" s="3">
        <v>-200000</v>
      </c>
      <c r="C118" s="11">
        <v>6</v>
      </c>
      <c r="D118" s="11">
        <f t="shared" si="3"/>
        <v>1174</v>
      </c>
      <c r="E118" s="11">
        <f t="shared" si="4"/>
        <v>0</v>
      </c>
      <c r="F118" s="11">
        <f t="shared" si="5"/>
        <v>-234800000</v>
      </c>
      <c r="G118" s="11" t="s">
        <v>479</v>
      </c>
      <c r="J118" t="s">
        <v>25</v>
      </c>
    </row>
    <row r="119" spans="1:10">
      <c r="A119" s="11" t="s">
        <v>481</v>
      </c>
      <c r="B119" s="3">
        <v>-154550</v>
      </c>
      <c r="C119" s="11">
        <v>0</v>
      </c>
      <c r="D119" s="11">
        <f t="shared" si="3"/>
        <v>1168</v>
      </c>
      <c r="E119" s="11">
        <f t="shared" si="4"/>
        <v>0</v>
      </c>
      <c r="F119" s="11">
        <f t="shared" si="5"/>
        <v>-180514400</v>
      </c>
      <c r="G119" s="11" t="s">
        <v>482</v>
      </c>
    </row>
    <row r="120" spans="1:10">
      <c r="A120" s="11" t="s">
        <v>481</v>
      </c>
      <c r="B120" s="3">
        <v>-320</v>
      </c>
      <c r="C120" s="11">
        <v>1</v>
      </c>
      <c r="D120" s="11">
        <f t="shared" si="3"/>
        <v>1168</v>
      </c>
      <c r="E120" s="11">
        <f t="shared" si="4"/>
        <v>0</v>
      </c>
      <c r="F120" s="11">
        <f t="shared" si="5"/>
        <v>-373760</v>
      </c>
      <c r="G120" s="11" t="s">
        <v>483</v>
      </c>
    </row>
    <row r="121" spans="1:10">
      <c r="A121" s="11" t="s">
        <v>484</v>
      </c>
      <c r="B121" s="3">
        <v>-432000</v>
      </c>
      <c r="C121" s="11">
        <v>6</v>
      </c>
      <c r="D121" s="11">
        <f t="shared" si="3"/>
        <v>1167</v>
      </c>
      <c r="E121" s="11">
        <f t="shared" si="4"/>
        <v>0</v>
      </c>
      <c r="F121" s="11">
        <f t="shared" si="5"/>
        <v>-504144000</v>
      </c>
      <c r="G121" s="11" t="s">
        <v>485</v>
      </c>
    </row>
    <row r="122" spans="1:10">
      <c r="A122" s="11" t="s">
        <v>486</v>
      </c>
      <c r="B122" s="3">
        <v>74043</v>
      </c>
      <c r="C122" s="11">
        <v>21</v>
      </c>
      <c r="D122" s="11">
        <f t="shared" si="3"/>
        <v>1161</v>
      </c>
      <c r="E122" s="11">
        <f t="shared" si="4"/>
        <v>1</v>
      </c>
      <c r="F122" s="11">
        <f t="shared" si="5"/>
        <v>85889880</v>
      </c>
      <c r="G122" s="11" t="s">
        <v>487</v>
      </c>
    </row>
    <row r="123" spans="1:10">
      <c r="A123" s="11" t="s">
        <v>509</v>
      </c>
      <c r="B123" s="3">
        <v>-52000</v>
      </c>
      <c r="C123" s="11">
        <v>41</v>
      </c>
      <c r="D123" s="11">
        <f t="shared" si="3"/>
        <v>1140</v>
      </c>
      <c r="E123" s="11">
        <f t="shared" si="4"/>
        <v>0</v>
      </c>
      <c r="F123" s="11">
        <f t="shared" si="5"/>
        <v>-59280000</v>
      </c>
      <c r="G123" s="11" t="s">
        <v>511</v>
      </c>
    </row>
    <row r="124" spans="1:10">
      <c r="A124" s="11" t="s">
        <v>558</v>
      </c>
      <c r="B124" s="3">
        <v>1187</v>
      </c>
      <c r="C124" s="11">
        <v>1</v>
      </c>
      <c r="D124" s="11">
        <f t="shared" si="3"/>
        <v>1099</v>
      </c>
      <c r="E124" s="11">
        <f t="shared" si="4"/>
        <v>1</v>
      </c>
      <c r="F124" s="11">
        <f t="shared" si="5"/>
        <v>1303326</v>
      </c>
      <c r="G124" s="11" t="s">
        <v>559</v>
      </c>
    </row>
    <row r="125" spans="1:10">
      <c r="A125" s="11" t="s">
        <v>556</v>
      </c>
      <c r="B125" s="3">
        <v>2400000</v>
      </c>
      <c r="C125" s="11">
        <v>2</v>
      </c>
      <c r="D125" s="11">
        <f t="shared" si="3"/>
        <v>1098</v>
      </c>
      <c r="E125" s="11">
        <f t="shared" si="4"/>
        <v>1</v>
      </c>
      <c r="F125" s="11">
        <f t="shared" si="5"/>
        <v>2632800000</v>
      </c>
      <c r="G125" s="11" t="s">
        <v>557</v>
      </c>
    </row>
    <row r="126" spans="1:10">
      <c r="A126" s="11" t="s">
        <v>565</v>
      </c>
      <c r="B126" s="3">
        <v>1342800</v>
      </c>
      <c r="C126" s="11">
        <v>0</v>
      </c>
      <c r="D126" s="11">
        <f t="shared" si="3"/>
        <v>1096</v>
      </c>
      <c r="E126" s="11">
        <f t="shared" si="4"/>
        <v>1</v>
      </c>
      <c r="F126" s="11">
        <f t="shared" si="5"/>
        <v>1470366000</v>
      </c>
      <c r="G126" s="11" t="s">
        <v>566</v>
      </c>
    </row>
    <row r="127" spans="1:10">
      <c r="A127" s="11" t="s">
        <v>565</v>
      </c>
      <c r="B127" s="3">
        <v>1342800</v>
      </c>
      <c r="C127" s="11">
        <v>12</v>
      </c>
      <c r="D127" s="11">
        <f t="shared" si="3"/>
        <v>1096</v>
      </c>
      <c r="E127" s="11">
        <f t="shared" si="4"/>
        <v>1</v>
      </c>
      <c r="F127" s="11">
        <f t="shared" si="5"/>
        <v>1470366000</v>
      </c>
      <c r="G127" s="11" t="s">
        <v>567</v>
      </c>
    </row>
    <row r="128" spans="1:10">
      <c r="A128" s="11" t="s">
        <v>574</v>
      </c>
      <c r="B128" s="3">
        <v>-200000</v>
      </c>
      <c r="C128" s="11">
        <v>2</v>
      </c>
      <c r="D128" s="11">
        <f t="shared" si="3"/>
        <v>1084</v>
      </c>
      <c r="E128" s="11">
        <f t="shared" si="4"/>
        <v>0</v>
      </c>
      <c r="F128" s="11">
        <f t="shared" si="5"/>
        <v>-216800000</v>
      </c>
      <c r="G128" s="11" t="s">
        <v>158</v>
      </c>
    </row>
    <row r="129" spans="1:11">
      <c r="A129" s="11" t="s">
        <v>575</v>
      </c>
      <c r="B129" s="3">
        <v>-15618</v>
      </c>
      <c r="C129" s="11">
        <v>1</v>
      </c>
      <c r="D129" s="11">
        <f t="shared" si="3"/>
        <v>1082</v>
      </c>
      <c r="E129" s="11">
        <f t="shared" si="4"/>
        <v>0</v>
      </c>
      <c r="F129" s="11">
        <f>B129*(D129-E129)</f>
        <v>-16898676</v>
      </c>
      <c r="G129" s="11" t="s">
        <v>576</v>
      </c>
      <c r="K129" t="s">
        <v>25</v>
      </c>
    </row>
    <row r="130" spans="1:11">
      <c r="A130" s="11" t="s">
        <v>577</v>
      </c>
      <c r="B130" s="3">
        <v>-200000</v>
      </c>
      <c r="C130" s="11">
        <v>1</v>
      </c>
      <c r="D130" s="11">
        <f t="shared" ref="D130:D185" si="6">D131+C130</f>
        <v>1081</v>
      </c>
      <c r="E130" s="11">
        <f t="shared" si="4"/>
        <v>0</v>
      </c>
      <c r="F130" s="11">
        <f t="shared" si="5"/>
        <v>-216200000</v>
      </c>
      <c r="G130" s="11" t="s">
        <v>479</v>
      </c>
    </row>
    <row r="131" spans="1:11">
      <c r="A131" s="11" t="s">
        <v>579</v>
      </c>
      <c r="B131" s="3">
        <v>-200000</v>
      </c>
      <c r="C131" s="11">
        <v>1</v>
      </c>
      <c r="D131" s="11">
        <f t="shared" si="6"/>
        <v>1080</v>
      </c>
      <c r="E131" s="11">
        <f t="shared" ref="E131:E248" si="7">IF(B131&gt;0,1,0)</f>
        <v>0</v>
      </c>
      <c r="F131" s="11">
        <f t="shared" si="5"/>
        <v>-216000000</v>
      </c>
      <c r="G131" s="11" t="s">
        <v>580</v>
      </c>
    </row>
    <row r="132" spans="1:11">
      <c r="A132" s="11" t="s">
        <v>581</v>
      </c>
      <c r="B132" s="3">
        <v>-390000</v>
      </c>
      <c r="C132" s="11">
        <v>0</v>
      </c>
      <c r="D132" s="11">
        <f t="shared" si="6"/>
        <v>1079</v>
      </c>
      <c r="E132" s="11">
        <f t="shared" si="7"/>
        <v>0</v>
      </c>
      <c r="F132" s="11">
        <f t="shared" si="5"/>
        <v>-420810000</v>
      </c>
      <c r="G132" s="11" t="s">
        <v>582</v>
      </c>
    </row>
    <row r="133" spans="1:11">
      <c r="A133" s="11" t="s">
        <v>581</v>
      </c>
      <c r="B133" s="3">
        <v>-24500</v>
      </c>
      <c r="C133" s="11">
        <v>1</v>
      </c>
      <c r="D133" s="11">
        <f t="shared" si="6"/>
        <v>1079</v>
      </c>
      <c r="E133" s="11">
        <f t="shared" si="7"/>
        <v>0</v>
      </c>
      <c r="F133" s="11">
        <f t="shared" si="5"/>
        <v>-26435500</v>
      </c>
      <c r="G133" s="11" t="s">
        <v>583</v>
      </c>
    </row>
    <row r="134" spans="1:11">
      <c r="A134" s="11" t="s">
        <v>584</v>
      </c>
      <c r="B134" s="3">
        <v>-95000</v>
      </c>
      <c r="C134" s="11">
        <v>4</v>
      </c>
      <c r="D134" s="11">
        <f t="shared" si="6"/>
        <v>1078</v>
      </c>
      <c r="E134" s="11">
        <f t="shared" si="7"/>
        <v>0</v>
      </c>
      <c r="F134" s="11">
        <f t="shared" si="5"/>
        <v>-102410000</v>
      </c>
      <c r="G134" s="11" t="s">
        <v>439</v>
      </c>
    </row>
    <row r="135" spans="1:11">
      <c r="A135" s="11" t="s">
        <v>586</v>
      </c>
      <c r="B135" s="3">
        <v>-200000</v>
      </c>
      <c r="C135" s="11">
        <v>2</v>
      </c>
      <c r="D135" s="11">
        <f t="shared" si="6"/>
        <v>1074</v>
      </c>
      <c r="E135" s="11">
        <f t="shared" si="7"/>
        <v>0</v>
      </c>
      <c r="F135" s="11">
        <f t="shared" si="5"/>
        <v>-214800000</v>
      </c>
      <c r="G135" s="11" t="s">
        <v>587</v>
      </c>
    </row>
    <row r="136" spans="1:11">
      <c r="A136" s="11" t="s">
        <v>589</v>
      </c>
      <c r="B136" s="3">
        <v>50000000</v>
      </c>
      <c r="C136" s="11">
        <v>1</v>
      </c>
      <c r="D136" s="11">
        <f t="shared" si="6"/>
        <v>1072</v>
      </c>
      <c r="E136" s="11">
        <f t="shared" si="7"/>
        <v>1</v>
      </c>
      <c r="F136" s="11">
        <f t="shared" si="5"/>
        <v>53550000000</v>
      </c>
      <c r="G136" s="11" t="s">
        <v>590</v>
      </c>
    </row>
    <row r="137" spans="1:11">
      <c r="A137" s="11" t="s">
        <v>595</v>
      </c>
      <c r="B137" s="3">
        <v>12000000</v>
      </c>
      <c r="C137" s="11">
        <v>2</v>
      </c>
      <c r="D137" s="11">
        <f t="shared" si="6"/>
        <v>1071</v>
      </c>
      <c r="E137" s="11">
        <f t="shared" si="7"/>
        <v>1</v>
      </c>
      <c r="F137" s="11">
        <f t="shared" si="5"/>
        <v>12840000000</v>
      </c>
      <c r="G137" s="11" t="s">
        <v>590</v>
      </c>
    </row>
    <row r="138" spans="1:11">
      <c r="A138" s="11" t="s">
        <v>597</v>
      </c>
      <c r="B138" s="3">
        <v>2000000</v>
      </c>
      <c r="C138" s="11">
        <v>1</v>
      </c>
      <c r="D138" s="11">
        <f t="shared" si="6"/>
        <v>1069</v>
      </c>
      <c r="E138" s="11">
        <f t="shared" si="7"/>
        <v>1</v>
      </c>
      <c r="F138" s="11">
        <f t="shared" si="5"/>
        <v>2136000000</v>
      </c>
      <c r="G138" s="11" t="s">
        <v>599</v>
      </c>
    </row>
    <row r="139" spans="1:11">
      <c r="A139" s="11" t="s">
        <v>601</v>
      </c>
      <c r="B139" s="3">
        <v>87538</v>
      </c>
      <c r="C139" s="11">
        <v>13</v>
      </c>
      <c r="D139" s="11">
        <f t="shared" si="6"/>
        <v>1068</v>
      </c>
      <c r="E139" s="11">
        <f t="shared" si="7"/>
        <v>1</v>
      </c>
      <c r="F139" s="11">
        <f t="shared" si="5"/>
        <v>93403046</v>
      </c>
      <c r="G139" s="11" t="s">
        <v>356</v>
      </c>
    </row>
    <row r="140" spans="1:11">
      <c r="A140" s="11" t="s">
        <v>622</v>
      </c>
      <c r="B140" s="3">
        <v>-3000900</v>
      </c>
      <c r="C140" s="11">
        <v>1</v>
      </c>
      <c r="D140" s="11">
        <f t="shared" si="6"/>
        <v>1055</v>
      </c>
      <c r="E140" s="11">
        <f t="shared" si="7"/>
        <v>0</v>
      </c>
      <c r="F140" s="11">
        <f t="shared" si="5"/>
        <v>-3165949500</v>
      </c>
      <c r="G140" s="11" t="s">
        <v>623</v>
      </c>
    </row>
    <row r="141" spans="1:11">
      <c r="A141" s="11" t="s">
        <v>639</v>
      </c>
      <c r="B141" s="3">
        <v>-3000900</v>
      </c>
      <c r="C141" s="11">
        <v>17</v>
      </c>
      <c r="D141" s="11">
        <f t="shared" si="6"/>
        <v>1054</v>
      </c>
      <c r="E141" s="11">
        <f t="shared" si="7"/>
        <v>0</v>
      </c>
      <c r="F141" s="11">
        <f t="shared" si="5"/>
        <v>-3162948600</v>
      </c>
      <c r="G141" s="11" t="s">
        <v>623</v>
      </c>
      <c r="K141" t="s">
        <v>25</v>
      </c>
    </row>
    <row r="142" spans="1:11">
      <c r="A142" s="11" t="s">
        <v>604</v>
      </c>
      <c r="B142" s="3">
        <v>602025</v>
      </c>
      <c r="C142" s="11">
        <v>0</v>
      </c>
      <c r="D142" s="11">
        <f t="shared" si="6"/>
        <v>1037</v>
      </c>
      <c r="E142" s="11">
        <f t="shared" si="7"/>
        <v>1</v>
      </c>
      <c r="F142" s="11">
        <f t="shared" si="5"/>
        <v>623697900</v>
      </c>
      <c r="G142" s="11" t="s">
        <v>641</v>
      </c>
    </row>
    <row r="143" spans="1:11">
      <c r="A143" s="11" t="s">
        <v>604</v>
      </c>
      <c r="B143" s="3">
        <v>-46000000</v>
      </c>
      <c r="C143" s="11">
        <v>31</v>
      </c>
      <c r="D143" s="11">
        <f t="shared" si="6"/>
        <v>1037</v>
      </c>
      <c r="E143" s="11">
        <f t="shared" si="7"/>
        <v>0</v>
      </c>
      <c r="F143" s="11">
        <f t="shared" si="5"/>
        <v>-47702000000</v>
      </c>
      <c r="G143" s="11" t="s">
        <v>644</v>
      </c>
    </row>
    <row r="144" spans="1:11">
      <c r="A144" s="11" t="s">
        <v>605</v>
      </c>
      <c r="B144" s="3">
        <v>154107</v>
      </c>
      <c r="C144" s="11">
        <v>1</v>
      </c>
      <c r="D144" s="11">
        <f t="shared" si="6"/>
        <v>1006</v>
      </c>
      <c r="E144" s="11">
        <f t="shared" si="7"/>
        <v>1</v>
      </c>
      <c r="F144" s="11">
        <f t="shared" si="5"/>
        <v>154877535</v>
      </c>
      <c r="G144" s="11" t="s">
        <v>667</v>
      </c>
    </row>
    <row r="145" spans="1:11">
      <c r="A145" s="11" t="s">
        <v>673</v>
      </c>
      <c r="B145" s="3">
        <v>3000000</v>
      </c>
      <c r="C145" s="11">
        <v>3</v>
      </c>
      <c r="D145" s="11">
        <f t="shared" si="6"/>
        <v>1005</v>
      </c>
      <c r="E145" s="11">
        <f t="shared" si="7"/>
        <v>1</v>
      </c>
      <c r="F145" s="11">
        <f t="shared" si="5"/>
        <v>3012000000</v>
      </c>
      <c r="G145" s="11" t="s">
        <v>674</v>
      </c>
    </row>
    <row r="146" spans="1:11">
      <c r="A146" s="11" t="s">
        <v>675</v>
      </c>
      <c r="B146" s="3">
        <v>-200000</v>
      </c>
      <c r="C146" s="11">
        <v>5</v>
      </c>
      <c r="D146" s="11">
        <f t="shared" si="6"/>
        <v>1002</v>
      </c>
      <c r="E146" s="11">
        <f t="shared" si="7"/>
        <v>0</v>
      </c>
      <c r="F146" s="11">
        <f t="shared" si="5"/>
        <v>-200400000</v>
      </c>
      <c r="G146" s="11" t="s">
        <v>158</v>
      </c>
    </row>
    <row r="147" spans="1:11">
      <c r="A147" s="11" t="s">
        <v>676</v>
      </c>
      <c r="B147" s="3">
        <v>-200000</v>
      </c>
      <c r="C147" s="11">
        <v>1</v>
      </c>
      <c r="D147" s="11">
        <f t="shared" si="6"/>
        <v>997</v>
      </c>
      <c r="E147" s="11">
        <f t="shared" si="7"/>
        <v>0</v>
      </c>
      <c r="F147" s="11">
        <f t="shared" si="5"/>
        <v>-199400000</v>
      </c>
      <c r="G147" s="11" t="s">
        <v>158</v>
      </c>
      <c r="K147" t="s">
        <v>25</v>
      </c>
    </row>
    <row r="148" spans="1:11">
      <c r="A148" s="11" t="s">
        <v>677</v>
      </c>
      <c r="B148" s="3">
        <v>-200000</v>
      </c>
      <c r="C148" s="11">
        <v>4</v>
      </c>
      <c r="D148" s="11">
        <f t="shared" si="6"/>
        <v>996</v>
      </c>
      <c r="E148" s="11">
        <f t="shared" si="7"/>
        <v>0</v>
      </c>
      <c r="F148" s="11">
        <f t="shared" si="5"/>
        <v>-199200000</v>
      </c>
      <c r="G148" s="11" t="s">
        <v>158</v>
      </c>
    </row>
    <row r="149" spans="1:11">
      <c r="A149" s="11" t="s">
        <v>608</v>
      </c>
      <c r="B149" s="3">
        <v>-200000</v>
      </c>
      <c r="C149" s="11">
        <v>1</v>
      </c>
      <c r="D149" s="11">
        <f t="shared" si="6"/>
        <v>992</v>
      </c>
      <c r="E149" s="11">
        <f t="shared" si="7"/>
        <v>0</v>
      </c>
      <c r="F149" s="11">
        <f t="shared" si="5"/>
        <v>-198400000</v>
      </c>
      <c r="G149" s="11" t="s">
        <v>158</v>
      </c>
    </row>
    <row r="150" spans="1:11">
      <c r="A150" s="11" t="s">
        <v>683</v>
      </c>
      <c r="B150" s="3">
        <v>24073400</v>
      </c>
      <c r="C150" s="11">
        <v>2</v>
      </c>
      <c r="D150" s="11">
        <f t="shared" si="6"/>
        <v>991</v>
      </c>
      <c r="E150" s="11">
        <f t="shared" si="7"/>
        <v>1</v>
      </c>
      <c r="F150" s="11">
        <f t="shared" si="5"/>
        <v>23832666000</v>
      </c>
      <c r="G150" s="11" t="s">
        <v>684</v>
      </c>
    </row>
    <row r="151" spans="1:11">
      <c r="A151" s="11" t="s">
        <v>692</v>
      </c>
      <c r="B151" s="3">
        <v>-200000</v>
      </c>
      <c r="C151" s="11">
        <v>6</v>
      </c>
      <c r="D151" s="11">
        <f t="shared" si="6"/>
        <v>989</v>
      </c>
      <c r="E151" s="11">
        <f t="shared" si="7"/>
        <v>0</v>
      </c>
      <c r="F151" s="11">
        <f t="shared" si="5"/>
        <v>-197800000</v>
      </c>
      <c r="G151" s="11" t="s">
        <v>158</v>
      </c>
    </row>
    <row r="152" spans="1:11">
      <c r="A152" s="11" t="s">
        <v>693</v>
      </c>
      <c r="B152" s="3">
        <v>-30000000</v>
      </c>
      <c r="C152" s="11">
        <v>1</v>
      </c>
      <c r="D152" s="11">
        <f t="shared" si="6"/>
        <v>983</v>
      </c>
      <c r="E152" s="11">
        <f t="shared" si="7"/>
        <v>0</v>
      </c>
      <c r="F152" s="11">
        <f t="shared" si="5"/>
        <v>-29490000000</v>
      </c>
      <c r="G152" s="11" t="s">
        <v>694</v>
      </c>
    </row>
    <row r="153" spans="1:11">
      <c r="A153" s="11" t="s">
        <v>701</v>
      </c>
      <c r="B153" s="3">
        <v>-52000</v>
      </c>
      <c r="C153" s="11">
        <v>0</v>
      </c>
      <c r="D153" s="11">
        <f t="shared" si="6"/>
        <v>982</v>
      </c>
      <c r="E153" s="11">
        <f t="shared" si="7"/>
        <v>0</v>
      </c>
      <c r="F153" s="11">
        <f t="shared" si="5"/>
        <v>-51064000</v>
      </c>
      <c r="G153" s="11" t="s">
        <v>702</v>
      </c>
    </row>
    <row r="154" spans="1:11">
      <c r="A154" s="11" t="s">
        <v>701</v>
      </c>
      <c r="B154" s="3">
        <v>-136000</v>
      </c>
      <c r="C154" s="11">
        <v>5</v>
      </c>
      <c r="D154" s="11">
        <f t="shared" si="6"/>
        <v>982</v>
      </c>
      <c r="E154" s="11">
        <f t="shared" si="7"/>
        <v>0</v>
      </c>
      <c r="F154" s="11">
        <f t="shared" si="5"/>
        <v>-133552000</v>
      </c>
      <c r="G154" s="11" t="s">
        <v>703</v>
      </c>
    </row>
    <row r="155" spans="1:11">
      <c r="A155" s="11" t="s">
        <v>705</v>
      </c>
      <c r="B155" s="3">
        <v>3000000</v>
      </c>
      <c r="C155" s="11">
        <v>1</v>
      </c>
      <c r="D155" s="11">
        <f t="shared" si="6"/>
        <v>977</v>
      </c>
      <c r="E155" s="11">
        <f t="shared" si="7"/>
        <v>1</v>
      </c>
      <c r="F155" s="11">
        <f t="shared" si="5"/>
        <v>2928000000</v>
      </c>
      <c r="G155" s="11" t="s">
        <v>706</v>
      </c>
    </row>
    <row r="156" spans="1:11">
      <c r="A156" s="11" t="s">
        <v>606</v>
      </c>
      <c r="B156" s="3">
        <v>189103</v>
      </c>
      <c r="C156" s="11">
        <v>0</v>
      </c>
      <c r="D156" s="11">
        <f t="shared" si="6"/>
        <v>976</v>
      </c>
      <c r="E156" s="11">
        <f t="shared" si="7"/>
        <v>1</v>
      </c>
      <c r="F156" s="11">
        <f t="shared" si="5"/>
        <v>184375425</v>
      </c>
      <c r="G156" s="11" t="s">
        <v>707</v>
      </c>
    </row>
    <row r="157" spans="1:11">
      <c r="A157" s="11" t="s">
        <v>606</v>
      </c>
      <c r="B157" s="3">
        <v>24227700</v>
      </c>
      <c r="C157" s="11">
        <v>8</v>
      </c>
      <c r="D157" s="11">
        <f t="shared" si="6"/>
        <v>976</v>
      </c>
      <c r="E157" s="11">
        <f t="shared" si="7"/>
        <v>1</v>
      </c>
      <c r="F157" s="11">
        <f t="shared" si="5"/>
        <v>23622007500</v>
      </c>
      <c r="G157" s="11" t="s">
        <v>708</v>
      </c>
    </row>
    <row r="158" spans="1:11">
      <c r="A158" s="11" t="s">
        <v>725</v>
      </c>
      <c r="B158" s="3">
        <v>24295200</v>
      </c>
      <c r="C158" s="11">
        <v>0</v>
      </c>
      <c r="D158" s="11">
        <f t="shared" si="6"/>
        <v>968</v>
      </c>
      <c r="E158" s="11">
        <f t="shared" si="7"/>
        <v>1</v>
      </c>
      <c r="F158" s="11">
        <f t="shared" si="5"/>
        <v>23493458400</v>
      </c>
      <c r="G158" s="11" t="s">
        <v>722</v>
      </c>
    </row>
    <row r="159" spans="1:11">
      <c r="A159" s="11" t="s">
        <v>725</v>
      </c>
      <c r="B159" s="3">
        <v>-201000</v>
      </c>
      <c r="C159" s="11">
        <v>5</v>
      </c>
      <c r="D159" s="11">
        <f t="shared" si="6"/>
        <v>968</v>
      </c>
      <c r="E159" s="11">
        <f t="shared" si="7"/>
        <v>0</v>
      </c>
      <c r="F159" s="11">
        <f t="shared" si="5"/>
        <v>-194568000</v>
      </c>
      <c r="G159" s="11" t="s">
        <v>728</v>
      </c>
    </row>
    <row r="160" spans="1:11">
      <c r="A160" s="11" t="s">
        <v>729</v>
      </c>
      <c r="B160" s="3">
        <v>-200000</v>
      </c>
      <c r="C160" s="11">
        <v>3</v>
      </c>
      <c r="D160" s="11">
        <f t="shared" si="6"/>
        <v>963</v>
      </c>
      <c r="E160" s="11">
        <f t="shared" si="7"/>
        <v>0</v>
      </c>
      <c r="F160" s="11">
        <f t="shared" si="5"/>
        <v>-192600000</v>
      </c>
      <c r="G160" s="11" t="s">
        <v>730</v>
      </c>
    </row>
    <row r="161" spans="1:7">
      <c r="A161" s="11" t="s">
        <v>736</v>
      </c>
      <c r="B161" s="3">
        <v>-200000</v>
      </c>
      <c r="C161" s="11">
        <v>4</v>
      </c>
      <c r="D161" s="11">
        <f t="shared" si="6"/>
        <v>960</v>
      </c>
      <c r="E161" s="11">
        <f t="shared" si="7"/>
        <v>0</v>
      </c>
      <c r="F161" s="11">
        <f t="shared" si="5"/>
        <v>-192000000</v>
      </c>
      <c r="G161" s="11" t="s">
        <v>730</v>
      </c>
    </row>
    <row r="162" spans="1:7">
      <c r="A162" s="11" t="s">
        <v>738</v>
      </c>
      <c r="B162" s="3">
        <v>-200000</v>
      </c>
      <c r="C162" s="11">
        <v>3</v>
      </c>
      <c r="D162" s="11">
        <f t="shared" si="6"/>
        <v>956</v>
      </c>
      <c r="E162" s="11">
        <f t="shared" si="7"/>
        <v>0</v>
      </c>
      <c r="F162" s="11">
        <f t="shared" si="5"/>
        <v>-191200000</v>
      </c>
      <c r="G162" s="11" t="s">
        <v>730</v>
      </c>
    </row>
    <row r="163" spans="1:7">
      <c r="A163" s="11" t="s">
        <v>739</v>
      </c>
      <c r="B163" s="3">
        <v>-200000</v>
      </c>
      <c r="C163" s="11">
        <v>7</v>
      </c>
      <c r="D163" s="11">
        <f t="shared" si="6"/>
        <v>953</v>
      </c>
      <c r="E163" s="11">
        <f t="shared" si="7"/>
        <v>0</v>
      </c>
      <c r="F163" s="11">
        <f t="shared" si="5"/>
        <v>-190600000</v>
      </c>
      <c r="G163" s="11" t="s">
        <v>730</v>
      </c>
    </row>
    <row r="164" spans="1:7">
      <c r="A164" s="11" t="s">
        <v>607</v>
      </c>
      <c r="B164" s="3">
        <v>457674</v>
      </c>
      <c r="C164" s="11">
        <v>3</v>
      </c>
      <c r="D164" s="11">
        <f t="shared" si="6"/>
        <v>946</v>
      </c>
      <c r="E164" s="11">
        <f t="shared" si="7"/>
        <v>1</v>
      </c>
      <c r="F164" s="11">
        <f t="shared" si="5"/>
        <v>432501930</v>
      </c>
      <c r="G164" s="11" t="s">
        <v>743</v>
      </c>
    </row>
    <row r="165" spans="1:7">
      <c r="A165" s="11" t="s">
        <v>748</v>
      </c>
      <c r="B165" s="3">
        <v>2700000</v>
      </c>
      <c r="C165" s="11">
        <v>0</v>
      </c>
      <c r="D165" s="11">
        <f t="shared" si="6"/>
        <v>943</v>
      </c>
      <c r="E165" s="11">
        <f t="shared" si="7"/>
        <v>1</v>
      </c>
      <c r="F165" s="11">
        <f t="shared" si="5"/>
        <v>2543400000</v>
      </c>
      <c r="G165" s="11" t="s">
        <v>749</v>
      </c>
    </row>
    <row r="166" spans="1:7">
      <c r="A166" s="11" t="s">
        <v>748</v>
      </c>
      <c r="B166" s="3">
        <v>2500000</v>
      </c>
      <c r="C166" s="11">
        <v>7</v>
      </c>
      <c r="D166" s="11">
        <f t="shared" si="6"/>
        <v>943</v>
      </c>
      <c r="E166" s="11">
        <f t="shared" si="7"/>
        <v>1</v>
      </c>
      <c r="F166" s="11">
        <f t="shared" si="5"/>
        <v>2355000000</v>
      </c>
      <c r="G166" s="11" t="s">
        <v>750</v>
      </c>
    </row>
    <row r="167" spans="1:7">
      <c r="A167" s="11" t="s">
        <v>756</v>
      </c>
      <c r="B167" s="3">
        <v>-200000</v>
      </c>
      <c r="C167" s="11">
        <v>2</v>
      </c>
      <c r="D167" s="11">
        <f t="shared" si="6"/>
        <v>936</v>
      </c>
      <c r="E167" s="11">
        <f t="shared" si="7"/>
        <v>0</v>
      </c>
      <c r="F167" s="11">
        <f t="shared" si="5"/>
        <v>-187200000</v>
      </c>
      <c r="G167" s="11" t="s">
        <v>479</v>
      </c>
    </row>
    <row r="168" spans="1:7">
      <c r="A168" s="11" t="s">
        <v>757</v>
      </c>
      <c r="B168" s="3">
        <v>-200000</v>
      </c>
      <c r="C168" s="11">
        <v>6</v>
      </c>
      <c r="D168" s="11">
        <f t="shared" si="6"/>
        <v>934</v>
      </c>
      <c r="E168" s="11">
        <f t="shared" si="7"/>
        <v>0</v>
      </c>
      <c r="F168" s="11">
        <f t="shared" si="5"/>
        <v>-186800000</v>
      </c>
      <c r="G168" s="11" t="s">
        <v>479</v>
      </c>
    </row>
    <row r="169" spans="1:7">
      <c r="A169" s="11" t="s">
        <v>759</v>
      </c>
      <c r="B169" s="3">
        <v>-200000</v>
      </c>
      <c r="C169" s="11">
        <v>3</v>
      </c>
      <c r="D169" s="11">
        <f t="shared" si="6"/>
        <v>928</v>
      </c>
      <c r="E169" s="11">
        <f t="shared" si="7"/>
        <v>0</v>
      </c>
      <c r="F169" s="11">
        <f t="shared" si="5"/>
        <v>-185600000</v>
      </c>
      <c r="G169" s="11" t="s">
        <v>479</v>
      </c>
    </row>
    <row r="170" spans="1:7">
      <c r="A170" s="11" t="s">
        <v>764</v>
      </c>
      <c r="B170" s="3">
        <v>-200000</v>
      </c>
      <c r="C170" s="11">
        <v>0</v>
      </c>
      <c r="D170" s="11">
        <f t="shared" si="6"/>
        <v>925</v>
      </c>
      <c r="E170" s="11">
        <f t="shared" si="7"/>
        <v>0</v>
      </c>
      <c r="F170" s="11">
        <f t="shared" si="5"/>
        <v>-185000000</v>
      </c>
      <c r="G170" s="11" t="s">
        <v>479</v>
      </c>
    </row>
    <row r="171" spans="1:7">
      <c r="A171" s="11" t="s">
        <v>764</v>
      </c>
      <c r="B171" s="3">
        <v>3000000</v>
      </c>
      <c r="C171" s="11">
        <v>3</v>
      </c>
      <c r="D171" s="11">
        <f t="shared" si="6"/>
        <v>925</v>
      </c>
      <c r="E171" s="11">
        <f t="shared" si="7"/>
        <v>1</v>
      </c>
      <c r="F171" s="11">
        <f t="shared" si="5"/>
        <v>2772000000</v>
      </c>
      <c r="G171" s="11" t="s">
        <v>765</v>
      </c>
    </row>
    <row r="172" spans="1:7">
      <c r="A172" s="11" t="s">
        <v>766</v>
      </c>
      <c r="B172" s="3">
        <v>-200000</v>
      </c>
      <c r="C172" s="11">
        <v>1</v>
      </c>
      <c r="D172" s="11">
        <f t="shared" si="6"/>
        <v>922</v>
      </c>
      <c r="E172" s="11">
        <f t="shared" si="7"/>
        <v>0</v>
      </c>
      <c r="F172" s="11">
        <f t="shared" si="5"/>
        <v>-184400000</v>
      </c>
      <c r="G172" s="11" t="s">
        <v>158</v>
      </c>
    </row>
    <row r="173" spans="1:7">
      <c r="A173" s="11" t="s">
        <v>766</v>
      </c>
      <c r="B173" s="3">
        <v>3000000</v>
      </c>
      <c r="C173" s="11">
        <v>1</v>
      </c>
      <c r="D173" s="11">
        <f t="shared" si="6"/>
        <v>921</v>
      </c>
      <c r="E173" s="11">
        <f t="shared" si="7"/>
        <v>1</v>
      </c>
      <c r="F173" s="11">
        <f t="shared" si="5"/>
        <v>2760000000</v>
      </c>
      <c r="G173" s="11" t="s">
        <v>768</v>
      </c>
    </row>
    <row r="174" spans="1:7">
      <c r="A174" s="11" t="s">
        <v>767</v>
      </c>
      <c r="B174" s="3">
        <v>2000000</v>
      </c>
      <c r="C174" s="11">
        <v>1</v>
      </c>
      <c r="D174" s="11">
        <f t="shared" si="6"/>
        <v>920</v>
      </c>
      <c r="E174" s="11">
        <f t="shared" si="7"/>
        <v>1</v>
      </c>
      <c r="F174" s="11">
        <f t="shared" si="5"/>
        <v>1838000000</v>
      </c>
      <c r="G174" s="11" t="s">
        <v>769</v>
      </c>
    </row>
    <row r="175" spans="1:7">
      <c r="A175" s="11" t="s">
        <v>767</v>
      </c>
      <c r="B175" s="3">
        <v>1300000</v>
      </c>
      <c r="C175" s="11">
        <v>2</v>
      </c>
      <c r="D175" s="11">
        <f t="shared" si="6"/>
        <v>919</v>
      </c>
      <c r="E175" s="11">
        <f t="shared" si="7"/>
        <v>1</v>
      </c>
      <c r="F175" s="11">
        <f t="shared" si="5"/>
        <v>1193400000</v>
      </c>
      <c r="G175" s="11" t="s">
        <v>770</v>
      </c>
    </row>
    <row r="176" spans="1:7">
      <c r="A176" s="11" t="s">
        <v>771</v>
      </c>
      <c r="B176" s="3">
        <v>-200000</v>
      </c>
      <c r="C176" s="11">
        <v>0</v>
      </c>
      <c r="D176" s="11">
        <f t="shared" si="6"/>
        <v>917</v>
      </c>
      <c r="E176" s="11">
        <f t="shared" si="7"/>
        <v>0</v>
      </c>
      <c r="F176" s="11">
        <f t="shared" si="5"/>
        <v>-183400000</v>
      </c>
      <c r="G176" s="11" t="s">
        <v>730</v>
      </c>
    </row>
    <row r="177" spans="1:7">
      <c r="A177" s="11" t="s">
        <v>771</v>
      </c>
      <c r="B177" s="3">
        <v>1700000</v>
      </c>
      <c r="C177" s="11">
        <v>1</v>
      </c>
      <c r="D177" s="11">
        <f t="shared" si="6"/>
        <v>917</v>
      </c>
      <c r="E177" s="11">
        <f t="shared" si="7"/>
        <v>1</v>
      </c>
      <c r="F177" s="11">
        <f t="shared" si="5"/>
        <v>1557200000</v>
      </c>
      <c r="G177" s="11" t="s">
        <v>772</v>
      </c>
    </row>
    <row r="178" spans="1:7">
      <c r="A178" s="11" t="s">
        <v>773</v>
      </c>
      <c r="B178" s="3">
        <v>-200000</v>
      </c>
      <c r="C178" s="11">
        <v>1</v>
      </c>
      <c r="D178" s="11">
        <f t="shared" si="6"/>
        <v>916</v>
      </c>
      <c r="E178" s="11">
        <f t="shared" si="7"/>
        <v>0</v>
      </c>
      <c r="F178" s="11">
        <f t="shared" si="5"/>
        <v>-183200000</v>
      </c>
      <c r="G178" s="11" t="s">
        <v>479</v>
      </c>
    </row>
    <row r="179" spans="1:7">
      <c r="A179" s="11" t="s">
        <v>775</v>
      </c>
      <c r="B179" s="3">
        <v>571492</v>
      </c>
      <c r="C179" s="11">
        <v>3</v>
      </c>
      <c r="D179" s="11">
        <f t="shared" si="6"/>
        <v>915</v>
      </c>
      <c r="E179" s="11">
        <f t="shared" si="7"/>
        <v>1</v>
      </c>
      <c r="F179" s="11">
        <f t="shared" si="5"/>
        <v>522343688</v>
      </c>
      <c r="G179" s="11" t="s">
        <v>242</v>
      </c>
    </row>
    <row r="180" spans="1:7">
      <c r="A180" s="11" t="s">
        <v>780</v>
      </c>
      <c r="B180" s="3">
        <v>3000000</v>
      </c>
      <c r="C180" s="11">
        <v>7</v>
      </c>
      <c r="D180" s="11">
        <f t="shared" si="6"/>
        <v>912</v>
      </c>
      <c r="E180" s="11">
        <f t="shared" si="7"/>
        <v>1</v>
      </c>
      <c r="F180" s="11">
        <f t="shared" si="5"/>
        <v>2733000000</v>
      </c>
      <c r="G180" s="11" t="s">
        <v>783</v>
      </c>
    </row>
    <row r="181" spans="1:7">
      <c r="A181" s="11" t="s">
        <v>792</v>
      </c>
      <c r="B181" s="3">
        <v>2000000</v>
      </c>
      <c r="C181" s="11">
        <v>8</v>
      </c>
      <c r="D181" s="11">
        <f t="shared" si="6"/>
        <v>905</v>
      </c>
      <c r="E181" s="11">
        <f t="shared" si="7"/>
        <v>1</v>
      </c>
      <c r="F181" s="11">
        <f t="shared" si="5"/>
        <v>1808000000</v>
      </c>
      <c r="G181" s="11" t="s">
        <v>793</v>
      </c>
    </row>
    <row r="182" spans="1:7">
      <c r="A182" s="11" t="s">
        <v>804</v>
      </c>
      <c r="B182" s="3">
        <v>-2200700</v>
      </c>
      <c r="C182" s="11">
        <v>12</v>
      </c>
      <c r="D182" s="11">
        <f t="shared" si="6"/>
        <v>897</v>
      </c>
      <c r="E182" s="11">
        <f t="shared" si="7"/>
        <v>0</v>
      </c>
      <c r="F182" s="11">
        <f t="shared" si="5"/>
        <v>-1974027900</v>
      </c>
      <c r="G182" s="11" t="s">
        <v>806</v>
      </c>
    </row>
    <row r="183" spans="1:7">
      <c r="A183" s="11" t="s">
        <v>814</v>
      </c>
      <c r="B183" s="3">
        <v>675087</v>
      </c>
      <c r="C183" s="11">
        <v>30</v>
      </c>
      <c r="D183" s="11">
        <f t="shared" si="6"/>
        <v>885</v>
      </c>
      <c r="E183" s="11">
        <f t="shared" si="7"/>
        <v>1</v>
      </c>
      <c r="F183" s="11">
        <f t="shared" si="5"/>
        <v>596776908</v>
      </c>
      <c r="G183" s="11" t="s">
        <v>264</v>
      </c>
    </row>
    <row r="184" spans="1:7">
      <c r="A184" s="11" t="s">
        <v>850</v>
      </c>
      <c r="B184" s="3">
        <v>677000</v>
      </c>
      <c r="C184" s="11">
        <v>15</v>
      </c>
      <c r="D184" s="11">
        <f>D185+C184</f>
        <v>855</v>
      </c>
      <c r="E184" s="11">
        <f t="shared" si="7"/>
        <v>1</v>
      </c>
      <c r="F184" s="11">
        <f t="shared" si="5"/>
        <v>578158000</v>
      </c>
      <c r="G184" s="11" t="s">
        <v>381</v>
      </c>
    </row>
    <row r="185" spans="1:7">
      <c r="A185" s="11" t="s">
        <v>875</v>
      </c>
      <c r="B185" s="3">
        <v>-10000</v>
      </c>
      <c r="C185" s="11">
        <v>5</v>
      </c>
      <c r="D185" s="11">
        <f t="shared" si="6"/>
        <v>840</v>
      </c>
      <c r="E185" s="11">
        <f t="shared" si="7"/>
        <v>0</v>
      </c>
      <c r="F185" s="11">
        <f t="shared" si="5"/>
        <v>-8400000</v>
      </c>
      <c r="G185" s="11" t="s">
        <v>881</v>
      </c>
    </row>
    <row r="186" spans="1:7">
      <c r="A186" s="11" t="s">
        <v>892</v>
      </c>
      <c r="B186" s="3">
        <v>-80500000</v>
      </c>
      <c r="C186" s="11">
        <v>5</v>
      </c>
      <c r="D186" s="11">
        <f t="shared" ref="D186:D275" si="8">D187+C186</f>
        <v>835</v>
      </c>
      <c r="E186" s="11">
        <f t="shared" si="7"/>
        <v>0</v>
      </c>
      <c r="F186" s="11">
        <f t="shared" si="5"/>
        <v>-67217500000</v>
      </c>
      <c r="G186" s="11" t="s">
        <v>981</v>
      </c>
    </row>
    <row r="187" spans="1:7">
      <c r="A187" s="11" t="s">
        <v>980</v>
      </c>
      <c r="B187" s="3">
        <v>-1100000</v>
      </c>
      <c r="C187" s="11">
        <v>0</v>
      </c>
      <c r="D187" s="11">
        <f t="shared" si="8"/>
        <v>830</v>
      </c>
      <c r="E187" s="11">
        <f t="shared" si="7"/>
        <v>0</v>
      </c>
      <c r="F187" s="11">
        <f t="shared" si="5"/>
        <v>-913000000</v>
      </c>
      <c r="G187" s="11" t="s">
        <v>981</v>
      </c>
    </row>
    <row r="188" spans="1:7">
      <c r="A188" s="11" t="s">
        <v>980</v>
      </c>
      <c r="B188" s="3">
        <v>3000000</v>
      </c>
      <c r="C188" s="11">
        <v>1</v>
      </c>
      <c r="D188" s="11">
        <f t="shared" si="8"/>
        <v>830</v>
      </c>
      <c r="E188" s="11">
        <f t="shared" si="7"/>
        <v>1</v>
      </c>
      <c r="F188" s="11">
        <f t="shared" si="5"/>
        <v>2487000000</v>
      </c>
      <c r="G188" s="11" t="s">
        <v>992</v>
      </c>
    </row>
    <row r="189" spans="1:7">
      <c r="A189" s="11" t="s">
        <v>991</v>
      </c>
      <c r="B189" s="3">
        <v>2000000</v>
      </c>
      <c r="C189" s="11">
        <v>0</v>
      </c>
      <c r="D189" s="11">
        <f t="shared" si="8"/>
        <v>829</v>
      </c>
      <c r="E189" s="11">
        <f t="shared" si="7"/>
        <v>1</v>
      </c>
      <c r="F189" s="11">
        <f t="shared" si="5"/>
        <v>1656000000</v>
      </c>
      <c r="G189" s="11" t="s">
        <v>992</v>
      </c>
    </row>
    <row r="190" spans="1:7">
      <c r="A190" s="11" t="s">
        <v>991</v>
      </c>
      <c r="B190" s="3">
        <v>-5000000</v>
      </c>
      <c r="C190" s="11">
        <v>1</v>
      </c>
      <c r="D190" s="11">
        <f t="shared" si="8"/>
        <v>829</v>
      </c>
      <c r="E190" s="11">
        <f t="shared" si="7"/>
        <v>0</v>
      </c>
      <c r="F190" s="11">
        <f t="shared" si="5"/>
        <v>-4145000000</v>
      </c>
      <c r="G190" s="11" t="s">
        <v>981</v>
      </c>
    </row>
    <row r="191" spans="1:7">
      <c r="A191" s="11" t="s">
        <v>997</v>
      </c>
      <c r="B191" s="3">
        <v>483248</v>
      </c>
      <c r="C191" s="11">
        <v>4</v>
      </c>
      <c r="D191" s="11">
        <f t="shared" si="8"/>
        <v>828</v>
      </c>
      <c r="E191" s="11">
        <f t="shared" si="7"/>
        <v>1</v>
      </c>
      <c r="F191" s="11">
        <f t="shared" si="5"/>
        <v>399646096</v>
      </c>
      <c r="G191" s="11" t="s">
        <v>999</v>
      </c>
    </row>
    <row r="192" spans="1:7">
      <c r="A192" s="11" t="s">
        <v>1025</v>
      </c>
      <c r="B192" s="3">
        <v>-115300</v>
      </c>
      <c r="C192" s="11">
        <v>4</v>
      </c>
      <c r="D192" s="11">
        <f t="shared" si="8"/>
        <v>824</v>
      </c>
      <c r="E192" s="11">
        <f t="shared" si="7"/>
        <v>0</v>
      </c>
      <c r="F192" s="11">
        <f t="shared" si="5"/>
        <v>-95007200</v>
      </c>
      <c r="G192" s="11" t="s">
        <v>1026</v>
      </c>
    </row>
    <row r="193" spans="1:7">
      <c r="A193" s="11" t="s">
        <v>1036</v>
      </c>
      <c r="B193" s="3">
        <v>90000000</v>
      </c>
      <c r="C193" s="11">
        <v>7</v>
      </c>
      <c r="D193" s="11">
        <f t="shared" si="8"/>
        <v>820</v>
      </c>
      <c r="E193" s="11">
        <f t="shared" si="7"/>
        <v>1</v>
      </c>
      <c r="F193" s="11">
        <f t="shared" si="5"/>
        <v>73710000000</v>
      </c>
      <c r="G193" s="11" t="s">
        <v>1037</v>
      </c>
    </row>
    <row r="194" spans="1:7">
      <c r="A194" s="11" t="s">
        <v>1040</v>
      </c>
      <c r="B194" s="3">
        <v>52000000</v>
      </c>
      <c r="C194" s="11">
        <v>0</v>
      </c>
      <c r="D194" s="11">
        <f t="shared" si="8"/>
        <v>813</v>
      </c>
      <c r="E194" s="11">
        <f t="shared" si="7"/>
        <v>1</v>
      </c>
      <c r="F194" s="11">
        <f t="shared" si="5"/>
        <v>42224000000</v>
      </c>
      <c r="G194" s="11" t="s">
        <v>1045</v>
      </c>
    </row>
    <row r="195" spans="1:7">
      <c r="A195" s="11" t="s">
        <v>1040</v>
      </c>
      <c r="B195" s="3">
        <v>25000000</v>
      </c>
      <c r="C195" s="11">
        <v>0</v>
      </c>
      <c r="D195" s="11">
        <f t="shared" si="8"/>
        <v>813</v>
      </c>
      <c r="E195" s="11">
        <f t="shared" si="7"/>
        <v>1</v>
      </c>
      <c r="F195" s="11">
        <f t="shared" si="5"/>
        <v>20300000000</v>
      </c>
      <c r="G195" s="11" t="s">
        <v>1046</v>
      </c>
    </row>
    <row r="196" spans="1:7">
      <c r="A196" s="11" t="s">
        <v>1040</v>
      </c>
      <c r="B196" s="3">
        <v>-168000000</v>
      </c>
      <c r="C196" s="11">
        <v>7</v>
      </c>
      <c r="D196" s="11">
        <f t="shared" si="8"/>
        <v>813</v>
      </c>
      <c r="E196" s="11">
        <f t="shared" si="7"/>
        <v>0</v>
      </c>
      <c r="F196" s="11">
        <f t="shared" si="5"/>
        <v>-136584000000</v>
      </c>
      <c r="G196" s="11" t="s">
        <v>1047</v>
      </c>
    </row>
    <row r="197" spans="1:7">
      <c r="A197" s="11" t="s">
        <v>1093</v>
      </c>
      <c r="B197" s="3">
        <v>-165500</v>
      </c>
      <c r="C197" s="11">
        <v>4</v>
      </c>
      <c r="D197" s="11">
        <f t="shared" si="8"/>
        <v>806</v>
      </c>
      <c r="E197" s="11">
        <f t="shared" si="7"/>
        <v>0</v>
      </c>
      <c r="F197" s="11">
        <f t="shared" si="5"/>
        <v>-133393000</v>
      </c>
      <c r="G197" s="11" t="s">
        <v>1094</v>
      </c>
    </row>
    <row r="198" spans="1:7">
      <c r="A198" s="11" t="s">
        <v>1095</v>
      </c>
      <c r="B198" s="3">
        <v>-200000</v>
      </c>
      <c r="C198" s="11">
        <v>0</v>
      </c>
      <c r="D198" s="11">
        <f t="shared" si="8"/>
        <v>802</v>
      </c>
      <c r="E198" s="11">
        <f t="shared" si="7"/>
        <v>0</v>
      </c>
      <c r="F198" s="11">
        <f t="shared" si="5"/>
        <v>-160400000</v>
      </c>
      <c r="G198" s="11" t="s">
        <v>1096</v>
      </c>
    </row>
    <row r="199" spans="1:7">
      <c r="A199" s="11" t="s">
        <v>1095</v>
      </c>
      <c r="B199" s="3">
        <v>-46981</v>
      </c>
      <c r="C199" s="11">
        <v>3</v>
      </c>
      <c r="D199" s="11">
        <f t="shared" si="8"/>
        <v>802</v>
      </c>
      <c r="E199" s="11">
        <f t="shared" si="7"/>
        <v>0</v>
      </c>
      <c r="F199" s="11">
        <f t="shared" si="5"/>
        <v>-37678762</v>
      </c>
      <c r="G199" s="11" t="s">
        <v>835</v>
      </c>
    </row>
    <row r="200" spans="1:7">
      <c r="A200" s="11" t="s">
        <v>1105</v>
      </c>
      <c r="B200" s="3">
        <v>-4650</v>
      </c>
      <c r="C200" s="11">
        <v>2</v>
      </c>
      <c r="D200" s="11">
        <f t="shared" si="8"/>
        <v>799</v>
      </c>
      <c r="E200" s="11">
        <f t="shared" si="7"/>
        <v>0</v>
      </c>
      <c r="F200" s="11">
        <f t="shared" si="5"/>
        <v>-3715350</v>
      </c>
      <c r="G200" s="11" t="s">
        <v>835</v>
      </c>
    </row>
    <row r="201" spans="1:7">
      <c r="A201" s="11" t="s">
        <v>1107</v>
      </c>
      <c r="B201" s="3">
        <v>159828</v>
      </c>
      <c r="C201" s="11">
        <v>3</v>
      </c>
      <c r="D201" s="11">
        <f t="shared" si="8"/>
        <v>797</v>
      </c>
      <c r="E201" s="11">
        <f t="shared" si="7"/>
        <v>1</v>
      </c>
      <c r="F201" s="11">
        <f t="shared" si="5"/>
        <v>127223088</v>
      </c>
      <c r="G201" s="11" t="s">
        <v>487</v>
      </c>
    </row>
    <row r="202" spans="1:7">
      <c r="A202" s="11" t="s">
        <v>1118</v>
      </c>
      <c r="B202" s="3">
        <v>-300500</v>
      </c>
      <c r="C202" s="11">
        <v>0</v>
      </c>
      <c r="D202" s="11">
        <f t="shared" si="8"/>
        <v>794</v>
      </c>
      <c r="E202" s="11">
        <f t="shared" si="7"/>
        <v>0</v>
      </c>
      <c r="F202" s="11">
        <f t="shared" si="5"/>
        <v>-238597000</v>
      </c>
      <c r="G202" s="11" t="s">
        <v>1122</v>
      </c>
    </row>
    <row r="203" spans="1:7">
      <c r="A203" s="11" t="s">
        <v>1118</v>
      </c>
      <c r="B203" s="3">
        <v>6000000</v>
      </c>
      <c r="C203" s="11">
        <v>2</v>
      </c>
      <c r="D203" s="11">
        <f t="shared" si="8"/>
        <v>794</v>
      </c>
      <c r="E203" s="11">
        <f t="shared" si="7"/>
        <v>1</v>
      </c>
      <c r="F203" s="11">
        <f t="shared" si="5"/>
        <v>4758000000</v>
      </c>
      <c r="G203" s="11" t="s">
        <v>1123</v>
      </c>
    </row>
    <row r="204" spans="1:7">
      <c r="A204" s="11" t="s">
        <v>1127</v>
      </c>
      <c r="B204" s="3">
        <v>-685000</v>
      </c>
      <c r="C204" s="11">
        <v>1</v>
      </c>
      <c r="D204" s="11">
        <f t="shared" si="8"/>
        <v>792</v>
      </c>
      <c r="E204" s="11">
        <f t="shared" si="7"/>
        <v>0</v>
      </c>
      <c r="F204" s="11">
        <f t="shared" si="5"/>
        <v>-542520000</v>
      </c>
      <c r="G204" s="11" t="s">
        <v>1128</v>
      </c>
    </row>
    <row r="205" spans="1:7">
      <c r="A205" s="11" t="s">
        <v>1129</v>
      </c>
      <c r="B205" s="3">
        <v>-3000000</v>
      </c>
      <c r="C205" s="11">
        <v>1</v>
      </c>
      <c r="D205" s="11">
        <f t="shared" si="8"/>
        <v>791</v>
      </c>
      <c r="E205" s="11">
        <f t="shared" si="7"/>
        <v>0</v>
      </c>
      <c r="F205" s="11">
        <f t="shared" si="5"/>
        <v>-2373000000</v>
      </c>
      <c r="G205" s="11" t="s">
        <v>696</v>
      </c>
    </row>
    <row r="206" spans="1:7">
      <c r="A206" s="11" t="s">
        <v>1134</v>
      </c>
      <c r="B206" s="3">
        <v>-156000</v>
      </c>
      <c r="C206" s="11">
        <v>1</v>
      </c>
      <c r="D206" s="11">
        <f t="shared" si="8"/>
        <v>790</v>
      </c>
      <c r="E206" s="11">
        <f t="shared" si="7"/>
        <v>0</v>
      </c>
      <c r="F206" s="11">
        <f t="shared" si="5"/>
        <v>-123240000</v>
      </c>
      <c r="G206" s="11" t="s">
        <v>1135</v>
      </c>
    </row>
    <row r="207" spans="1:7">
      <c r="A207" s="11" t="s">
        <v>1137</v>
      </c>
      <c r="B207" s="3">
        <v>-66000</v>
      </c>
      <c r="C207" s="11">
        <v>1</v>
      </c>
      <c r="D207" s="11">
        <f t="shared" si="8"/>
        <v>789</v>
      </c>
      <c r="E207" s="11">
        <f t="shared" si="7"/>
        <v>0</v>
      </c>
      <c r="F207" s="11">
        <f t="shared" si="5"/>
        <v>-52074000</v>
      </c>
      <c r="G207" s="11" t="s">
        <v>1142</v>
      </c>
    </row>
    <row r="208" spans="1:7">
      <c r="A208" s="11" t="s">
        <v>1143</v>
      </c>
      <c r="B208" s="3">
        <v>-2500900</v>
      </c>
      <c r="C208" s="11">
        <v>2</v>
      </c>
      <c r="D208" s="11">
        <f t="shared" si="8"/>
        <v>788</v>
      </c>
      <c r="E208" s="11">
        <f t="shared" si="7"/>
        <v>0</v>
      </c>
      <c r="F208" s="11">
        <f t="shared" si="5"/>
        <v>-1970709200</v>
      </c>
      <c r="G208" s="11" t="s">
        <v>1150</v>
      </c>
    </row>
    <row r="209" spans="1:7">
      <c r="A209" s="11" t="s">
        <v>1159</v>
      </c>
      <c r="B209" s="3">
        <v>3000000</v>
      </c>
      <c r="C209" s="11">
        <v>0</v>
      </c>
      <c r="D209" s="11">
        <f t="shared" si="8"/>
        <v>786</v>
      </c>
      <c r="E209" s="11">
        <f t="shared" si="7"/>
        <v>1</v>
      </c>
      <c r="F209" s="11">
        <f t="shared" si="5"/>
        <v>2355000000</v>
      </c>
      <c r="G209" s="11" t="s">
        <v>1165</v>
      </c>
    </row>
    <row r="210" spans="1:7">
      <c r="A210" s="11" t="s">
        <v>1159</v>
      </c>
      <c r="B210" s="3">
        <v>-2601400</v>
      </c>
      <c r="C210" s="11">
        <v>2</v>
      </c>
      <c r="D210" s="11">
        <f t="shared" si="8"/>
        <v>786</v>
      </c>
      <c r="E210" s="11">
        <f t="shared" si="7"/>
        <v>0</v>
      </c>
      <c r="F210" s="11">
        <f t="shared" si="5"/>
        <v>-2044700400</v>
      </c>
      <c r="G210" s="11" t="s">
        <v>1166</v>
      </c>
    </row>
    <row r="211" spans="1:7">
      <c r="A211" s="11" t="s">
        <v>1168</v>
      </c>
      <c r="B211" s="3">
        <v>1000000</v>
      </c>
      <c r="C211" s="11">
        <v>2</v>
      </c>
      <c r="D211" s="11">
        <f t="shared" si="8"/>
        <v>784</v>
      </c>
      <c r="E211" s="11">
        <f t="shared" si="7"/>
        <v>1</v>
      </c>
      <c r="F211" s="11">
        <f t="shared" si="5"/>
        <v>783000000</v>
      </c>
      <c r="G211" s="11" t="s">
        <v>1165</v>
      </c>
    </row>
    <row r="212" spans="1:7">
      <c r="A212" s="11" t="s">
        <v>1171</v>
      </c>
      <c r="B212" s="3">
        <v>1350000</v>
      </c>
      <c r="C212" s="11">
        <v>1</v>
      </c>
      <c r="D212" s="11">
        <f t="shared" si="8"/>
        <v>782</v>
      </c>
      <c r="E212" s="11">
        <f t="shared" si="7"/>
        <v>1</v>
      </c>
      <c r="F212" s="11">
        <f t="shared" si="5"/>
        <v>1054350000</v>
      </c>
      <c r="G212" s="11" t="s">
        <v>1174</v>
      </c>
    </row>
    <row r="213" spans="1:7">
      <c r="A213" s="11" t="s">
        <v>1177</v>
      </c>
      <c r="B213" s="3">
        <v>-2200000</v>
      </c>
      <c r="C213" s="11">
        <v>0</v>
      </c>
      <c r="D213" s="11">
        <f t="shared" si="8"/>
        <v>781</v>
      </c>
      <c r="E213" s="11">
        <f t="shared" si="7"/>
        <v>0</v>
      </c>
      <c r="F213" s="11">
        <f t="shared" si="5"/>
        <v>-1718200000</v>
      </c>
      <c r="G213" s="11" t="s">
        <v>1178</v>
      </c>
    </row>
    <row r="214" spans="1:7">
      <c r="A214" s="11" t="s">
        <v>1175</v>
      </c>
      <c r="B214" s="3">
        <v>-500500</v>
      </c>
      <c r="C214" s="11">
        <v>3</v>
      </c>
      <c r="D214" s="11">
        <f t="shared" si="8"/>
        <v>781</v>
      </c>
      <c r="E214" s="11">
        <f t="shared" si="7"/>
        <v>0</v>
      </c>
      <c r="F214" s="11">
        <f t="shared" si="5"/>
        <v>-390890500</v>
      </c>
      <c r="G214" s="11" t="s">
        <v>1182</v>
      </c>
    </row>
    <row r="215" spans="1:7">
      <c r="A215" s="11" t="s">
        <v>1185</v>
      </c>
      <c r="B215" s="3">
        <v>-45000</v>
      </c>
      <c r="C215" s="11">
        <v>0</v>
      </c>
      <c r="D215" s="11">
        <f t="shared" si="8"/>
        <v>778</v>
      </c>
      <c r="E215" s="11">
        <f t="shared" si="7"/>
        <v>0</v>
      </c>
      <c r="F215" s="11">
        <f t="shared" si="5"/>
        <v>-35010000</v>
      </c>
      <c r="G215" s="11" t="s">
        <v>1188</v>
      </c>
    </row>
    <row r="216" spans="1:7">
      <c r="A216" s="11" t="s">
        <v>1185</v>
      </c>
      <c r="B216" s="3">
        <v>1000000</v>
      </c>
      <c r="C216" s="11">
        <v>0</v>
      </c>
      <c r="D216" s="11">
        <f t="shared" si="8"/>
        <v>778</v>
      </c>
      <c r="E216" s="11">
        <f t="shared" si="7"/>
        <v>1</v>
      </c>
      <c r="F216" s="11">
        <f t="shared" si="5"/>
        <v>777000000</v>
      </c>
      <c r="G216" s="11" t="s">
        <v>1189</v>
      </c>
    </row>
    <row r="217" spans="1:7">
      <c r="A217" s="11" t="s">
        <v>1185</v>
      </c>
      <c r="B217" s="3">
        <v>-100000</v>
      </c>
      <c r="C217" s="11">
        <v>1</v>
      </c>
      <c r="D217" s="11">
        <f t="shared" si="8"/>
        <v>778</v>
      </c>
      <c r="E217" s="11">
        <f t="shared" si="7"/>
        <v>0</v>
      </c>
      <c r="F217" s="11">
        <f t="shared" si="5"/>
        <v>-77800000</v>
      </c>
      <c r="G217" s="11" t="s">
        <v>479</v>
      </c>
    </row>
    <row r="218" spans="1:7">
      <c r="A218" s="11" t="s">
        <v>1191</v>
      </c>
      <c r="B218" s="3">
        <v>-300000</v>
      </c>
      <c r="C218" s="11">
        <v>3</v>
      </c>
      <c r="D218" s="11">
        <f t="shared" si="8"/>
        <v>777</v>
      </c>
      <c r="E218" s="11">
        <f t="shared" si="7"/>
        <v>0</v>
      </c>
      <c r="F218" s="11">
        <f t="shared" si="5"/>
        <v>-233100000</v>
      </c>
      <c r="G218" s="11" t="s">
        <v>1192</v>
      </c>
    </row>
    <row r="219" spans="1:7">
      <c r="A219" s="11" t="s">
        <v>1204</v>
      </c>
      <c r="B219" s="3">
        <v>-50910</v>
      </c>
      <c r="C219" s="11">
        <v>0</v>
      </c>
      <c r="D219" s="11">
        <f t="shared" si="8"/>
        <v>774</v>
      </c>
      <c r="E219" s="11">
        <f t="shared" si="7"/>
        <v>0</v>
      </c>
      <c r="F219" s="11">
        <f t="shared" si="5"/>
        <v>-39404340</v>
      </c>
      <c r="G219" s="11" t="s">
        <v>1205</v>
      </c>
    </row>
    <row r="220" spans="1:7">
      <c r="A220" s="11" t="s">
        <v>1204</v>
      </c>
      <c r="B220" s="3">
        <v>-550500</v>
      </c>
      <c r="C220" s="11">
        <v>2</v>
      </c>
      <c r="D220" s="11">
        <f t="shared" si="8"/>
        <v>774</v>
      </c>
      <c r="E220" s="11">
        <f t="shared" si="7"/>
        <v>0</v>
      </c>
      <c r="F220" s="11">
        <f t="shared" si="5"/>
        <v>-426087000</v>
      </c>
      <c r="G220" s="11" t="s">
        <v>1206</v>
      </c>
    </row>
    <row r="221" spans="1:7">
      <c r="A221" s="11" t="s">
        <v>3622</v>
      </c>
      <c r="B221" s="3">
        <v>1600000</v>
      </c>
      <c r="C221" s="11">
        <v>1</v>
      </c>
      <c r="D221" s="11">
        <f t="shared" si="8"/>
        <v>772</v>
      </c>
      <c r="E221" s="11">
        <f t="shared" si="7"/>
        <v>1</v>
      </c>
      <c r="F221" s="11">
        <f t="shared" si="5"/>
        <v>1233600000</v>
      </c>
      <c r="G221" s="11" t="s">
        <v>3623</v>
      </c>
    </row>
    <row r="222" spans="1:7">
      <c r="A222" s="11" t="s">
        <v>3624</v>
      </c>
      <c r="B222" s="3">
        <v>-1500700</v>
      </c>
      <c r="C222" s="11">
        <v>5</v>
      </c>
      <c r="D222" s="11">
        <f t="shared" si="8"/>
        <v>771</v>
      </c>
      <c r="E222" s="11">
        <f t="shared" si="7"/>
        <v>0</v>
      </c>
      <c r="F222" s="11">
        <f t="shared" si="5"/>
        <v>-1157039700</v>
      </c>
      <c r="G222" s="11" t="s">
        <v>3626</v>
      </c>
    </row>
    <row r="223" spans="1:7">
      <c r="A223" s="11" t="s">
        <v>3634</v>
      </c>
      <c r="B223" s="3">
        <v>8619</v>
      </c>
      <c r="C223" s="11">
        <v>3</v>
      </c>
      <c r="D223" s="11">
        <f t="shared" si="8"/>
        <v>766</v>
      </c>
      <c r="E223" s="11">
        <f t="shared" si="7"/>
        <v>1</v>
      </c>
      <c r="F223" s="11">
        <f t="shared" si="5"/>
        <v>6593535</v>
      </c>
      <c r="G223" s="11" t="s">
        <v>3637</v>
      </c>
    </row>
    <row r="224" spans="1:7">
      <c r="A224" s="11" t="s">
        <v>3641</v>
      </c>
      <c r="B224" s="3">
        <v>3000000</v>
      </c>
      <c r="C224" s="11">
        <v>2</v>
      </c>
      <c r="D224" s="11">
        <f t="shared" si="8"/>
        <v>763</v>
      </c>
      <c r="E224" s="11">
        <f t="shared" si="7"/>
        <v>1</v>
      </c>
      <c r="F224" s="11">
        <f t="shared" si="5"/>
        <v>2286000000</v>
      </c>
      <c r="G224" s="11" t="s">
        <v>1165</v>
      </c>
    </row>
    <row r="225" spans="1:7">
      <c r="A225" s="11" t="s">
        <v>3657</v>
      </c>
      <c r="B225" s="3">
        <v>-3000900</v>
      </c>
      <c r="C225" s="11">
        <v>1</v>
      </c>
      <c r="D225" s="11">
        <f t="shared" si="8"/>
        <v>761</v>
      </c>
      <c r="E225" s="11">
        <f t="shared" si="7"/>
        <v>0</v>
      </c>
      <c r="F225" s="11">
        <f t="shared" si="5"/>
        <v>-2283684900</v>
      </c>
      <c r="G225" s="11" t="s">
        <v>3658</v>
      </c>
    </row>
    <row r="226" spans="1:7">
      <c r="A226" s="11" t="s">
        <v>3663</v>
      </c>
      <c r="B226" s="3">
        <v>3000000</v>
      </c>
      <c r="C226" s="11">
        <v>0</v>
      </c>
      <c r="D226" s="11">
        <f t="shared" si="8"/>
        <v>760</v>
      </c>
      <c r="E226" s="11">
        <f t="shared" si="7"/>
        <v>1</v>
      </c>
      <c r="F226" s="11">
        <f t="shared" si="5"/>
        <v>2277000000</v>
      </c>
      <c r="G226" s="11" t="s">
        <v>590</v>
      </c>
    </row>
    <row r="227" spans="1:7">
      <c r="A227" s="11" t="s">
        <v>3663</v>
      </c>
      <c r="B227" s="3">
        <v>-175400</v>
      </c>
      <c r="C227" s="11">
        <v>1</v>
      </c>
      <c r="D227" s="11">
        <f t="shared" si="8"/>
        <v>760</v>
      </c>
      <c r="E227" s="11">
        <f t="shared" si="7"/>
        <v>0</v>
      </c>
      <c r="F227" s="11">
        <f t="shared" si="5"/>
        <v>-133304000</v>
      </c>
      <c r="G227" s="11" t="s">
        <v>3664</v>
      </c>
    </row>
    <row r="228" spans="1:7">
      <c r="A228" s="11" t="s">
        <v>3667</v>
      </c>
      <c r="B228" s="3">
        <v>-1200500</v>
      </c>
      <c r="C228" s="11">
        <v>0</v>
      </c>
      <c r="D228" s="11">
        <f t="shared" si="8"/>
        <v>759</v>
      </c>
      <c r="E228" s="11">
        <f t="shared" si="7"/>
        <v>0</v>
      </c>
      <c r="F228" s="11">
        <f t="shared" si="5"/>
        <v>-911179500</v>
      </c>
      <c r="G228" s="11" t="s">
        <v>3668</v>
      </c>
    </row>
    <row r="229" spans="1:7">
      <c r="A229" s="11" t="s">
        <v>3667</v>
      </c>
      <c r="B229" s="3">
        <v>-20555</v>
      </c>
      <c r="C229" s="11">
        <v>1</v>
      </c>
      <c r="D229" s="11">
        <f t="shared" si="8"/>
        <v>759</v>
      </c>
      <c r="E229" s="11">
        <f t="shared" si="7"/>
        <v>0</v>
      </c>
      <c r="F229" s="11">
        <f t="shared" si="5"/>
        <v>-15601245</v>
      </c>
      <c r="G229" s="11" t="s">
        <v>627</v>
      </c>
    </row>
    <row r="230" spans="1:7">
      <c r="A230" s="11" t="s">
        <v>3670</v>
      </c>
      <c r="B230" s="3">
        <v>-1014466</v>
      </c>
      <c r="C230" s="11">
        <v>1</v>
      </c>
      <c r="D230" s="11">
        <f t="shared" si="8"/>
        <v>758</v>
      </c>
      <c r="E230" s="11">
        <f t="shared" si="7"/>
        <v>0</v>
      </c>
      <c r="F230" s="11">
        <f t="shared" si="5"/>
        <v>-768965228</v>
      </c>
      <c r="G230" s="11" t="s">
        <v>3671</v>
      </c>
    </row>
    <row r="231" spans="1:7">
      <c r="A231" s="11" t="s">
        <v>3678</v>
      </c>
      <c r="B231" s="3">
        <v>-24225</v>
      </c>
      <c r="C231" s="11">
        <v>1</v>
      </c>
      <c r="D231" s="11">
        <f t="shared" si="8"/>
        <v>757</v>
      </c>
      <c r="E231" s="11">
        <f t="shared" si="7"/>
        <v>0</v>
      </c>
      <c r="F231" s="11">
        <f t="shared" si="5"/>
        <v>-18338325</v>
      </c>
      <c r="G231" s="11" t="s">
        <v>627</v>
      </c>
    </row>
    <row r="232" spans="1:7">
      <c r="A232" s="11" t="s">
        <v>3679</v>
      </c>
      <c r="B232" s="3">
        <v>1100000</v>
      </c>
      <c r="C232" s="11">
        <v>0</v>
      </c>
      <c r="D232" s="11">
        <f t="shared" si="8"/>
        <v>756</v>
      </c>
      <c r="E232" s="11">
        <f t="shared" si="7"/>
        <v>1</v>
      </c>
      <c r="F232" s="11">
        <f t="shared" si="5"/>
        <v>830500000</v>
      </c>
      <c r="G232" s="11" t="s">
        <v>3680</v>
      </c>
    </row>
    <row r="233" spans="1:7">
      <c r="A233" s="11" t="s">
        <v>3679</v>
      </c>
      <c r="B233" s="3">
        <v>-147900</v>
      </c>
      <c r="C233" s="11">
        <v>4</v>
      </c>
      <c r="D233" s="11">
        <f t="shared" si="8"/>
        <v>756</v>
      </c>
      <c r="E233" s="11">
        <f t="shared" si="7"/>
        <v>0</v>
      </c>
      <c r="F233" s="11">
        <f t="shared" si="5"/>
        <v>-111812400</v>
      </c>
      <c r="G233" s="11" t="s">
        <v>3686</v>
      </c>
    </row>
    <row r="234" spans="1:7">
      <c r="A234" s="11" t="s">
        <v>3693</v>
      </c>
      <c r="B234" s="3">
        <v>-67965</v>
      </c>
      <c r="C234" s="11">
        <v>5</v>
      </c>
      <c r="D234" s="11">
        <f t="shared" si="8"/>
        <v>752</v>
      </c>
      <c r="E234" s="11">
        <f t="shared" si="7"/>
        <v>0</v>
      </c>
      <c r="F234" s="11">
        <f t="shared" si="5"/>
        <v>-51109680</v>
      </c>
      <c r="G234" s="11" t="s">
        <v>627</v>
      </c>
    </row>
    <row r="235" spans="1:7">
      <c r="A235" s="11" t="s">
        <v>3719</v>
      </c>
      <c r="B235" s="3">
        <v>-114734</v>
      </c>
      <c r="C235" s="11">
        <v>1</v>
      </c>
      <c r="D235" s="11">
        <f t="shared" si="8"/>
        <v>747</v>
      </c>
      <c r="E235" s="11">
        <f t="shared" si="7"/>
        <v>0</v>
      </c>
      <c r="F235" s="11">
        <f t="shared" si="5"/>
        <v>-85706298</v>
      </c>
      <c r="G235" s="11" t="s">
        <v>3720</v>
      </c>
    </row>
    <row r="236" spans="1:7">
      <c r="A236" s="11" t="s">
        <v>1106</v>
      </c>
      <c r="B236" s="3">
        <v>-360000</v>
      </c>
      <c r="C236" s="11">
        <v>0</v>
      </c>
      <c r="D236" s="11">
        <f t="shared" si="8"/>
        <v>746</v>
      </c>
      <c r="E236" s="11">
        <f t="shared" si="7"/>
        <v>0</v>
      </c>
      <c r="F236" s="11">
        <f t="shared" si="5"/>
        <v>-268560000</v>
      </c>
      <c r="G236" s="11" t="s">
        <v>3721</v>
      </c>
    </row>
    <row r="237" spans="1:7">
      <c r="A237" s="11" t="s">
        <v>1106</v>
      </c>
      <c r="B237" s="3">
        <v>-211000</v>
      </c>
      <c r="C237" s="11">
        <v>0</v>
      </c>
      <c r="D237" s="11">
        <f t="shared" si="8"/>
        <v>746</v>
      </c>
      <c r="E237" s="11">
        <f t="shared" si="7"/>
        <v>0</v>
      </c>
      <c r="F237" s="11">
        <f t="shared" si="5"/>
        <v>-157406000</v>
      </c>
      <c r="G237" s="11" t="s">
        <v>3723</v>
      </c>
    </row>
    <row r="238" spans="1:7">
      <c r="A238" s="11" t="s">
        <v>1106</v>
      </c>
      <c r="B238" s="3">
        <v>-189700</v>
      </c>
      <c r="C238" s="11">
        <v>1</v>
      </c>
      <c r="D238" s="11">
        <f t="shared" si="8"/>
        <v>746</v>
      </c>
      <c r="E238" s="11">
        <f t="shared" si="7"/>
        <v>0</v>
      </c>
      <c r="F238" s="11">
        <f t="shared" si="5"/>
        <v>-141516200</v>
      </c>
      <c r="G238" s="11" t="s">
        <v>3726</v>
      </c>
    </row>
    <row r="239" spans="1:7">
      <c r="A239" s="11" t="s">
        <v>3727</v>
      </c>
      <c r="B239" s="3">
        <v>-400500</v>
      </c>
      <c r="C239" s="11">
        <v>0</v>
      </c>
      <c r="D239" s="11">
        <f t="shared" si="8"/>
        <v>745</v>
      </c>
      <c r="E239" s="11">
        <f t="shared" si="7"/>
        <v>0</v>
      </c>
      <c r="F239" s="11">
        <f t="shared" si="5"/>
        <v>-298372500</v>
      </c>
      <c r="G239" s="11" t="s">
        <v>3728</v>
      </c>
    </row>
    <row r="240" spans="1:7">
      <c r="A240" s="11" t="s">
        <v>3727</v>
      </c>
      <c r="B240" s="3">
        <v>400000</v>
      </c>
      <c r="C240" s="11">
        <v>3</v>
      </c>
      <c r="D240" s="11">
        <f t="shared" si="8"/>
        <v>745</v>
      </c>
      <c r="E240" s="11">
        <f t="shared" si="7"/>
        <v>1</v>
      </c>
      <c r="F240" s="11">
        <f t="shared" si="5"/>
        <v>297600000</v>
      </c>
      <c r="G240" s="11" t="s">
        <v>3729</v>
      </c>
    </row>
    <row r="241" spans="1:7">
      <c r="A241" s="11" t="s">
        <v>3744</v>
      </c>
      <c r="B241" s="3">
        <v>-320875</v>
      </c>
      <c r="C241" s="11">
        <v>7</v>
      </c>
      <c r="D241" s="11">
        <f t="shared" si="8"/>
        <v>742</v>
      </c>
      <c r="E241" s="11">
        <f t="shared" si="7"/>
        <v>0</v>
      </c>
      <c r="F241" s="11">
        <f t="shared" si="5"/>
        <v>-238089250</v>
      </c>
      <c r="G241" s="11" t="s">
        <v>3745</v>
      </c>
    </row>
    <row r="242" spans="1:7">
      <c r="A242" s="11" t="s">
        <v>3754</v>
      </c>
      <c r="B242" s="3">
        <v>6074</v>
      </c>
      <c r="C242" s="11">
        <v>2</v>
      </c>
      <c r="D242" s="11">
        <f t="shared" si="8"/>
        <v>735</v>
      </c>
      <c r="E242" s="11">
        <f t="shared" si="7"/>
        <v>1</v>
      </c>
      <c r="F242" s="11">
        <f t="shared" si="5"/>
        <v>4458316</v>
      </c>
      <c r="G242" s="11" t="s">
        <v>559</v>
      </c>
    </row>
    <row r="243" spans="1:7">
      <c r="A243" s="11" t="s">
        <v>3756</v>
      </c>
      <c r="B243" s="3">
        <v>-370500</v>
      </c>
      <c r="C243" s="11">
        <v>15</v>
      </c>
      <c r="D243" s="11">
        <f t="shared" si="8"/>
        <v>733</v>
      </c>
      <c r="E243" s="11">
        <f t="shared" si="7"/>
        <v>0</v>
      </c>
      <c r="F243" s="11">
        <f t="shared" si="5"/>
        <v>-271576500</v>
      </c>
      <c r="G243" s="11" t="s">
        <v>3757</v>
      </c>
    </row>
    <row r="244" spans="1:7">
      <c r="A244" s="11" t="s">
        <v>3865</v>
      </c>
      <c r="B244" s="3">
        <v>3000000</v>
      </c>
      <c r="C244" s="11">
        <v>2</v>
      </c>
      <c r="D244" s="11">
        <f t="shared" si="8"/>
        <v>718</v>
      </c>
      <c r="E244" s="11">
        <f t="shared" si="7"/>
        <v>1</v>
      </c>
      <c r="F244" s="11">
        <f t="shared" si="5"/>
        <v>2151000000</v>
      </c>
      <c r="G244" s="11" t="s">
        <v>3866</v>
      </c>
    </row>
    <row r="245" spans="1:7">
      <c r="A245" s="11" t="s">
        <v>3873</v>
      </c>
      <c r="B245" s="3">
        <v>-80000</v>
      </c>
      <c r="C245" s="11">
        <v>1</v>
      </c>
      <c r="D245" s="11">
        <f t="shared" si="8"/>
        <v>716</v>
      </c>
      <c r="E245" s="11">
        <f t="shared" si="7"/>
        <v>0</v>
      </c>
      <c r="F245" s="11">
        <f t="shared" si="5"/>
        <v>-57280000</v>
      </c>
      <c r="G245" s="11" t="s">
        <v>479</v>
      </c>
    </row>
    <row r="246" spans="1:7">
      <c r="A246" s="11" t="s">
        <v>3874</v>
      </c>
      <c r="B246" s="3">
        <v>-2700000</v>
      </c>
      <c r="C246" s="11">
        <v>0</v>
      </c>
      <c r="D246" s="11">
        <f t="shared" si="8"/>
        <v>715</v>
      </c>
      <c r="E246" s="11">
        <f t="shared" si="7"/>
        <v>0</v>
      </c>
      <c r="F246" s="11">
        <f t="shared" si="5"/>
        <v>-1930500000</v>
      </c>
      <c r="G246" s="11" t="s">
        <v>3876</v>
      </c>
    </row>
    <row r="247" spans="1:7">
      <c r="A247" s="11" t="s">
        <v>3874</v>
      </c>
      <c r="B247" s="3">
        <v>-30000</v>
      </c>
      <c r="C247" s="11">
        <v>2</v>
      </c>
      <c r="D247" s="11">
        <f t="shared" si="8"/>
        <v>715</v>
      </c>
      <c r="E247" s="11">
        <f t="shared" si="7"/>
        <v>0</v>
      </c>
      <c r="F247" s="11">
        <f t="shared" si="5"/>
        <v>-21450000</v>
      </c>
      <c r="G247" s="11" t="s">
        <v>3876</v>
      </c>
    </row>
    <row r="248" spans="1:7">
      <c r="A248" s="11" t="s">
        <v>3880</v>
      </c>
      <c r="B248" s="3">
        <v>-120000</v>
      </c>
      <c r="C248" s="11">
        <v>1</v>
      </c>
      <c r="D248" s="11">
        <f t="shared" si="8"/>
        <v>713</v>
      </c>
      <c r="E248" s="11">
        <f t="shared" si="7"/>
        <v>0</v>
      </c>
      <c r="F248" s="11">
        <f t="shared" si="5"/>
        <v>-85560000</v>
      </c>
      <c r="G248" s="11" t="s">
        <v>3881</v>
      </c>
    </row>
    <row r="249" spans="1:7">
      <c r="A249" s="61" t="s">
        <v>3898</v>
      </c>
      <c r="B249" s="123">
        <v>-56425</v>
      </c>
      <c r="C249" s="11">
        <v>1</v>
      </c>
      <c r="D249" s="11">
        <f t="shared" si="8"/>
        <v>712</v>
      </c>
      <c r="E249" s="11">
        <f>IF(B250&gt;0,1,0)</f>
        <v>1</v>
      </c>
      <c r="F249" s="11">
        <f t="shared" si="5"/>
        <v>-40118175</v>
      </c>
      <c r="G249" s="61" t="s">
        <v>627</v>
      </c>
    </row>
    <row r="250" spans="1:7">
      <c r="A250" s="11" t="s">
        <v>3888</v>
      </c>
      <c r="B250" s="3">
        <v>800000</v>
      </c>
      <c r="C250" s="11">
        <v>1</v>
      </c>
      <c r="D250" s="11">
        <f t="shared" si="8"/>
        <v>711</v>
      </c>
      <c r="E250" s="11">
        <f>IF(B251&gt;0,1,0)</f>
        <v>0</v>
      </c>
      <c r="F250" s="11">
        <f t="shared" ref="F250:F313" si="9">B250*(D250-E250)</f>
        <v>568800000</v>
      </c>
      <c r="G250" s="11" t="s">
        <v>3853</v>
      </c>
    </row>
    <row r="251" spans="1:7">
      <c r="A251" s="11" t="s">
        <v>3893</v>
      </c>
      <c r="B251" s="3">
        <v>-19450</v>
      </c>
      <c r="C251" s="11">
        <v>0</v>
      </c>
      <c r="D251" s="11">
        <f t="shared" si="8"/>
        <v>710</v>
      </c>
      <c r="E251" s="11">
        <f>IF(B252&gt;0,1,0)</f>
        <v>0</v>
      </c>
      <c r="F251" s="11">
        <f t="shared" si="9"/>
        <v>-13809500</v>
      </c>
      <c r="G251" s="11" t="s">
        <v>3896</v>
      </c>
    </row>
    <row r="252" spans="1:7">
      <c r="A252" s="11" t="s">
        <v>3893</v>
      </c>
      <c r="B252" s="3">
        <v>-500000</v>
      </c>
      <c r="C252" s="11">
        <v>0</v>
      </c>
      <c r="D252" s="11">
        <f t="shared" si="8"/>
        <v>710</v>
      </c>
      <c r="E252" s="11">
        <f>IF(B253&gt;0,1,0)</f>
        <v>1</v>
      </c>
      <c r="F252" s="11">
        <f t="shared" si="9"/>
        <v>-354500000</v>
      </c>
      <c r="G252" s="11" t="s">
        <v>3897</v>
      </c>
    </row>
    <row r="253" spans="1:7">
      <c r="A253" s="11" t="s">
        <v>3893</v>
      </c>
      <c r="B253" s="3">
        <v>500000</v>
      </c>
      <c r="C253" s="11">
        <v>0</v>
      </c>
      <c r="D253" s="11">
        <f t="shared" si="8"/>
        <v>710</v>
      </c>
      <c r="E253" s="11">
        <f t="shared" ref="E253:E275" si="10">IF(B254&gt;0,1,0)</f>
        <v>0</v>
      </c>
      <c r="F253" s="11">
        <f t="shared" si="9"/>
        <v>355000000</v>
      </c>
      <c r="G253" s="11" t="s">
        <v>3897</v>
      </c>
    </row>
    <row r="254" spans="1:7">
      <c r="A254" s="11" t="s">
        <v>3893</v>
      </c>
      <c r="B254" s="3">
        <v>-454613</v>
      </c>
      <c r="C254" s="11">
        <v>1</v>
      </c>
      <c r="D254" s="11">
        <f t="shared" si="8"/>
        <v>710</v>
      </c>
      <c r="E254" s="11">
        <f t="shared" si="10"/>
        <v>0</v>
      </c>
      <c r="F254" s="11">
        <f t="shared" si="9"/>
        <v>-322775230</v>
      </c>
      <c r="G254" s="11" t="s">
        <v>3899</v>
      </c>
    </row>
    <row r="255" spans="1:7">
      <c r="A255" s="11" t="s">
        <v>3901</v>
      </c>
      <c r="B255" s="3">
        <v>-19600</v>
      </c>
      <c r="C255" s="11">
        <v>0</v>
      </c>
      <c r="D255" s="11">
        <f t="shared" si="8"/>
        <v>709</v>
      </c>
      <c r="E255" s="11">
        <f t="shared" si="10"/>
        <v>0</v>
      </c>
      <c r="F255" s="11">
        <f t="shared" si="9"/>
        <v>-13896400</v>
      </c>
      <c r="G255" s="11" t="s">
        <v>3903</v>
      </c>
    </row>
    <row r="256" spans="1:7">
      <c r="A256" s="11" t="s">
        <v>3901</v>
      </c>
      <c r="B256" s="3">
        <v>-25220</v>
      </c>
      <c r="C256" s="11">
        <v>1</v>
      </c>
      <c r="D256" s="11">
        <f t="shared" si="8"/>
        <v>709</v>
      </c>
      <c r="E256" s="11">
        <f t="shared" si="10"/>
        <v>0</v>
      </c>
      <c r="F256" s="11">
        <f t="shared" si="9"/>
        <v>-17880980</v>
      </c>
      <c r="G256" s="11" t="s">
        <v>3720</v>
      </c>
    </row>
    <row r="257" spans="1:11">
      <c r="A257" s="11" t="s">
        <v>3905</v>
      </c>
      <c r="B257" s="3">
        <v>-149500</v>
      </c>
      <c r="C257" s="11">
        <v>0</v>
      </c>
      <c r="D257" s="11">
        <f t="shared" si="8"/>
        <v>708</v>
      </c>
      <c r="E257" s="11">
        <f t="shared" si="10"/>
        <v>0</v>
      </c>
      <c r="F257" s="11">
        <f t="shared" si="9"/>
        <v>-105846000</v>
      </c>
      <c r="G257" s="11" t="s">
        <v>3906</v>
      </c>
    </row>
    <row r="258" spans="1:11">
      <c r="A258" s="11" t="s">
        <v>3905</v>
      </c>
      <c r="B258" s="3">
        <v>-155000</v>
      </c>
      <c r="C258" s="11">
        <v>82</v>
      </c>
      <c r="D258" s="11">
        <f t="shared" si="8"/>
        <v>708</v>
      </c>
      <c r="E258" s="11">
        <f t="shared" si="10"/>
        <v>0</v>
      </c>
      <c r="F258" s="11">
        <f t="shared" si="9"/>
        <v>-109740000</v>
      </c>
      <c r="G258" s="11" t="s">
        <v>3907</v>
      </c>
    </row>
    <row r="259" spans="1:11">
      <c r="A259" s="11" t="s">
        <v>4190</v>
      </c>
      <c r="B259" s="3">
        <v>-5000</v>
      </c>
      <c r="C259" s="11">
        <v>82</v>
      </c>
      <c r="D259" s="11">
        <f t="shared" si="8"/>
        <v>626</v>
      </c>
      <c r="E259" s="11">
        <f t="shared" si="10"/>
        <v>1</v>
      </c>
      <c r="F259" s="11">
        <f t="shared" si="9"/>
        <v>-3125000</v>
      </c>
      <c r="G259" s="11" t="s">
        <v>4197</v>
      </c>
    </row>
    <row r="260" spans="1:11">
      <c r="A260" s="11" t="s">
        <v>4480</v>
      </c>
      <c r="B260" s="3">
        <v>100000</v>
      </c>
      <c r="C260" s="11">
        <v>1</v>
      </c>
      <c r="D260" s="11">
        <f t="shared" si="8"/>
        <v>544</v>
      </c>
      <c r="E260" s="11">
        <f t="shared" si="10"/>
        <v>1</v>
      </c>
      <c r="F260" s="11">
        <f t="shared" si="9"/>
        <v>54300000</v>
      </c>
      <c r="G260" s="11" t="s">
        <v>3853</v>
      </c>
    </row>
    <row r="261" spans="1:11">
      <c r="A261" s="11" t="s">
        <v>957</v>
      </c>
      <c r="B261" s="3">
        <v>3000000</v>
      </c>
      <c r="C261" s="11">
        <v>3</v>
      </c>
      <c r="D261" s="11">
        <f t="shared" si="8"/>
        <v>543</v>
      </c>
      <c r="E261" s="11">
        <f t="shared" si="10"/>
        <v>0</v>
      </c>
      <c r="F261" s="11">
        <f t="shared" si="9"/>
        <v>1629000000</v>
      </c>
      <c r="G261" s="11" t="s">
        <v>3853</v>
      </c>
    </row>
    <row r="262" spans="1:11">
      <c r="A262" s="11" t="s">
        <v>4489</v>
      </c>
      <c r="B262" s="3">
        <v>-66500</v>
      </c>
      <c r="C262" s="11">
        <v>2</v>
      </c>
      <c r="D262" s="11">
        <f t="shared" si="8"/>
        <v>540</v>
      </c>
      <c r="E262" s="11">
        <f t="shared" si="10"/>
        <v>0</v>
      </c>
      <c r="F262" s="11">
        <f t="shared" si="9"/>
        <v>-35910000</v>
      </c>
      <c r="G262" s="11" t="s">
        <v>3926</v>
      </c>
      <c r="K262" t="s">
        <v>25</v>
      </c>
    </row>
    <row r="263" spans="1:11">
      <c r="A263" s="11" t="s">
        <v>4490</v>
      </c>
      <c r="B263" s="3">
        <v>-37878</v>
      </c>
      <c r="C263" s="11">
        <v>2</v>
      </c>
      <c r="D263" s="11">
        <f t="shared" si="8"/>
        <v>538</v>
      </c>
      <c r="E263" s="11">
        <f t="shared" si="10"/>
        <v>0</v>
      </c>
      <c r="F263" s="11">
        <f t="shared" si="9"/>
        <v>-20378364</v>
      </c>
      <c r="G263" s="11" t="s">
        <v>4491</v>
      </c>
      <c r="J263" t="s">
        <v>25</v>
      </c>
      <c r="K263" t="s">
        <v>25</v>
      </c>
    </row>
    <row r="264" spans="1:11">
      <c r="A264" s="11" t="s">
        <v>4486</v>
      </c>
      <c r="B264" s="3">
        <v>-41500</v>
      </c>
      <c r="C264" s="11">
        <v>3</v>
      </c>
      <c r="D264" s="11">
        <f t="shared" si="8"/>
        <v>536</v>
      </c>
      <c r="E264" s="11">
        <f t="shared" si="10"/>
        <v>0</v>
      </c>
      <c r="F264" s="11">
        <f t="shared" si="9"/>
        <v>-22244000</v>
      </c>
      <c r="G264" s="11" t="s">
        <v>1002</v>
      </c>
      <c r="J264" t="s">
        <v>25</v>
      </c>
    </row>
    <row r="265" spans="1:11">
      <c r="A265" s="11" t="s">
        <v>4511</v>
      </c>
      <c r="B265" s="3">
        <v>-190000</v>
      </c>
      <c r="C265" s="11">
        <v>1</v>
      </c>
      <c r="D265" s="11">
        <f t="shared" si="8"/>
        <v>533</v>
      </c>
      <c r="E265" s="11">
        <f t="shared" si="10"/>
        <v>0</v>
      </c>
      <c r="F265" s="11">
        <f t="shared" si="9"/>
        <v>-101270000</v>
      </c>
      <c r="G265" s="11"/>
    </row>
    <row r="266" spans="1:11">
      <c r="A266" s="11" t="s">
        <v>4510</v>
      </c>
      <c r="B266" s="3">
        <v>-55000</v>
      </c>
      <c r="C266" s="11">
        <v>1</v>
      </c>
      <c r="D266" s="11">
        <f t="shared" si="8"/>
        <v>532</v>
      </c>
      <c r="E266" s="11">
        <f t="shared" si="10"/>
        <v>0</v>
      </c>
      <c r="F266" s="11">
        <f t="shared" si="9"/>
        <v>-29260000</v>
      </c>
      <c r="G266" s="11"/>
    </row>
    <row r="267" spans="1:11">
      <c r="A267" s="11" t="s">
        <v>4504</v>
      </c>
      <c r="B267" s="3">
        <v>-29395</v>
      </c>
      <c r="C267" s="11">
        <v>2</v>
      </c>
      <c r="D267" s="11">
        <f t="shared" si="8"/>
        <v>531</v>
      </c>
      <c r="E267" s="11">
        <f t="shared" si="10"/>
        <v>0</v>
      </c>
      <c r="F267" s="11">
        <f t="shared" si="9"/>
        <v>-15608745</v>
      </c>
      <c r="G267" s="11"/>
    </row>
    <row r="268" spans="1:11">
      <c r="A268" s="11" t="s">
        <v>4183</v>
      </c>
      <c r="B268" s="3">
        <v>-50000</v>
      </c>
      <c r="C268" s="11">
        <v>1</v>
      </c>
      <c r="D268" s="11">
        <f t="shared" si="8"/>
        <v>529</v>
      </c>
      <c r="E268" s="11">
        <f t="shared" si="10"/>
        <v>0</v>
      </c>
      <c r="F268" s="11">
        <f t="shared" si="9"/>
        <v>-26450000</v>
      </c>
      <c r="G268" s="11"/>
    </row>
    <row r="269" spans="1:11">
      <c r="A269" s="11" t="s">
        <v>4512</v>
      </c>
      <c r="B269" s="3">
        <v>-80000</v>
      </c>
      <c r="C269" s="11">
        <v>1</v>
      </c>
      <c r="D269" s="11">
        <f t="shared" si="8"/>
        <v>528</v>
      </c>
      <c r="E269" s="11">
        <f t="shared" si="10"/>
        <v>0</v>
      </c>
      <c r="F269" s="11">
        <f t="shared" si="9"/>
        <v>-42240000</v>
      </c>
      <c r="G269" s="11"/>
    </row>
    <row r="270" spans="1:11">
      <c r="A270" s="11" t="s">
        <v>3653</v>
      </c>
      <c r="B270" s="3">
        <v>-98909</v>
      </c>
      <c r="C270" s="11">
        <v>3</v>
      </c>
      <c r="D270" s="11">
        <f t="shared" si="8"/>
        <v>527</v>
      </c>
      <c r="E270" s="11">
        <f t="shared" si="10"/>
        <v>0</v>
      </c>
      <c r="F270" s="11">
        <f t="shared" si="9"/>
        <v>-52125043</v>
      </c>
      <c r="G270" s="11"/>
    </row>
    <row r="271" spans="1:11">
      <c r="A271" s="11" t="s">
        <v>4516</v>
      </c>
      <c r="B271" s="3">
        <v>-9380</v>
      </c>
      <c r="C271" s="11">
        <v>0</v>
      </c>
      <c r="D271" s="11">
        <f t="shared" si="8"/>
        <v>524</v>
      </c>
      <c r="E271" s="11">
        <f t="shared" si="10"/>
        <v>0</v>
      </c>
      <c r="F271" s="11">
        <f t="shared" si="9"/>
        <v>-4915120</v>
      </c>
      <c r="G271" s="11"/>
    </row>
    <row r="272" spans="1:11">
      <c r="A272" s="11" t="s">
        <v>4516</v>
      </c>
      <c r="B272" s="3">
        <v>-2400000</v>
      </c>
      <c r="C272" s="11">
        <v>3</v>
      </c>
      <c r="D272" s="11">
        <f t="shared" si="8"/>
        <v>524</v>
      </c>
      <c r="E272" s="11">
        <f t="shared" si="10"/>
        <v>1</v>
      </c>
      <c r="F272" s="11">
        <f t="shared" si="9"/>
        <v>-1255200000</v>
      </c>
      <c r="G272" s="11"/>
    </row>
    <row r="273" spans="1:11">
      <c r="A273" s="11" t="s">
        <v>4526</v>
      </c>
      <c r="B273" s="3">
        <v>15000</v>
      </c>
      <c r="C273" s="11">
        <v>93</v>
      </c>
      <c r="D273" s="11">
        <f t="shared" si="8"/>
        <v>521</v>
      </c>
      <c r="E273" s="11">
        <f t="shared" si="10"/>
        <v>1</v>
      </c>
      <c r="F273" s="11">
        <f t="shared" si="9"/>
        <v>7800000</v>
      </c>
      <c r="G273" s="11"/>
    </row>
    <row r="274" spans="1:11">
      <c r="A274" s="11" t="s">
        <v>4785</v>
      </c>
      <c r="B274" s="3">
        <v>3500000</v>
      </c>
      <c r="C274" s="11">
        <v>0</v>
      </c>
      <c r="D274" s="11">
        <f t="shared" si="8"/>
        <v>428</v>
      </c>
      <c r="E274" s="11">
        <f t="shared" si="10"/>
        <v>0</v>
      </c>
      <c r="F274" s="11">
        <f t="shared" si="9"/>
        <v>1498000000</v>
      </c>
      <c r="G274" s="11"/>
    </row>
    <row r="275" spans="1:11">
      <c r="A275" s="11" t="s">
        <v>4785</v>
      </c>
      <c r="B275" s="3">
        <v>-224012</v>
      </c>
      <c r="C275" s="11">
        <v>2</v>
      </c>
      <c r="D275" s="11">
        <f t="shared" si="8"/>
        <v>428</v>
      </c>
      <c r="E275" s="11">
        <f t="shared" si="10"/>
        <v>0</v>
      </c>
      <c r="F275" s="11">
        <f t="shared" si="9"/>
        <v>-95877136</v>
      </c>
      <c r="G275" s="11"/>
    </row>
    <row r="276" spans="1:11">
      <c r="A276" s="11" t="s">
        <v>4797</v>
      </c>
      <c r="B276" s="3">
        <v>-104671</v>
      </c>
      <c r="C276" s="11">
        <v>1</v>
      </c>
      <c r="D276" s="11">
        <f>D277+C276</f>
        <v>426</v>
      </c>
      <c r="E276" s="11">
        <f>IF(B277&gt;0,1,0)</f>
        <v>0</v>
      </c>
      <c r="F276" s="11">
        <f t="shared" si="9"/>
        <v>-44589846</v>
      </c>
      <c r="G276" s="11"/>
    </row>
    <row r="277" spans="1:11">
      <c r="A277" s="11" t="s">
        <v>4798</v>
      </c>
      <c r="B277" s="3">
        <v>-272000</v>
      </c>
      <c r="C277" s="11">
        <v>1</v>
      </c>
      <c r="D277" s="11">
        <f>D278+C277</f>
        <v>425</v>
      </c>
      <c r="E277" s="11">
        <f>IF(B278&gt;0,1,0)</f>
        <v>0</v>
      </c>
      <c r="F277" s="11">
        <f t="shared" si="9"/>
        <v>-115600000</v>
      </c>
      <c r="G277" s="11"/>
    </row>
    <row r="278" spans="1:11">
      <c r="A278" s="11" t="s">
        <v>4800</v>
      </c>
      <c r="B278" s="3">
        <v>-2565078</v>
      </c>
      <c r="C278" s="11">
        <v>2</v>
      </c>
      <c r="D278" s="11">
        <f>D279+C278</f>
        <v>424</v>
      </c>
      <c r="E278" s="11">
        <f>IF(B279&gt;0,1,0)</f>
        <v>0</v>
      </c>
      <c r="F278" s="11">
        <f t="shared" si="9"/>
        <v>-1087593072</v>
      </c>
      <c r="G278" s="11"/>
    </row>
    <row r="279" spans="1:11">
      <c r="A279" s="11" t="s">
        <v>4757</v>
      </c>
      <c r="B279" s="3">
        <v>-213500</v>
      </c>
      <c r="C279" s="11">
        <v>1</v>
      </c>
      <c r="D279" s="11">
        <f>D280+C279</f>
        <v>422</v>
      </c>
      <c r="E279" s="11">
        <f>IF(B280&gt;0,1,0)</f>
        <v>0</v>
      </c>
      <c r="F279" s="11">
        <f t="shared" si="9"/>
        <v>-90097000</v>
      </c>
      <c r="G279" s="11"/>
    </row>
    <row r="280" spans="1:11">
      <c r="A280" s="11" t="s">
        <v>4816</v>
      </c>
      <c r="B280" s="3">
        <v>-3810</v>
      </c>
      <c r="C280" s="11">
        <v>1</v>
      </c>
      <c r="D280" s="11">
        <f>D281+C280</f>
        <v>421</v>
      </c>
      <c r="E280" s="11">
        <f>IF(B281&gt;0,1,0)</f>
        <v>0</v>
      </c>
      <c r="F280" s="11">
        <f t="shared" si="9"/>
        <v>-1604010</v>
      </c>
      <c r="G280" s="11"/>
      <c r="J280" t="s">
        <v>25</v>
      </c>
    </row>
    <row r="281" spans="1:11">
      <c r="A281" s="11" t="s">
        <v>4817</v>
      </c>
      <c r="B281" s="3">
        <v>-120632</v>
      </c>
      <c r="C281" s="11">
        <v>1</v>
      </c>
      <c r="D281" s="11">
        <f t="shared" ref="D281:D288" si="11">D282+C281</f>
        <v>420</v>
      </c>
      <c r="E281" s="11">
        <f t="shared" ref="E281:E288" si="12">IF(B282&gt;0,1,0)</f>
        <v>1</v>
      </c>
      <c r="F281" s="11">
        <f t="shared" si="9"/>
        <v>-50544808</v>
      </c>
      <c r="G281" s="11"/>
      <c r="J281" t="s">
        <v>25</v>
      </c>
    </row>
    <row r="282" spans="1:11">
      <c r="A282" s="11" t="s">
        <v>4806</v>
      </c>
      <c r="B282" s="3">
        <v>80000</v>
      </c>
      <c r="C282" s="11">
        <v>0</v>
      </c>
      <c r="D282" s="11">
        <f t="shared" si="11"/>
        <v>419</v>
      </c>
      <c r="E282" s="11">
        <f t="shared" si="12"/>
        <v>0</v>
      </c>
      <c r="F282" s="11">
        <f t="shared" si="9"/>
        <v>33520000</v>
      </c>
      <c r="G282" s="11"/>
    </row>
    <row r="283" spans="1:11">
      <c r="A283" s="11" t="s">
        <v>4806</v>
      </c>
      <c r="B283" s="3">
        <v>-2500</v>
      </c>
      <c r="C283" s="11">
        <v>1</v>
      </c>
      <c r="D283" s="11">
        <f t="shared" si="11"/>
        <v>419</v>
      </c>
      <c r="E283" s="11">
        <f t="shared" si="12"/>
        <v>0</v>
      </c>
      <c r="F283" s="11">
        <f t="shared" si="9"/>
        <v>-1047500</v>
      </c>
      <c r="G283" s="11"/>
      <c r="J283" s="7">
        <f>B422-498804</f>
        <v>4142795</v>
      </c>
    </row>
    <row r="284" spans="1:11">
      <c r="A284" s="11" t="s">
        <v>4810</v>
      </c>
      <c r="B284" s="3">
        <v>-30000</v>
      </c>
      <c r="C284" s="11">
        <v>1</v>
      </c>
      <c r="D284" s="11">
        <f t="shared" si="11"/>
        <v>418</v>
      </c>
      <c r="E284" s="11">
        <f t="shared" si="12"/>
        <v>0</v>
      </c>
      <c r="F284" s="11">
        <f t="shared" si="9"/>
        <v>-12540000</v>
      </c>
      <c r="G284" s="11"/>
    </row>
    <row r="285" spans="1:11">
      <c r="A285" s="11" t="s">
        <v>4818</v>
      </c>
      <c r="B285" s="3">
        <v>-19800</v>
      </c>
      <c r="C285" s="11">
        <v>1</v>
      </c>
      <c r="D285" s="11">
        <f t="shared" si="11"/>
        <v>417</v>
      </c>
      <c r="E285" s="11">
        <f t="shared" si="12"/>
        <v>1</v>
      </c>
      <c r="F285" s="11">
        <f t="shared" si="9"/>
        <v>-8236800</v>
      </c>
      <c r="G285" s="11"/>
      <c r="K285" t="s">
        <v>25</v>
      </c>
    </row>
    <row r="286" spans="1:11">
      <c r="A286" s="11" t="s">
        <v>4809</v>
      </c>
      <c r="B286" s="3">
        <v>940000</v>
      </c>
      <c r="C286" s="11">
        <v>0</v>
      </c>
      <c r="D286" s="11">
        <f t="shared" si="11"/>
        <v>416</v>
      </c>
      <c r="E286" s="11">
        <f t="shared" si="12"/>
        <v>0</v>
      </c>
      <c r="F286" s="11">
        <f t="shared" si="9"/>
        <v>391040000</v>
      </c>
      <c r="G286" s="11"/>
    </row>
    <row r="287" spans="1:11">
      <c r="A287" s="11" t="s">
        <v>4809</v>
      </c>
      <c r="B287" s="3">
        <v>-201000</v>
      </c>
      <c r="C287" s="11">
        <v>1</v>
      </c>
      <c r="D287" s="11">
        <f t="shared" si="11"/>
        <v>416</v>
      </c>
      <c r="E287" s="11">
        <f t="shared" si="12"/>
        <v>0</v>
      </c>
      <c r="F287" s="11">
        <f t="shared" si="9"/>
        <v>-83616000</v>
      </c>
      <c r="G287" s="11"/>
    </row>
    <row r="288" spans="1:11">
      <c r="A288" s="11" t="s">
        <v>4814</v>
      </c>
      <c r="B288" s="3">
        <v>-320930</v>
      </c>
      <c r="C288" s="11">
        <v>3</v>
      </c>
      <c r="D288" s="11">
        <f t="shared" si="11"/>
        <v>415</v>
      </c>
      <c r="E288" s="11">
        <f t="shared" si="12"/>
        <v>0</v>
      </c>
      <c r="F288" s="11">
        <f t="shared" si="9"/>
        <v>-133185950</v>
      </c>
      <c r="G288" s="11"/>
    </row>
    <row r="289" spans="1:10">
      <c r="A289" s="11" t="s">
        <v>4815</v>
      </c>
      <c r="B289" s="3">
        <v>-400000</v>
      </c>
      <c r="C289" s="11">
        <v>1</v>
      </c>
      <c r="D289" s="11">
        <f t="shared" ref="D289:D306" si="13">D290+C289</f>
        <v>412</v>
      </c>
      <c r="E289" s="11">
        <f t="shared" ref="E289:E306" si="14">IF(B290&gt;0,1,0)</f>
        <v>0</v>
      </c>
      <c r="F289" s="11">
        <f t="shared" si="9"/>
        <v>-164800000</v>
      </c>
      <c r="G289" s="11"/>
    </row>
    <row r="290" spans="1:10">
      <c r="A290" s="11" t="s">
        <v>4820</v>
      </c>
      <c r="B290" s="3">
        <v>-16500</v>
      </c>
      <c r="C290" s="11">
        <v>11</v>
      </c>
      <c r="D290" s="11">
        <f t="shared" si="13"/>
        <v>411</v>
      </c>
      <c r="E290" s="11">
        <f t="shared" si="14"/>
        <v>1</v>
      </c>
      <c r="F290" s="11">
        <f t="shared" si="9"/>
        <v>-6765000</v>
      </c>
      <c r="G290" s="11"/>
    </row>
    <row r="291" spans="1:10">
      <c r="A291" s="11" t="s">
        <v>4836</v>
      </c>
      <c r="B291" s="3">
        <v>2600000</v>
      </c>
      <c r="C291" s="11">
        <v>2</v>
      </c>
      <c r="D291" s="11">
        <f t="shared" si="13"/>
        <v>400</v>
      </c>
      <c r="E291" s="11">
        <f t="shared" si="14"/>
        <v>0</v>
      </c>
      <c r="F291" s="11">
        <f t="shared" si="9"/>
        <v>1040000000</v>
      </c>
      <c r="G291" s="11"/>
      <c r="I291" t="s">
        <v>25</v>
      </c>
    </row>
    <row r="292" spans="1:10">
      <c r="A292" s="11" t="s">
        <v>4837</v>
      </c>
      <c r="B292" s="3">
        <v>-1170000</v>
      </c>
      <c r="C292" s="11">
        <v>0</v>
      </c>
      <c r="D292" s="11">
        <f t="shared" si="13"/>
        <v>398</v>
      </c>
      <c r="E292" s="11">
        <f t="shared" si="14"/>
        <v>0</v>
      </c>
      <c r="F292" s="11">
        <f t="shared" si="9"/>
        <v>-465660000</v>
      </c>
      <c r="G292" s="11" t="s">
        <v>4838</v>
      </c>
      <c r="J292" t="s">
        <v>25</v>
      </c>
    </row>
    <row r="293" spans="1:10">
      <c r="A293" s="11" t="s">
        <v>4837</v>
      </c>
      <c r="B293" s="3">
        <v>-9000</v>
      </c>
      <c r="C293" s="11">
        <v>1</v>
      </c>
      <c r="D293" s="11">
        <f t="shared" si="13"/>
        <v>398</v>
      </c>
      <c r="E293" s="11">
        <f t="shared" si="14"/>
        <v>0</v>
      </c>
      <c r="F293" s="11">
        <f t="shared" si="9"/>
        <v>-3582000</v>
      </c>
      <c r="G293" s="11"/>
    </row>
    <row r="294" spans="1:10">
      <c r="A294" s="11" t="s">
        <v>4839</v>
      </c>
      <c r="B294" s="3">
        <v>-1145000</v>
      </c>
      <c r="C294" s="11">
        <v>0</v>
      </c>
      <c r="D294" s="11">
        <f t="shared" si="13"/>
        <v>397</v>
      </c>
      <c r="E294" s="11">
        <f t="shared" si="14"/>
        <v>0</v>
      </c>
      <c r="F294" s="11">
        <f t="shared" si="9"/>
        <v>-454565000</v>
      </c>
      <c r="G294" s="11" t="s">
        <v>4840</v>
      </c>
    </row>
    <row r="295" spans="1:10">
      <c r="A295" s="11" t="s">
        <v>4839</v>
      </c>
      <c r="B295" s="3">
        <v>-94549</v>
      </c>
      <c r="C295" s="11">
        <v>2</v>
      </c>
      <c r="D295" s="11">
        <f t="shared" si="13"/>
        <v>397</v>
      </c>
      <c r="E295" s="11">
        <f t="shared" si="14"/>
        <v>0</v>
      </c>
      <c r="F295" s="11">
        <f t="shared" si="9"/>
        <v>-37535953</v>
      </c>
      <c r="G295" s="11" t="s">
        <v>483</v>
      </c>
      <c r="J295" t="s">
        <v>25</v>
      </c>
    </row>
    <row r="296" spans="1:10">
      <c r="A296" s="11" t="s">
        <v>4985</v>
      </c>
      <c r="B296" s="3">
        <v>-3500</v>
      </c>
      <c r="C296" s="11">
        <v>1</v>
      </c>
      <c r="D296" s="11">
        <f t="shared" si="13"/>
        <v>395</v>
      </c>
      <c r="E296" s="11">
        <f t="shared" si="14"/>
        <v>0</v>
      </c>
      <c r="F296" s="11">
        <f t="shared" si="9"/>
        <v>-1382500</v>
      </c>
      <c r="G296" s="11"/>
      <c r="I296" s="7">
        <f>B422-735892</f>
        <v>3905707</v>
      </c>
    </row>
    <row r="297" spans="1:10">
      <c r="A297" s="11" t="s">
        <v>4847</v>
      </c>
      <c r="B297" s="3">
        <v>-44900</v>
      </c>
      <c r="C297" s="11">
        <v>0</v>
      </c>
      <c r="D297" s="11">
        <f t="shared" si="13"/>
        <v>394</v>
      </c>
      <c r="E297" s="11">
        <f t="shared" si="14"/>
        <v>0</v>
      </c>
      <c r="F297" s="11">
        <f t="shared" si="9"/>
        <v>-17690600</v>
      </c>
      <c r="G297" s="11"/>
    </row>
    <row r="298" spans="1:10">
      <c r="A298" s="11" t="s">
        <v>4847</v>
      </c>
      <c r="B298" s="3">
        <v>-50000</v>
      </c>
      <c r="C298" s="11">
        <v>10</v>
      </c>
      <c r="D298" s="11">
        <f t="shared" si="13"/>
        <v>394</v>
      </c>
      <c r="E298" s="11">
        <f t="shared" si="14"/>
        <v>0</v>
      </c>
      <c r="F298" s="11">
        <f t="shared" si="9"/>
        <v>-19700000</v>
      </c>
      <c r="G298" s="11" t="s">
        <v>483</v>
      </c>
    </row>
    <row r="299" spans="1:10">
      <c r="A299" s="11" t="s">
        <v>4862</v>
      </c>
      <c r="B299" s="3">
        <v>-19850</v>
      </c>
      <c r="C299" s="11">
        <v>1</v>
      </c>
      <c r="D299" s="11">
        <f t="shared" si="13"/>
        <v>384</v>
      </c>
      <c r="E299" s="11">
        <f t="shared" si="14"/>
        <v>0</v>
      </c>
      <c r="F299" s="11">
        <f t="shared" si="9"/>
        <v>-7622400</v>
      </c>
      <c r="G299" s="11"/>
    </row>
    <row r="300" spans="1:10">
      <c r="A300" s="11" t="s">
        <v>4863</v>
      </c>
      <c r="B300" s="3">
        <v>-39770</v>
      </c>
      <c r="C300" s="11">
        <v>6</v>
      </c>
      <c r="D300" s="11">
        <f t="shared" si="13"/>
        <v>383</v>
      </c>
      <c r="E300" s="11">
        <f t="shared" si="14"/>
        <v>0</v>
      </c>
      <c r="F300" s="11">
        <f t="shared" si="9"/>
        <v>-15231910</v>
      </c>
      <c r="G300" s="11"/>
    </row>
    <row r="301" spans="1:10">
      <c r="A301" s="11" t="s">
        <v>4877</v>
      </c>
      <c r="B301" s="3">
        <v>-40000</v>
      </c>
      <c r="C301" s="11">
        <v>71</v>
      </c>
      <c r="D301" s="11">
        <f t="shared" si="13"/>
        <v>377</v>
      </c>
      <c r="E301" s="11">
        <f t="shared" si="14"/>
        <v>1</v>
      </c>
      <c r="F301" s="11">
        <f t="shared" si="9"/>
        <v>-15040000</v>
      </c>
      <c r="G301" s="11"/>
    </row>
    <row r="302" spans="1:10">
      <c r="A302" s="11" t="s">
        <v>4974</v>
      </c>
      <c r="B302" s="3">
        <v>4000000</v>
      </c>
      <c r="C302" s="11">
        <v>1</v>
      </c>
      <c r="D302" s="11">
        <f t="shared" si="13"/>
        <v>306</v>
      </c>
      <c r="E302" s="11">
        <f t="shared" si="14"/>
        <v>0</v>
      </c>
      <c r="F302" s="11">
        <f t="shared" si="9"/>
        <v>1224000000</v>
      </c>
      <c r="G302" s="11"/>
    </row>
    <row r="303" spans="1:10">
      <c r="A303" s="11" t="s">
        <v>4978</v>
      </c>
      <c r="B303" s="3">
        <v>-123860</v>
      </c>
      <c r="C303" s="11">
        <v>1</v>
      </c>
      <c r="D303" s="11">
        <f t="shared" si="13"/>
        <v>305</v>
      </c>
      <c r="E303" s="11">
        <f t="shared" si="14"/>
        <v>0</v>
      </c>
      <c r="F303" s="11">
        <f t="shared" si="9"/>
        <v>-37777300</v>
      </c>
      <c r="G303" s="11"/>
    </row>
    <row r="304" spans="1:10">
      <c r="A304" s="11" t="s">
        <v>4945</v>
      </c>
      <c r="B304" s="3">
        <v>-1660000</v>
      </c>
      <c r="C304" s="11">
        <v>1</v>
      </c>
      <c r="D304" s="11">
        <f t="shared" si="13"/>
        <v>304</v>
      </c>
      <c r="E304" s="11">
        <f t="shared" si="14"/>
        <v>0</v>
      </c>
      <c r="F304" s="11">
        <f t="shared" si="9"/>
        <v>-504640000</v>
      </c>
      <c r="G304" s="11"/>
    </row>
    <row r="305" spans="1:11">
      <c r="A305" s="11" t="s">
        <v>4984</v>
      </c>
      <c r="B305" s="3">
        <v>-63857</v>
      </c>
      <c r="C305" s="11">
        <v>0</v>
      </c>
      <c r="D305" s="11">
        <f t="shared" si="13"/>
        <v>303</v>
      </c>
      <c r="E305" s="11">
        <f t="shared" si="14"/>
        <v>0</v>
      </c>
      <c r="F305" s="11">
        <f t="shared" si="9"/>
        <v>-19348671</v>
      </c>
      <c r="G305" s="11"/>
    </row>
    <row r="306" spans="1:11">
      <c r="A306" s="11" t="s">
        <v>4986</v>
      </c>
      <c r="B306" s="3">
        <v>-631</v>
      </c>
      <c r="C306" s="11">
        <v>2</v>
      </c>
      <c r="D306" s="11">
        <f t="shared" si="13"/>
        <v>303</v>
      </c>
      <c r="E306" s="11">
        <f t="shared" si="14"/>
        <v>0</v>
      </c>
      <c r="F306" s="11">
        <f t="shared" si="9"/>
        <v>-191193</v>
      </c>
      <c r="G306" s="11" t="s">
        <v>483</v>
      </c>
      <c r="J306" t="s">
        <v>25</v>
      </c>
    </row>
    <row r="307" spans="1:11">
      <c r="A307" s="11" t="s">
        <v>4990</v>
      </c>
      <c r="B307" s="3">
        <v>-248905</v>
      </c>
      <c r="C307" s="11">
        <v>2</v>
      </c>
      <c r="D307" s="11">
        <f t="shared" ref="D307:D318" si="15">D308+C307</f>
        <v>301</v>
      </c>
      <c r="E307" s="11">
        <f t="shared" ref="E307:E318" si="16">IF(B308&gt;0,1,0)</f>
        <v>0</v>
      </c>
      <c r="F307" s="11">
        <f t="shared" si="9"/>
        <v>-74920405</v>
      </c>
      <c r="G307" s="11"/>
    </row>
    <row r="308" spans="1:11">
      <c r="A308" s="11" t="s">
        <v>4988</v>
      </c>
      <c r="B308" s="3">
        <v>-200000</v>
      </c>
      <c r="C308" s="11">
        <v>0</v>
      </c>
      <c r="D308" s="11">
        <f t="shared" si="15"/>
        <v>299</v>
      </c>
      <c r="E308" s="11">
        <f t="shared" si="16"/>
        <v>0</v>
      </c>
      <c r="F308" s="11">
        <f t="shared" si="9"/>
        <v>-59800000</v>
      </c>
      <c r="G308" s="11"/>
    </row>
    <row r="309" spans="1:11">
      <c r="A309" s="11" t="s">
        <v>4988</v>
      </c>
      <c r="B309" s="3">
        <v>-200000</v>
      </c>
      <c r="C309" s="11">
        <v>3</v>
      </c>
      <c r="D309" s="11">
        <f t="shared" si="15"/>
        <v>299</v>
      </c>
      <c r="E309" s="11">
        <f t="shared" si="16"/>
        <v>0</v>
      </c>
      <c r="F309" s="11">
        <f t="shared" si="9"/>
        <v>-59800000</v>
      </c>
      <c r="G309" s="11"/>
    </row>
    <row r="310" spans="1:11">
      <c r="A310" s="11" t="s">
        <v>4995</v>
      </c>
      <c r="B310" s="3">
        <v>-832590</v>
      </c>
      <c r="C310" s="11">
        <v>0</v>
      </c>
      <c r="D310" s="11">
        <f t="shared" si="15"/>
        <v>296</v>
      </c>
      <c r="E310" s="11">
        <f t="shared" si="16"/>
        <v>0</v>
      </c>
      <c r="F310" s="11">
        <f t="shared" si="9"/>
        <v>-246446640</v>
      </c>
      <c r="G310" s="11"/>
    </row>
    <row r="311" spans="1:11">
      <c r="A311" s="11" t="s">
        <v>4995</v>
      </c>
      <c r="B311" s="3">
        <v>-29950</v>
      </c>
      <c r="C311" s="11">
        <v>1</v>
      </c>
      <c r="D311" s="11">
        <f t="shared" si="15"/>
        <v>296</v>
      </c>
      <c r="E311" s="11">
        <f t="shared" si="16"/>
        <v>0</v>
      </c>
      <c r="F311" s="11">
        <f t="shared" si="9"/>
        <v>-8865200</v>
      </c>
      <c r="G311" s="11"/>
      <c r="K311" t="s">
        <v>25</v>
      </c>
    </row>
    <row r="312" spans="1:11">
      <c r="A312" s="11" t="s">
        <v>5032</v>
      </c>
      <c r="B312" s="3">
        <v>-8500</v>
      </c>
      <c r="C312" s="11">
        <v>1</v>
      </c>
      <c r="D312" s="11">
        <f t="shared" si="15"/>
        <v>295</v>
      </c>
      <c r="E312" s="11">
        <f t="shared" si="16"/>
        <v>0</v>
      </c>
      <c r="F312" s="11">
        <f t="shared" si="9"/>
        <v>-2507500</v>
      </c>
      <c r="G312" s="11"/>
    </row>
    <row r="313" spans="1:11">
      <c r="A313" s="11" t="s">
        <v>5012</v>
      </c>
      <c r="B313" s="3">
        <v>-116300</v>
      </c>
      <c r="C313" s="11">
        <v>1</v>
      </c>
      <c r="D313" s="11">
        <f t="shared" si="15"/>
        <v>294</v>
      </c>
      <c r="E313" s="11">
        <f t="shared" si="16"/>
        <v>0</v>
      </c>
      <c r="F313" s="11">
        <f t="shared" si="9"/>
        <v>-34192200</v>
      </c>
      <c r="G313" s="11"/>
    </row>
    <row r="314" spans="1:11">
      <c r="A314" s="11" t="s">
        <v>4998</v>
      </c>
      <c r="B314" s="3">
        <v>-75500</v>
      </c>
      <c r="C314" s="11">
        <v>1</v>
      </c>
      <c r="D314" s="11">
        <f t="shared" si="15"/>
        <v>293</v>
      </c>
      <c r="E314" s="11">
        <f t="shared" si="16"/>
        <v>0</v>
      </c>
      <c r="F314" s="11">
        <f t="shared" ref="F314:F331" si="17">B314*(D314-E314)</f>
        <v>-22121500</v>
      </c>
      <c r="G314" s="11"/>
    </row>
    <row r="315" spans="1:11">
      <c r="A315" s="11" t="s">
        <v>5008</v>
      </c>
      <c r="B315" s="3">
        <v>-331250</v>
      </c>
      <c r="C315" s="11">
        <v>2</v>
      </c>
      <c r="D315" s="11">
        <f t="shared" si="15"/>
        <v>292</v>
      </c>
      <c r="E315" s="11">
        <f t="shared" si="16"/>
        <v>0</v>
      </c>
      <c r="F315" s="11">
        <f t="shared" si="17"/>
        <v>-96725000</v>
      </c>
      <c r="G315" s="11"/>
    </row>
    <row r="316" spans="1:11">
      <c r="A316" s="11" t="s">
        <v>5033</v>
      </c>
      <c r="B316" s="3">
        <v>-39000</v>
      </c>
      <c r="C316" s="11">
        <v>1</v>
      </c>
      <c r="D316" s="11">
        <f t="shared" si="15"/>
        <v>290</v>
      </c>
      <c r="E316" s="11">
        <f t="shared" si="16"/>
        <v>0</v>
      </c>
      <c r="F316" s="11">
        <f t="shared" si="17"/>
        <v>-11310000</v>
      </c>
      <c r="G316" s="11"/>
      <c r="I316" s="7"/>
    </row>
    <row r="317" spans="1:11">
      <c r="A317" s="11" t="s">
        <v>5010</v>
      </c>
      <c r="B317" s="3">
        <v>-44000</v>
      </c>
      <c r="C317" s="11">
        <v>3</v>
      </c>
      <c r="D317" s="11">
        <f t="shared" si="15"/>
        <v>289</v>
      </c>
      <c r="E317" s="11">
        <f t="shared" si="16"/>
        <v>0</v>
      </c>
      <c r="F317" s="11">
        <f t="shared" si="17"/>
        <v>-12716000</v>
      </c>
      <c r="G317" s="11"/>
      <c r="J317" t="s">
        <v>25</v>
      </c>
    </row>
    <row r="318" spans="1:11">
      <c r="A318" s="11" t="s">
        <v>4957</v>
      </c>
      <c r="B318" s="3">
        <v>-30476</v>
      </c>
      <c r="C318" s="11">
        <v>1</v>
      </c>
      <c r="D318" s="11">
        <f t="shared" si="15"/>
        <v>286</v>
      </c>
      <c r="E318" s="11">
        <f t="shared" si="16"/>
        <v>0</v>
      </c>
      <c r="F318" s="11">
        <f t="shared" si="17"/>
        <v>-8716136</v>
      </c>
      <c r="G318" s="11"/>
    </row>
    <row r="319" spans="1:11">
      <c r="A319" s="11" t="s">
        <v>5014</v>
      </c>
      <c r="B319" s="3">
        <v>-4000</v>
      </c>
      <c r="C319" s="11">
        <v>11</v>
      </c>
      <c r="D319" s="11">
        <f t="shared" ref="D319:D326" si="18">D320+C319</f>
        <v>285</v>
      </c>
      <c r="E319" s="11">
        <f t="shared" ref="E319:E326" si="19">IF(B320&gt;0,1,0)</f>
        <v>1</v>
      </c>
      <c r="F319" s="11">
        <f t="shared" si="17"/>
        <v>-1136000</v>
      </c>
      <c r="G319" s="11"/>
    </row>
    <row r="320" spans="1:11">
      <c r="A320" s="11" t="s">
        <v>5034</v>
      </c>
      <c r="B320" s="3">
        <v>6300000</v>
      </c>
      <c r="C320" s="11">
        <v>1</v>
      </c>
      <c r="D320" s="11">
        <f t="shared" si="18"/>
        <v>274</v>
      </c>
      <c r="E320" s="11">
        <f t="shared" si="19"/>
        <v>0</v>
      </c>
      <c r="F320" s="11">
        <f t="shared" si="17"/>
        <v>1726200000</v>
      </c>
      <c r="G320" s="11"/>
    </row>
    <row r="321" spans="1:9">
      <c r="A321" s="11" t="s">
        <v>5056</v>
      </c>
      <c r="B321" s="3">
        <v>-6000000</v>
      </c>
      <c r="C321" s="11">
        <v>2</v>
      </c>
      <c r="D321" s="11">
        <f t="shared" si="18"/>
        <v>273</v>
      </c>
      <c r="E321" s="11">
        <f t="shared" si="19"/>
        <v>0</v>
      </c>
      <c r="F321" s="11">
        <f t="shared" si="17"/>
        <v>-1638000000</v>
      </c>
      <c r="G321" s="11"/>
    </row>
    <row r="322" spans="1:9">
      <c r="A322" s="11" t="s">
        <v>5055</v>
      </c>
      <c r="B322" s="3">
        <v>-295000</v>
      </c>
      <c r="C322" s="11">
        <v>0</v>
      </c>
      <c r="D322" s="11">
        <f t="shared" si="18"/>
        <v>271</v>
      </c>
      <c r="E322" s="11">
        <f t="shared" si="19"/>
        <v>1</v>
      </c>
      <c r="F322" s="11">
        <f t="shared" si="17"/>
        <v>-79650000</v>
      </c>
      <c r="G322" s="11"/>
    </row>
    <row r="323" spans="1:9">
      <c r="A323" s="11" t="s">
        <v>5055</v>
      </c>
      <c r="B323" s="3">
        <v>483</v>
      </c>
      <c r="C323" s="11">
        <v>8</v>
      </c>
      <c r="D323" s="11">
        <f t="shared" si="18"/>
        <v>271</v>
      </c>
      <c r="E323" s="11">
        <f t="shared" si="19"/>
        <v>1</v>
      </c>
      <c r="F323" s="11">
        <f t="shared" si="17"/>
        <v>130410</v>
      </c>
      <c r="G323" s="11" t="s">
        <v>667</v>
      </c>
      <c r="I323" t="s">
        <v>25</v>
      </c>
    </row>
    <row r="324" spans="1:9">
      <c r="A324" s="11" t="s">
        <v>5073</v>
      </c>
      <c r="B324" s="3">
        <v>1700000</v>
      </c>
      <c r="C324" s="11">
        <v>0</v>
      </c>
      <c r="D324" s="11">
        <f t="shared" si="18"/>
        <v>263</v>
      </c>
      <c r="E324" s="11">
        <f t="shared" si="19"/>
        <v>0</v>
      </c>
      <c r="F324" s="11">
        <f t="shared" si="17"/>
        <v>447100000</v>
      </c>
      <c r="G324" s="11"/>
    </row>
    <row r="325" spans="1:9">
      <c r="A325" s="11" t="s">
        <v>5073</v>
      </c>
      <c r="B325" s="3">
        <v>-53000</v>
      </c>
      <c r="C325" s="11">
        <v>1</v>
      </c>
      <c r="D325" s="11">
        <f t="shared" si="18"/>
        <v>263</v>
      </c>
      <c r="E325" s="11">
        <f t="shared" si="19"/>
        <v>0</v>
      </c>
      <c r="F325" s="11">
        <f t="shared" si="17"/>
        <v>-13939000</v>
      </c>
      <c r="G325" s="11"/>
    </row>
    <row r="326" spans="1:9">
      <c r="A326" s="11" t="s">
        <v>5074</v>
      </c>
      <c r="B326" s="3">
        <v>-1300000</v>
      </c>
      <c r="C326" s="11">
        <v>0</v>
      </c>
      <c r="D326" s="11">
        <f t="shared" si="18"/>
        <v>262</v>
      </c>
      <c r="E326" s="11">
        <f t="shared" si="19"/>
        <v>0</v>
      </c>
      <c r="F326" s="11">
        <f t="shared" si="17"/>
        <v>-340600000</v>
      </c>
      <c r="G326" s="11"/>
      <c r="I326" t="s">
        <v>25</v>
      </c>
    </row>
    <row r="327" spans="1:9">
      <c r="A327" s="11" t="s">
        <v>5074</v>
      </c>
      <c r="B327" s="3">
        <v>-41500</v>
      </c>
      <c r="C327" s="11">
        <v>1</v>
      </c>
      <c r="D327" s="11">
        <f t="shared" ref="D327:D333" si="20">D328+C327</f>
        <v>262</v>
      </c>
      <c r="E327" s="11">
        <f t="shared" ref="E327:E333" si="21">IF(B328&gt;0,1,0)</f>
        <v>0</v>
      </c>
      <c r="F327" s="11">
        <f t="shared" si="17"/>
        <v>-10873000</v>
      </c>
      <c r="G327" s="11"/>
    </row>
    <row r="328" spans="1:9">
      <c r="A328" s="11" t="s">
        <v>5077</v>
      </c>
      <c r="B328" s="3">
        <v>-57700</v>
      </c>
      <c r="C328" s="11">
        <v>3</v>
      </c>
      <c r="D328" s="11">
        <f t="shared" si="20"/>
        <v>261</v>
      </c>
      <c r="E328" s="11">
        <f t="shared" si="21"/>
        <v>0</v>
      </c>
      <c r="F328" s="11">
        <f t="shared" si="17"/>
        <v>-15059700</v>
      </c>
      <c r="G328" s="11"/>
    </row>
    <row r="329" spans="1:9">
      <c r="A329" s="11" t="s">
        <v>5080</v>
      </c>
      <c r="B329" s="3">
        <v>-5600</v>
      </c>
      <c r="C329" s="11">
        <v>1</v>
      </c>
      <c r="D329" s="11">
        <f t="shared" si="20"/>
        <v>258</v>
      </c>
      <c r="E329" s="11">
        <f t="shared" si="21"/>
        <v>0</v>
      </c>
      <c r="F329" s="11">
        <f t="shared" si="17"/>
        <v>-1444800</v>
      </c>
      <c r="G329" s="11"/>
    </row>
    <row r="330" spans="1:9">
      <c r="A330" s="11" t="s">
        <v>5081</v>
      </c>
      <c r="B330" s="3">
        <v>-5600</v>
      </c>
      <c r="C330" s="11">
        <v>1</v>
      </c>
      <c r="D330" s="11">
        <f t="shared" si="20"/>
        <v>257</v>
      </c>
      <c r="E330" s="11">
        <f t="shared" si="21"/>
        <v>0</v>
      </c>
      <c r="F330" s="11">
        <f t="shared" si="17"/>
        <v>-1439200</v>
      </c>
      <c r="G330" s="11"/>
    </row>
    <row r="331" spans="1:9">
      <c r="A331" s="11" t="s">
        <v>955</v>
      </c>
      <c r="B331" s="3">
        <v>-68100</v>
      </c>
      <c r="C331" s="11">
        <v>1</v>
      </c>
      <c r="D331" s="11">
        <f t="shared" si="20"/>
        <v>256</v>
      </c>
      <c r="E331" s="11">
        <f t="shared" si="21"/>
        <v>0</v>
      </c>
      <c r="F331" s="11">
        <f t="shared" si="17"/>
        <v>-17433600</v>
      </c>
      <c r="G331" s="11"/>
      <c r="I331" t="s">
        <v>25</v>
      </c>
    </row>
    <row r="332" spans="1:9">
      <c r="A332" s="11" t="s">
        <v>4229</v>
      </c>
      <c r="B332" s="3">
        <v>-25390</v>
      </c>
      <c r="C332" s="11">
        <v>2</v>
      </c>
      <c r="D332" s="11">
        <f t="shared" si="20"/>
        <v>255</v>
      </c>
      <c r="E332" s="11">
        <f t="shared" si="21"/>
        <v>0</v>
      </c>
      <c r="F332" s="11">
        <f>B332*(D332-E332)</f>
        <v>-6474450</v>
      </c>
      <c r="G332" s="11"/>
    </row>
    <row r="333" spans="1:9">
      <c r="A333" s="11" t="s">
        <v>5090</v>
      </c>
      <c r="B333" s="3">
        <v>-78508</v>
      </c>
      <c r="C333" s="11">
        <v>2</v>
      </c>
      <c r="D333" s="11">
        <f t="shared" si="20"/>
        <v>253</v>
      </c>
      <c r="E333" s="11">
        <f t="shared" si="21"/>
        <v>0</v>
      </c>
      <c r="F333" s="11">
        <f>B333*(D333-E333)</f>
        <v>-19862524</v>
      </c>
      <c r="G333" s="11"/>
    </row>
    <row r="334" spans="1:9">
      <c r="A334" s="11" t="s">
        <v>5091</v>
      </c>
      <c r="B334" s="3">
        <v>-2000</v>
      </c>
      <c r="C334" s="11">
        <v>4</v>
      </c>
      <c r="D334" s="11">
        <f t="shared" ref="D334:D352" si="22">D335+C334</f>
        <v>251</v>
      </c>
      <c r="E334" s="11">
        <f t="shared" ref="E334:E352" si="23">IF(B335&gt;0,1,0)</f>
        <v>1</v>
      </c>
      <c r="F334" s="11">
        <f t="shared" ref="F334:F352" si="24">B334*(D334-E334)</f>
        <v>-500000</v>
      </c>
      <c r="G334" s="11"/>
    </row>
    <row r="335" spans="1:9">
      <c r="A335" s="11" t="s">
        <v>5094</v>
      </c>
      <c r="B335" s="3">
        <v>2200472</v>
      </c>
      <c r="C335" s="11">
        <v>1</v>
      </c>
      <c r="D335" s="11">
        <f t="shared" si="22"/>
        <v>247</v>
      </c>
      <c r="E335" s="11">
        <f t="shared" si="23"/>
        <v>0</v>
      </c>
      <c r="F335" s="11">
        <f t="shared" si="24"/>
        <v>543516584</v>
      </c>
      <c r="G335" s="11"/>
      <c r="H335" t="s">
        <v>25</v>
      </c>
    </row>
    <row r="336" spans="1:9">
      <c r="A336" s="11" t="s">
        <v>5100</v>
      </c>
      <c r="B336" s="3">
        <v>-28000</v>
      </c>
      <c r="C336" s="11">
        <v>2</v>
      </c>
      <c r="D336" s="11">
        <f t="shared" si="22"/>
        <v>246</v>
      </c>
      <c r="E336" s="11">
        <f t="shared" si="23"/>
        <v>1</v>
      </c>
      <c r="F336" s="11">
        <f t="shared" si="24"/>
        <v>-6860000</v>
      </c>
      <c r="G336" s="11"/>
    </row>
    <row r="337" spans="1:13">
      <c r="A337" s="11" t="s">
        <v>5099</v>
      </c>
      <c r="B337" s="3">
        <v>2500000</v>
      </c>
      <c r="C337" s="11">
        <v>0</v>
      </c>
      <c r="D337" s="11">
        <f t="shared" si="22"/>
        <v>244</v>
      </c>
      <c r="E337" s="11">
        <f t="shared" si="23"/>
        <v>0</v>
      </c>
      <c r="F337" s="11">
        <f t="shared" si="24"/>
        <v>610000000</v>
      </c>
      <c r="G337" s="11"/>
    </row>
    <row r="338" spans="1:13">
      <c r="A338" s="11" t="s">
        <v>5099</v>
      </c>
      <c r="B338" s="3">
        <v>-407500</v>
      </c>
      <c r="C338" s="11">
        <v>2</v>
      </c>
      <c r="D338" s="11">
        <f t="shared" si="22"/>
        <v>244</v>
      </c>
      <c r="E338" s="11">
        <f t="shared" si="23"/>
        <v>0</v>
      </c>
      <c r="F338" s="11">
        <f t="shared" si="24"/>
        <v>-99430000</v>
      </c>
      <c r="G338" s="11"/>
    </row>
    <row r="339" spans="1:13">
      <c r="A339" s="11" t="s">
        <v>5101</v>
      </c>
      <c r="B339" s="3">
        <v>-3600</v>
      </c>
      <c r="C339" s="11">
        <v>1</v>
      </c>
      <c r="D339" s="11">
        <f t="shared" si="22"/>
        <v>242</v>
      </c>
      <c r="E339" s="11">
        <f t="shared" si="23"/>
        <v>0</v>
      </c>
      <c r="F339" s="11">
        <f t="shared" si="24"/>
        <v>-871200</v>
      </c>
      <c r="G339" s="11"/>
    </row>
    <row r="340" spans="1:13">
      <c r="A340" s="11" t="s">
        <v>5105</v>
      </c>
      <c r="B340" s="3">
        <v>-170094</v>
      </c>
      <c r="C340" s="11">
        <v>1</v>
      </c>
      <c r="D340" s="11">
        <f t="shared" si="22"/>
        <v>241</v>
      </c>
      <c r="E340" s="11">
        <f t="shared" si="23"/>
        <v>0</v>
      </c>
      <c r="F340" s="11">
        <f t="shared" si="24"/>
        <v>-40992654</v>
      </c>
      <c r="G340" s="11"/>
      <c r="J340" t="s">
        <v>25</v>
      </c>
    </row>
    <row r="341" spans="1:13">
      <c r="A341" s="11" t="s">
        <v>5102</v>
      </c>
      <c r="B341" s="3">
        <v>-51730</v>
      </c>
      <c r="C341" s="11">
        <v>1</v>
      </c>
      <c r="D341" s="11">
        <f t="shared" si="22"/>
        <v>240</v>
      </c>
      <c r="E341" s="11">
        <f t="shared" si="23"/>
        <v>0</v>
      </c>
      <c r="F341" s="11">
        <f t="shared" si="24"/>
        <v>-12415200</v>
      </c>
      <c r="G341" s="11"/>
    </row>
    <row r="342" spans="1:13">
      <c r="A342" s="11" t="s">
        <v>5106</v>
      </c>
      <c r="B342" s="3">
        <v>-200000</v>
      </c>
      <c r="C342" s="11">
        <v>2</v>
      </c>
      <c r="D342" s="11">
        <f t="shared" si="22"/>
        <v>239</v>
      </c>
      <c r="E342" s="11">
        <f t="shared" si="23"/>
        <v>0</v>
      </c>
      <c r="F342" s="11">
        <f t="shared" si="24"/>
        <v>-47800000</v>
      </c>
      <c r="G342" s="11"/>
    </row>
    <row r="343" spans="1:13">
      <c r="A343" s="11" t="s">
        <v>5072</v>
      </c>
      <c r="B343" s="3">
        <v>-3000000</v>
      </c>
      <c r="C343" s="11">
        <v>0</v>
      </c>
      <c r="D343" s="11">
        <f t="shared" si="22"/>
        <v>237</v>
      </c>
      <c r="E343" s="11">
        <f t="shared" si="23"/>
        <v>0</v>
      </c>
      <c r="F343" s="11">
        <f t="shared" si="24"/>
        <v>-711000000</v>
      </c>
      <c r="G343" s="11"/>
    </row>
    <row r="344" spans="1:13">
      <c r="A344" s="11" t="s">
        <v>5072</v>
      </c>
      <c r="B344" s="3">
        <v>-39726</v>
      </c>
      <c r="C344" s="11">
        <v>1</v>
      </c>
      <c r="D344" s="11">
        <f t="shared" si="22"/>
        <v>237</v>
      </c>
      <c r="E344" s="11">
        <f t="shared" si="23"/>
        <v>0</v>
      </c>
      <c r="F344" s="11">
        <f t="shared" si="24"/>
        <v>-9415062</v>
      </c>
      <c r="G344" s="11"/>
      <c r="M344" t="s">
        <v>25</v>
      </c>
    </row>
    <row r="345" spans="1:13">
      <c r="A345" s="11" t="s">
        <v>5108</v>
      </c>
      <c r="B345" s="3">
        <v>-566500</v>
      </c>
      <c r="C345" s="11">
        <v>1</v>
      </c>
      <c r="D345" s="11">
        <f t="shared" si="22"/>
        <v>236</v>
      </c>
      <c r="E345" s="11">
        <f t="shared" si="23"/>
        <v>0</v>
      </c>
      <c r="F345" s="11">
        <f t="shared" si="24"/>
        <v>-133694000</v>
      </c>
      <c r="G345" s="11"/>
      <c r="K345" t="s">
        <v>25</v>
      </c>
    </row>
    <row r="346" spans="1:13">
      <c r="A346" s="11" t="s">
        <v>5109</v>
      </c>
      <c r="B346" s="3">
        <v>-300000</v>
      </c>
      <c r="C346" s="11">
        <v>22</v>
      </c>
      <c r="D346" s="11">
        <f t="shared" si="22"/>
        <v>235</v>
      </c>
      <c r="E346" s="11">
        <f t="shared" si="23"/>
        <v>1</v>
      </c>
      <c r="F346" s="11">
        <f t="shared" si="24"/>
        <v>-70200000</v>
      </c>
      <c r="G346" s="11"/>
      <c r="J346" t="s">
        <v>25</v>
      </c>
    </row>
    <row r="347" spans="1:13">
      <c r="A347" s="11" t="s">
        <v>5129</v>
      </c>
      <c r="B347" s="3">
        <v>700000</v>
      </c>
      <c r="C347" s="11">
        <v>1</v>
      </c>
      <c r="D347" s="11">
        <f t="shared" si="22"/>
        <v>213</v>
      </c>
      <c r="E347" s="11">
        <f t="shared" si="23"/>
        <v>0</v>
      </c>
      <c r="F347" s="11">
        <f t="shared" si="24"/>
        <v>149100000</v>
      </c>
      <c r="G347" s="11"/>
    </row>
    <row r="348" spans="1:13">
      <c r="A348" s="11" t="s">
        <v>5132</v>
      </c>
      <c r="B348" s="3">
        <v>-101000</v>
      </c>
      <c r="C348" s="11">
        <v>1</v>
      </c>
      <c r="D348" s="11">
        <f t="shared" si="22"/>
        <v>212</v>
      </c>
      <c r="E348" s="11">
        <f t="shared" si="23"/>
        <v>0</v>
      </c>
      <c r="F348" s="11">
        <f t="shared" si="24"/>
        <v>-21412000</v>
      </c>
      <c r="G348" s="11"/>
    </row>
    <row r="349" spans="1:13">
      <c r="A349" s="11" t="s">
        <v>5132</v>
      </c>
      <c r="B349" s="3">
        <v>-57245</v>
      </c>
      <c r="C349" s="11">
        <v>1</v>
      </c>
      <c r="D349" s="11">
        <f t="shared" si="22"/>
        <v>211</v>
      </c>
      <c r="E349" s="11">
        <f t="shared" si="23"/>
        <v>0</v>
      </c>
      <c r="F349" s="11">
        <f t="shared" si="24"/>
        <v>-12078695</v>
      </c>
      <c r="G349" s="11"/>
    </row>
    <row r="350" spans="1:13">
      <c r="A350" s="11" t="s">
        <v>5134</v>
      </c>
      <c r="B350" s="3">
        <v>-398700</v>
      </c>
      <c r="C350" s="11">
        <v>2</v>
      </c>
      <c r="D350" s="11">
        <f t="shared" si="22"/>
        <v>210</v>
      </c>
      <c r="E350" s="11">
        <f t="shared" si="23"/>
        <v>0</v>
      </c>
      <c r="F350" s="11">
        <f t="shared" si="24"/>
        <v>-83727000</v>
      </c>
      <c r="G350" s="11"/>
    </row>
    <row r="351" spans="1:13">
      <c r="A351" s="11" t="s">
        <v>5133</v>
      </c>
      <c r="B351" s="3">
        <v>-87010</v>
      </c>
      <c r="C351" s="11">
        <v>5</v>
      </c>
      <c r="D351" s="11">
        <f t="shared" si="22"/>
        <v>208</v>
      </c>
      <c r="E351" s="11">
        <f t="shared" si="23"/>
        <v>0</v>
      </c>
      <c r="F351" s="11">
        <f t="shared" si="24"/>
        <v>-18098080</v>
      </c>
      <c r="G351" s="11"/>
    </row>
    <row r="352" spans="1:13">
      <c r="A352" s="11" t="s">
        <v>5163</v>
      </c>
      <c r="B352" s="3">
        <v>-50000</v>
      </c>
      <c r="C352" s="11">
        <v>28</v>
      </c>
      <c r="D352" s="11">
        <f t="shared" si="22"/>
        <v>203</v>
      </c>
      <c r="E352" s="11">
        <f t="shared" si="23"/>
        <v>1</v>
      </c>
      <c r="F352" s="11">
        <f t="shared" si="24"/>
        <v>-10100000</v>
      </c>
      <c r="G352" s="11"/>
    </row>
    <row r="353" spans="1:12">
      <c r="A353" s="11" t="s">
        <v>5162</v>
      </c>
      <c r="B353" s="3">
        <v>1200000</v>
      </c>
      <c r="C353" s="11">
        <v>0</v>
      </c>
      <c r="D353" s="11">
        <f t="shared" ref="D353:D365" si="25">D354+C353</f>
        <v>175</v>
      </c>
      <c r="E353" s="11">
        <f t="shared" ref="E353:E365" si="26">IF(B354&gt;0,1,0)</f>
        <v>0</v>
      </c>
      <c r="F353" s="11">
        <f t="shared" ref="F353:F365" si="27">B353*(D353-E353)</f>
        <v>210000000</v>
      </c>
      <c r="G353" s="11"/>
    </row>
    <row r="354" spans="1:12">
      <c r="A354" s="11" t="s">
        <v>5162</v>
      </c>
      <c r="B354" s="3">
        <v>-367300</v>
      </c>
      <c r="C354" s="11">
        <v>1</v>
      </c>
      <c r="D354" s="11">
        <f t="shared" si="25"/>
        <v>175</v>
      </c>
      <c r="E354" s="11">
        <f t="shared" si="26"/>
        <v>0</v>
      </c>
      <c r="F354" s="11">
        <f t="shared" si="27"/>
        <v>-64277500</v>
      </c>
      <c r="G354" s="11"/>
    </row>
    <row r="355" spans="1:12">
      <c r="A355" s="11" t="s">
        <v>5164</v>
      </c>
      <c r="B355" s="3">
        <v>-104894</v>
      </c>
      <c r="C355" s="11">
        <v>1</v>
      </c>
      <c r="D355" s="11">
        <f t="shared" si="25"/>
        <v>174</v>
      </c>
      <c r="E355" s="11">
        <f t="shared" si="26"/>
        <v>0</v>
      </c>
      <c r="F355" s="11">
        <f t="shared" si="27"/>
        <v>-18251556</v>
      </c>
      <c r="G355" s="11"/>
    </row>
    <row r="356" spans="1:12">
      <c r="A356" s="11" t="s">
        <v>5165</v>
      </c>
      <c r="B356" s="3">
        <v>-688700</v>
      </c>
      <c r="C356" s="11">
        <v>0</v>
      </c>
      <c r="D356" s="11">
        <f t="shared" si="25"/>
        <v>173</v>
      </c>
      <c r="E356" s="11">
        <f t="shared" si="26"/>
        <v>0</v>
      </c>
      <c r="F356" s="11">
        <f t="shared" si="27"/>
        <v>-119145100</v>
      </c>
      <c r="G356" s="11"/>
    </row>
    <row r="357" spans="1:12">
      <c r="A357" s="11" t="s">
        <v>5165</v>
      </c>
      <c r="B357" s="3">
        <v>-8321</v>
      </c>
      <c r="C357" s="11">
        <v>5</v>
      </c>
      <c r="D357" s="11">
        <f t="shared" si="25"/>
        <v>173</v>
      </c>
      <c r="E357" s="11">
        <f t="shared" si="26"/>
        <v>1</v>
      </c>
      <c r="F357" s="11">
        <f t="shared" si="27"/>
        <v>-1431212</v>
      </c>
      <c r="G357" s="11"/>
      <c r="J357" t="s">
        <v>25</v>
      </c>
    </row>
    <row r="358" spans="1:12">
      <c r="A358" s="11" t="s">
        <v>5175</v>
      </c>
      <c r="B358" s="3">
        <v>1000000</v>
      </c>
      <c r="C358" s="11">
        <v>0</v>
      </c>
      <c r="D358" s="11">
        <f t="shared" si="25"/>
        <v>168</v>
      </c>
      <c r="E358" s="11">
        <f t="shared" si="26"/>
        <v>0</v>
      </c>
      <c r="F358" s="11">
        <f t="shared" si="27"/>
        <v>168000000</v>
      </c>
      <c r="G358" s="11"/>
    </row>
    <row r="359" spans="1:12">
      <c r="A359" s="11" t="s">
        <v>5175</v>
      </c>
      <c r="B359" s="3">
        <v>-127644</v>
      </c>
      <c r="C359" s="11">
        <v>1</v>
      </c>
      <c r="D359" s="11">
        <f t="shared" si="25"/>
        <v>168</v>
      </c>
      <c r="E359" s="11">
        <f t="shared" si="26"/>
        <v>0</v>
      </c>
      <c r="F359" s="11">
        <f t="shared" si="27"/>
        <v>-21444192</v>
      </c>
      <c r="G359" s="11"/>
    </row>
    <row r="360" spans="1:12">
      <c r="A360" s="11" t="s">
        <v>5176</v>
      </c>
      <c r="B360" s="3">
        <v>-418000</v>
      </c>
      <c r="C360" s="11">
        <v>4</v>
      </c>
      <c r="D360" s="11">
        <f t="shared" si="25"/>
        <v>167</v>
      </c>
      <c r="E360" s="11">
        <f t="shared" si="26"/>
        <v>0</v>
      </c>
      <c r="F360" s="11">
        <f t="shared" si="27"/>
        <v>-69806000</v>
      </c>
      <c r="G360" s="11"/>
    </row>
    <row r="361" spans="1:12">
      <c r="A361" s="11" t="s">
        <v>5180</v>
      </c>
      <c r="B361" s="3">
        <v>-183136</v>
      </c>
      <c r="C361" s="11">
        <v>2</v>
      </c>
      <c r="D361" s="11">
        <f t="shared" si="25"/>
        <v>163</v>
      </c>
      <c r="E361" s="11">
        <f t="shared" si="26"/>
        <v>0</v>
      </c>
      <c r="F361" s="11">
        <f t="shared" si="27"/>
        <v>-29851168</v>
      </c>
      <c r="G361" s="11"/>
      <c r="L361" t="s">
        <v>25</v>
      </c>
    </row>
    <row r="362" spans="1:12">
      <c r="A362" s="11" t="s">
        <v>5201</v>
      </c>
      <c r="B362" s="3">
        <v>-18600</v>
      </c>
      <c r="C362" s="11">
        <v>2</v>
      </c>
      <c r="D362" s="11">
        <f t="shared" si="25"/>
        <v>161</v>
      </c>
      <c r="E362" s="11">
        <f t="shared" si="26"/>
        <v>0</v>
      </c>
      <c r="F362" s="11">
        <f t="shared" si="27"/>
        <v>-2994600</v>
      </c>
      <c r="G362" s="11"/>
    </row>
    <row r="363" spans="1:12">
      <c r="A363" s="11" t="s">
        <v>5186</v>
      </c>
      <c r="B363" s="3">
        <v>-90000</v>
      </c>
      <c r="C363" s="11">
        <v>1</v>
      </c>
      <c r="D363" s="11">
        <f t="shared" si="25"/>
        <v>159</v>
      </c>
      <c r="E363" s="11">
        <f t="shared" si="26"/>
        <v>0</v>
      </c>
      <c r="F363" s="11">
        <f t="shared" si="27"/>
        <v>-14310000</v>
      </c>
      <c r="G363" s="11"/>
    </row>
    <row r="364" spans="1:12">
      <c r="A364" s="11" t="s">
        <v>5187</v>
      </c>
      <c r="B364" s="3">
        <v>-18600</v>
      </c>
      <c r="C364" s="11">
        <v>1</v>
      </c>
      <c r="D364" s="11">
        <f t="shared" si="25"/>
        <v>158</v>
      </c>
      <c r="E364" s="11">
        <f t="shared" si="26"/>
        <v>0</v>
      </c>
      <c r="F364" s="11">
        <f t="shared" si="27"/>
        <v>-2938800</v>
      </c>
      <c r="G364" s="11"/>
    </row>
    <row r="365" spans="1:12">
      <c r="A365" s="11" t="s">
        <v>942</v>
      </c>
      <c r="B365" s="3">
        <v>-89760</v>
      </c>
      <c r="C365" s="11">
        <v>0</v>
      </c>
      <c r="D365" s="11">
        <f t="shared" si="25"/>
        <v>157</v>
      </c>
      <c r="E365" s="11">
        <f t="shared" si="26"/>
        <v>1</v>
      </c>
      <c r="F365" s="11">
        <f t="shared" si="27"/>
        <v>-14002560</v>
      </c>
      <c r="G365" s="11"/>
      <c r="K365" t="s">
        <v>25</v>
      </c>
    </row>
    <row r="366" spans="1:12">
      <c r="A366" s="11" t="s">
        <v>942</v>
      </c>
      <c r="B366" s="3">
        <v>1600000</v>
      </c>
      <c r="C366" s="11">
        <v>0</v>
      </c>
      <c r="D366" s="11">
        <f t="shared" ref="D366:D377" si="28">D367+C366</f>
        <v>157</v>
      </c>
      <c r="E366" s="11">
        <f t="shared" ref="E366:E377" si="29">IF(B367&gt;0,1,0)</f>
        <v>0</v>
      </c>
      <c r="F366" s="11">
        <f t="shared" ref="F366:F377" si="30">B366*(D366-E366)</f>
        <v>251200000</v>
      </c>
      <c r="G366" s="11"/>
    </row>
    <row r="367" spans="1:12">
      <c r="A367" s="11" t="s">
        <v>942</v>
      </c>
      <c r="B367" s="3">
        <v>-101003</v>
      </c>
      <c r="C367" s="11">
        <v>1</v>
      </c>
      <c r="D367" s="11">
        <f t="shared" si="28"/>
        <v>157</v>
      </c>
      <c r="E367" s="11">
        <f t="shared" si="29"/>
        <v>1</v>
      </c>
      <c r="F367" s="11">
        <f t="shared" si="30"/>
        <v>-15756468</v>
      </c>
      <c r="G367" s="11"/>
    </row>
    <row r="368" spans="1:12">
      <c r="A368" s="11" t="s">
        <v>5190</v>
      </c>
      <c r="B368" s="3">
        <v>3500000</v>
      </c>
      <c r="C368" s="11">
        <v>3</v>
      </c>
      <c r="D368" s="11">
        <f t="shared" si="28"/>
        <v>156</v>
      </c>
      <c r="E368" s="11">
        <f t="shared" si="29"/>
        <v>0</v>
      </c>
      <c r="F368" s="11">
        <f t="shared" si="30"/>
        <v>546000000</v>
      </c>
      <c r="G368" s="11"/>
    </row>
    <row r="369" spans="1:11">
      <c r="A369" s="11" t="s">
        <v>5192</v>
      </c>
      <c r="B369" s="3">
        <v>-93800</v>
      </c>
      <c r="C369" s="11">
        <v>1</v>
      </c>
      <c r="D369" s="11">
        <f t="shared" si="28"/>
        <v>153</v>
      </c>
      <c r="E369" s="11">
        <f t="shared" si="29"/>
        <v>0</v>
      </c>
      <c r="F369" s="11">
        <f t="shared" si="30"/>
        <v>-14351400</v>
      </c>
      <c r="G369" s="11"/>
    </row>
    <row r="370" spans="1:11">
      <c r="A370" s="11" t="s">
        <v>5194</v>
      </c>
      <c r="B370" s="3">
        <v>-815500</v>
      </c>
      <c r="C370" s="11">
        <v>1</v>
      </c>
      <c r="D370" s="11">
        <f t="shared" si="28"/>
        <v>152</v>
      </c>
      <c r="E370" s="11">
        <f t="shared" si="29"/>
        <v>0</v>
      </c>
      <c r="F370" s="11">
        <f t="shared" si="30"/>
        <v>-123956000</v>
      </c>
      <c r="G370" s="11"/>
    </row>
    <row r="371" spans="1:11">
      <c r="A371" s="11" t="s">
        <v>5197</v>
      </c>
      <c r="B371" s="3">
        <v>-2096840</v>
      </c>
      <c r="C371" s="11">
        <v>0</v>
      </c>
      <c r="D371" s="11">
        <f t="shared" si="28"/>
        <v>151</v>
      </c>
      <c r="E371" s="11">
        <f t="shared" si="29"/>
        <v>1</v>
      </c>
      <c r="F371" s="11">
        <f t="shared" si="30"/>
        <v>-314526000</v>
      </c>
      <c r="G371" s="11"/>
    </row>
    <row r="372" spans="1:11">
      <c r="A372" s="11" t="s">
        <v>5197</v>
      </c>
      <c r="B372" s="3">
        <v>533</v>
      </c>
      <c r="C372" s="11">
        <v>1</v>
      </c>
      <c r="D372" s="11">
        <f t="shared" si="28"/>
        <v>151</v>
      </c>
      <c r="E372" s="11">
        <f t="shared" si="29"/>
        <v>1</v>
      </c>
      <c r="F372" s="11">
        <f t="shared" si="30"/>
        <v>79950</v>
      </c>
      <c r="G372" s="11"/>
      <c r="J372" t="s">
        <v>25</v>
      </c>
    </row>
    <row r="373" spans="1:11">
      <c r="A373" s="11" t="s">
        <v>5199</v>
      </c>
      <c r="B373" s="3">
        <v>4100000</v>
      </c>
      <c r="C373" s="11">
        <v>1</v>
      </c>
      <c r="D373" s="11">
        <f t="shared" si="28"/>
        <v>150</v>
      </c>
      <c r="E373" s="11">
        <f t="shared" si="29"/>
        <v>0</v>
      </c>
      <c r="F373" s="11">
        <f t="shared" si="30"/>
        <v>615000000</v>
      </c>
      <c r="G373" s="11"/>
    </row>
    <row r="374" spans="1:11">
      <c r="A374" s="11" t="s">
        <v>5202</v>
      </c>
      <c r="B374" s="3">
        <v>-3642549</v>
      </c>
      <c r="C374" s="11">
        <v>3</v>
      </c>
      <c r="D374" s="11">
        <f t="shared" si="28"/>
        <v>149</v>
      </c>
      <c r="E374" s="11">
        <f t="shared" si="29"/>
        <v>0</v>
      </c>
      <c r="F374" s="11">
        <f t="shared" si="30"/>
        <v>-542739801</v>
      </c>
      <c r="G374" s="11"/>
    </row>
    <row r="375" spans="1:11">
      <c r="A375" s="11" t="s">
        <v>5211</v>
      </c>
      <c r="B375" s="3">
        <v>-317091</v>
      </c>
      <c r="C375" s="11">
        <v>1</v>
      </c>
      <c r="D375" s="11">
        <f t="shared" si="28"/>
        <v>146</v>
      </c>
      <c r="E375" s="11">
        <f t="shared" si="29"/>
        <v>0</v>
      </c>
      <c r="F375" s="11">
        <f t="shared" si="30"/>
        <v>-46295286</v>
      </c>
      <c r="G375" s="11"/>
    </row>
    <row r="376" spans="1:11">
      <c r="A376" s="11" t="s">
        <v>5204</v>
      </c>
      <c r="B376" s="3">
        <v>-1600000</v>
      </c>
      <c r="C376" s="11">
        <v>1</v>
      </c>
      <c r="D376" s="11">
        <f t="shared" si="28"/>
        <v>145</v>
      </c>
      <c r="E376" s="11">
        <f t="shared" si="29"/>
        <v>0</v>
      </c>
      <c r="F376" s="11">
        <f t="shared" si="30"/>
        <v>-232000000</v>
      </c>
      <c r="G376" s="11"/>
    </row>
    <row r="377" spans="1:11">
      <c r="A377" s="11" t="s">
        <v>5206</v>
      </c>
      <c r="B377" s="3">
        <v>-148200</v>
      </c>
      <c r="C377" s="11">
        <v>1</v>
      </c>
      <c r="D377" s="11">
        <f t="shared" si="28"/>
        <v>144</v>
      </c>
      <c r="E377" s="11">
        <f t="shared" si="29"/>
        <v>0</v>
      </c>
      <c r="F377" s="11">
        <f t="shared" si="30"/>
        <v>-21340800</v>
      </c>
      <c r="G377" s="11"/>
    </row>
    <row r="378" spans="1:11">
      <c r="A378" s="11" t="s">
        <v>961</v>
      </c>
      <c r="B378" s="3">
        <v>-472401</v>
      </c>
      <c r="C378" s="11">
        <v>22</v>
      </c>
      <c r="D378" s="11">
        <f t="shared" ref="D378:D420" si="31">D379+C378</f>
        <v>143</v>
      </c>
      <c r="E378" s="11">
        <f t="shared" ref="E378:E420" si="32">IF(B379&gt;0,1,0)</f>
        <v>1</v>
      </c>
      <c r="F378" s="11">
        <f t="shared" ref="F378:F420" si="33">B378*(D378-E378)</f>
        <v>-67080942</v>
      </c>
      <c r="G378" s="11"/>
      <c r="K378" t="s">
        <v>25</v>
      </c>
    </row>
    <row r="379" spans="1:11">
      <c r="A379" s="11" t="s">
        <v>5280</v>
      </c>
      <c r="B379" s="3">
        <v>10000000</v>
      </c>
      <c r="C379" s="11">
        <v>0</v>
      </c>
      <c r="D379" s="11">
        <f t="shared" si="31"/>
        <v>121</v>
      </c>
      <c r="E379" s="11">
        <f t="shared" si="32"/>
        <v>0</v>
      </c>
      <c r="F379" s="11">
        <f t="shared" si="33"/>
        <v>1210000000</v>
      </c>
      <c r="G379" s="11"/>
    </row>
    <row r="380" spans="1:11">
      <c r="A380" s="11" t="s">
        <v>5280</v>
      </c>
      <c r="B380" s="3">
        <v>-3000000</v>
      </c>
      <c r="C380" s="11">
        <v>0</v>
      </c>
      <c r="D380" s="11">
        <f t="shared" si="31"/>
        <v>121</v>
      </c>
      <c r="E380" s="11">
        <f t="shared" si="32"/>
        <v>0</v>
      </c>
      <c r="F380" s="11">
        <f t="shared" si="33"/>
        <v>-363000000</v>
      </c>
      <c r="G380" s="11"/>
    </row>
    <row r="381" spans="1:11">
      <c r="A381" s="11" t="s">
        <v>5280</v>
      </c>
      <c r="B381" s="3">
        <v>-3971300</v>
      </c>
      <c r="C381" s="11">
        <v>7</v>
      </c>
      <c r="D381" s="11">
        <f t="shared" si="31"/>
        <v>121</v>
      </c>
      <c r="E381" s="11">
        <f t="shared" si="32"/>
        <v>0</v>
      </c>
      <c r="F381" s="11">
        <f t="shared" si="33"/>
        <v>-480527300</v>
      </c>
      <c r="G381" s="11"/>
    </row>
    <row r="382" spans="1:11">
      <c r="A382" s="11" t="s">
        <v>5294</v>
      </c>
      <c r="B382" s="3">
        <v>-2472422</v>
      </c>
      <c r="C382" s="11">
        <v>2</v>
      </c>
      <c r="D382" s="11">
        <f t="shared" si="31"/>
        <v>114</v>
      </c>
      <c r="E382" s="11">
        <f t="shared" si="32"/>
        <v>0</v>
      </c>
      <c r="F382" s="11">
        <f t="shared" si="33"/>
        <v>-281856108</v>
      </c>
      <c r="G382" s="11"/>
    </row>
    <row r="383" spans="1:11">
      <c r="A383" s="11" t="s">
        <v>5316</v>
      </c>
      <c r="B383" s="3">
        <v>-345000</v>
      </c>
      <c r="C383" s="11">
        <v>1</v>
      </c>
      <c r="D383" s="11">
        <f t="shared" si="31"/>
        <v>112</v>
      </c>
      <c r="E383" s="11">
        <f t="shared" si="32"/>
        <v>0</v>
      </c>
      <c r="F383" s="11">
        <f t="shared" si="33"/>
        <v>-38640000</v>
      </c>
      <c r="G383" s="11"/>
    </row>
    <row r="384" spans="1:11">
      <c r="A384" s="11" t="s">
        <v>5317</v>
      </c>
      <c r="B384" s="3">
        <v>-200000</v>
      </c>
      <c r="C384" s="11">
        <v>10</v>
      </c>
      <c r="D384" s="11">
        <f t="shared" si="31"/>
        <v>111</v>
      </c>
      <c r="E384" s="11">
        <f t="shared" si="32"/>
        <v>1</v>
      </c>
      <c r="F384" s="11">
        <f t="shared" si="33"/>
        <v>-22000000</v>
      </c>
      <c r="G384" s="11"/>
    </row>
    <row r="385" spans="1:10">
      <c r="A385" s="11" t="s">
        <v>5312</v>
      </c>
      <c r="B385" s="3">
        <v>800000</v>
      </c>
      <c r="C385" s="11">
        <v>0</v>
      </c>
      <c r="D385" s="11">
        <f t="shared" si="31"/>
        <v>101</v>
      </c>
      <c r="E385" s="11">
        <f t="shared" si="32"/>
        <v>0</v>
      </c>
      <c r="F385" s="11">
        <f t="shared" si="33"/>
        <v>80800000</v>
      </c>
      <c r="G385" s="11"/>
    </row>
    <row r="386" spans="1:10">
      <c r="A386" s="11" t="s">
        <v>5312</v>
      </c>
      <c r="B386" s="3">
        <v>-116941</v>
      </c>
      <c r="C386" s="11">
        <v>1</v>
      </c>
      <c r="D386" s="11">
        <f t="shared" si="31"/>
        <v>101</v>
      </c>
      <c r="E386" s="11">
        <f t="shared" si="32"/>
        <v>0</v>
      </c>
      <c r="F386" s="11">
        <f t="shared" si="33"/>
        <v>-11811041</v>
      </c>
      <c r="G386" s="11"/>
    </row>
    <row r="387" spans="1:10">
      <c r="A387" s="11" t="s">
        <v>965</v>
      </c>
      <c r="B387" s="3">
        <v>-400000</v>
      </c>
      <c r="C387" s="11">
        <v>0</v>
      </c>
      <c r="D387" s="11">
        <f t="shared" si="31"/>
        <v>100</v>
      </c>
      <c r="E387" s="11">
        <f t="shared" si="32"/>
        <v>1</v>
      </c>
      <c r="F387" s="11">
        <f t="shared" si="33"/>
        <v>-39600000</v>
      </c>
      <c r="G387" s="11"/>
    </row>
    <row r="388" spans="1:10">
      <c r="A388" s="11" t="s">
        <v>965</v>
      </c>
      <c r="B388" s="3">
        <v>12000000</v>
      </c>
      <c r="C388" s="11">
        <v>1</v>
      </c>
      <c r="D388" s="11">
        <f t="shared" si="31"/>
        <v>100</v>
      </c>
      <c r="E388" s="11">
        <f t="shared" si="32"/>
        <v>1</v>
      </c>
      <c r="F388" s="11">
        <f t="shared" si="33"/>
        <v>1188000000</v>
      </c>
      <c r="G388" s="11"/>
    </row>
    <row r="389" spans="1:10">
      <c r="A389" s="11" t="s">
        <v>5318</v>
      </c>
      <c r="B389" s="3">
        <v>8000000</v>
      </c>
      <c r="C389" s="11">
        <v>1</v>
      </c>
      <c r="D389" s="11">
        <f t="shared" si="31"/>
        <v>99</v>
      </c>
      <c r="E389" s="11">
        <f t="shared" si="32"/>
        <v>0</v>
      </c>
      <c r="F389" s="11">
        <f t="shared" si="33"/>
        <v>792000000</v>
      </c>
      <c r="G389" s="11"/>
    </row>
    <row r="390" spans="1:10">
      <c r="A390" s="11" t="s">
        <v>5319</v>
      </c>
      <c r="B390" s="3">
        <v>-10000</v>
      </c>
      <c r="C390" s="11">
        <v>1</v>
      </c>
      <c r="D390" s="11">
        <f t="shared" si="31"/>
        <v>98</v>
      </c>
      <c r="E390" s="11">
        <f t="shared" si="32"/>
        <v>0</v>
      </c>
      <c r="F390" s="11">
        <f t="shared" si="33"/>
        <v>-980000</v>
      </c>
      <c r="G390" s="11"/>
    </row>
    <row r="391" spans="1:10">
      <c r="A391" s="11" t="s">
        <v>5320</v>
      </c>
      <c r="B391" s="3">
        <v>-88000</v>
      </c>
      <c r="C391" s="11">
        <v>1</v>
      </c>
      <c r="D391" s="11">
        <f t="shared" si="31"/>
        <v>97</v>
      </c>
      <c r="E391" s="11">
        <f t="shared" si="32"/>
        <v>0</v>
      </c>
      <c r="F391" s="11">
        <f t="shared" si="33"/>
        <v>-8536000</v>
      </c>
      <c r="G391" s="11"/>
    </row>
    <row r="392" spans="1:10">
      <c r="A392" s="11" t="s">
        <v>5321</v>
      </c>
      <c r="B392" s="3">
        <v>-297675</v>
      </c>
      <c r="C392" s="11">
        <v>3</v>
      </c>
      <c r="D392" s="11">
        <f t="shared" si="31"/>
        <v>96</v>
      </c>
      <c r="E392" s="11">
        <f t="shared" si="32"/>
        <v>0</v>
      </c>
      <c r="F392" s="11">
        <f t="shared" si="33"/>
        <v>-28576800</v>
      </c>
      <c r="G392" s="11"/>
    </row>
    <row r="393" spans="1:10">
      <c r="A393" s="11" t="s">
        <v>5313</v>
      </c>
      <c r="B393" s="3">
        <v>-10114121</v>
      </c>
      <c r="C393" s="11">
        <v>1</v>
      </c>
      <c r="D393" s="11">
        <f t="shared" si="31"/>
        <v>93</v>
      </c>
      <c r="E393" s="11">
        <f t="shared" si="32"/>
        <v>0</v>
      </c>
      <c r="F393" s="11">
        <f t="shared" si="33"/>
        <v>-940613253</v>
      </c>
      <c r="G393" s="11"/>
    </row>
    <row r="394" spans="1:10">
      <c r="A394" s="11" t="s">
        <v>5314</v>
      </c>
      <c r="B394" s="3">
        <v>-9000000</v>
      </c>
      <c r="C394" s="11">
        <v>1</v>
      </c>
      <c r="D394" s="11">
        <f t="shared" si="31"/>
        <v>92</v>
      </c>
      <c r="E394" s="11">
        <f t="shared" si="32"/>
        <v>0</v>
      </c>
      <c r="F394" s="11">
        <f t="shared" si="33"/>
        <v>-828000000</v>
      </c>
      <c r="G394" s="11"/>
      <c r="J394" s="7">
        <f>B422-743653+21500</f>
        <v>3919446</v>
      </c>
    </row>
    <row r="395" spans="1:10">
      <c r="A395" s="11" t="s">
        <v>5322</v>
      </c>
      <c r="B395" s="3">
        <v>-83930</v>
      </c>
      <c r="C395" s="11">
        <v>1</v>
      </c>
      <c r="D395" s="11">
        <f t="shared" si="31"/>
        <v>91</v>
      </c>
      <c r="E395" s="11">
        <f t="shared" si="32"/>
        <v>0</v>
      </c>
      <c r="F395" s="11">
        <f t="shared" si="33"/>
        <v>-7637630</v>
      </c>
      <c r="G395" s="11"/>
    </row>
    <row r="396" spans="1:10">
      <c r="A396" s="11" t="s">
        <v>5323</v>
      </c>
      <c r="B396" s="3">
        <v>-19520</v>
      </c>
      <c r="C396" s="11">
        <v>0</v>
      </c>
      <c r="D396" s="11">
        <f t="shared" si="31"/>
        <v>90</v>
      </c>
      <c r="E396" s="11">
        <f t="shared" si="32"/>
        <v>0</v>
      </c>
      <c r="F396" s="11">
        <f t="shared" si="33"/>
        <v>-1756800</v>
      </c>
      <c r="G396" s="11"/>
    </row>
    <row r="397" spans="1:10">
      <c r="A397" s="11" t="s">
        <v>5323</v>
      </c>
      <c r="B397" s="3">
        <v>-676034</v>
      </c>
      <c r="C397" s="11">
        <v>27</v>
      </c>
      <c r="D397" s="11">
        <f t="shared" si="31"/>
        <v>90</v>
      </c>
      <c r="E397" s="11">
        <f t="shared" si="32"/>
        <v>1</v>
      </c>
      <c r="F397" s="11">
        <f t="shared" si="33"/>
        <v>-60167026</v>
      </c>
      <c r="G397" s="11"/>
    </row>
    <row r="398" spans="1:10">
      <c r="A398" s="11" t="s">
        <v>5351</v>
      </c>
      <c r="B398" s="3">
        <v>2200000</v>
      </c>
      <c r="C398" s="11">
        <v>2</v>
      </c>
      <c r="D398" s="11">
        <f t="shared" si="31"/>
        <v>63</v>
      </c>
      <c r="E398" s="11">
        <f t="shared" si="32"/>
        <v>0</v>
      </c>
      <c r="F398" s="11">
        <f t="shared" si="33"/>
        <v>138600000</v>
      </c>
      <c r="G398" s="11"/>
    </row>
    <row r="399" spans="1:10">
      <c r="A399" s="11" t="s">
        <v>5356</v>
      </c>
      <c r="B399" s="3">
        <v>-2000000</v>
      </c>
      <c r="C399" s="11">
        <v>1</v>
      </c>
      <c r="D399" s="11">
        <f t="shared" si="31"/>
        <v>61</v>
      </c>
      <c r="E399" s="11">
        <f t="shared" si="32"/>
        <v>0</v>
      </c>
      <c r="F399" s="11">
        <f t="shared" si="33"/>
        <v>-122000000</v>
      </c>
      <c r="G399" s="11"/>
    </row>
    <row r="400" spans="1:10">
      <c r="A400" s="11" t="s">
        <v>5357</v>
      </c>
      <c r="B400" s="3">
        <v>-28400</v>
      </c>
      <c r="C400" s="11">
        <v>1</v>
      </c>
      <c r="D400" s="11">
        <f t="shared" si="31"/>
        <v>60</v>
      </c>
      <c r="E400" s="11">
        <f t="shared" si="32"/>
        <v>0</v>
      </c>
      <c r="F400" s="11">
        <f t="shared" si="33"/>
        <v>-1704000</v>
      </c>
      <c r="G400" s="11"/>
    </row>
    <row r="401" spans="1:15">
      <c r="A401" s="11" t="s">
        <v>5359</v>
      </c>
      <c r="B401" s="3">
        <v>-126475</v>
      </c>
      <c r="C401" s="11">
        <v>1</v>
      </c>
      <c r="D401" s="11">
        <f t="shared" si="31"/>
        <v>59</v>
      </c>
      <c r="E401" s="11">
        <f t="shared" si="32"/>
        <v>0</v>
      </c>
      <c r="F401" s="11">
        <f t="shared" si="33"/>
        <v>-7462025</v>
      </c>
      <c r="G401" s="11"/>
    </row>
    <row r="402" spans="1:15">
      <c r="A402" s="11" t="s">
        <v>5358</v>
      </c>
      <c r="B402" s="3">
        <v>-32807</v>
      </c>
      <c r="C402" s="11">
        <v>4</v>
      </c>
      <c r="D402" s="11">
        <f t="shared" si="31"/>
        <v>58</v>
      </c>
      <c r="E402" s="11">
        <f t="shared" si="32"/>
        <v>0</v>
      </c>
      <c r="F402" s="11">
        <f t="shared" si="33"/>
        <v>-1902806</v>
      </c>
      <c r="G402" s="11"/>
    </row>
    <row r="403" spans="1:15">
      <c r="A403" s="11" t="s">
        <v>5362</v>
      </c>
      <c r="B403" s="3">
        <v>-11700</v>
      </c>
      <c r="C403" s="11">
        <v>7</v>
      </c>
      <c r="D403" s="11">
        <f t="shared" si="31"/>
        <v>54</v>
      </c>
      <c r="E403" s="11">
        <f t="shared" si="32"/>
        <v>1</v>
      </c>
      <c r="F403" s="11">
        <f t="shared" si="33"/>
        <v>-620100</v>
      </c>
      <c r="G403" s="11"/>
    </row>
    <row r="404" spans="1:15">
      <c r="A404" s="11" t="s">
        <v>5370</v>
      </c>
      <c r="B404" s="3">
        <v>5032773</v>
      </c>
      <c r="C404" s="11">
        <v>0</v>
      </c>
      <c r="D404" s="11">
        <f t="shared" si="31"/>
        <v>47</v>
      </c>
      <c r="E404" s="11">
        <f t="shared" si="32"/>
        <v>0</v>
      </c>
      <c r="F404" s="11">
        <f t="shared" si="33"/>
        <v>236540331</v>
      </c>
      <c r="G404" s="11"/>
    </row>
    <row r="405" spans="1:15">
      <c r="A405" s="11" t="s">
        <v>5370</v>
      </c>
      <c r="B405" s="3">
        <v>-5000000</v>
      </c>
      <c r="C405" s="11">
        <v>13</v>
      </c>
      <c r="D405" s="11">
        <f t="shared" si="31"/>
        <v>47</v>
      </c>
      <c r="E405" s="11">
        <f t="shared" si="32"/>
        <v>1</v>
      </c>
      <c r="F405" s="11">
        <f t="shared" si="33"/>
        <v>-230000000</v>
      </c>
      <c r="G405" s="11"/>
    </row>
    <row r="406" spans="1:15">
      <c r="A406" s="11" t="s">
        <v>5392</v>
      </c>
      <c r="B406" s="3">
        <v>1200000</v>
      </c>
      <c r="C406" s="11">
        <v>1</v>
      </c>
      <c r="D406" s="11">
        <f t="shared" si="31"/>
        <v>34</v>
      </c>
      <c r="E406" s="11">
        <f t="shared" si="32"/>
        <v>0</v>
      </c>
      <c r="F406" s="11">
        <f t="shared" si="33"/>
        <v>40800000</v>
      </c>
      <c r="G406" s="11"/>
    </row>
    <row r="407" spans="1:15">
      <c r="A407" s="11" t="s">
        <v>5384</v>
      </c>
      <c r="B407" s="3">
        <v>-1200000</v>
      </c>
      <c r="C407" s="11">
        <v>0</v>
      </c>
      <c r="D407" s="11">
        <f t="shared" si="31"/>
        <v>33</v>
      </c>
      <c r="E407" s="11">
        <f t="shared" si="32"/>
        <v>0</v>
      </c>
      <c r="F407" s="11">
        <f t="shared" si="33"/>
        <v>-39600000</v>
      </c>
      <c r="G407" s="11"/>
      <c r="O407" t="s">
        <v>25</v>
      </c>
    </row>
    <row r="408" spans="1:15">
      <c r="A408" s="11" t="s">
        <v>5384</v>
      </c>
      <c r="B408" s="3">
        <v>-784</v>
      </c>
      <c r="C408" s="11">
        <v>1</v>
      </c>
      <c r="D408" s="11">
        <f t="shared" si="31"/>
        <v>33</v>
      </c>
      <c r="E408" s="11">
        <f t="shared" si="32"/>
        <v>0</v>
      </c>
      <c r="F408" s="11">
        <f t="shared" si="33"/>
        <v>-25872</v>
      </c>
      <c r="G408" s="11" t="s">
        <v>5393</v>
      </c>
    </row>
    <row r="409" spans="1:15">
      <c r="A409" s="11" t="s">
        <v>5424</v>
      </c>
      <c r="B409" s="3">
        <v>-37927</v>
      </c>
      <c r="C409" s="11">
        <v>30</v>
      </c>
      <c r="D409" s="11">
        <f t="shared" si="31"/>
        <v>32</v>
      </c>
      <c r="E409" s="11">
        <f t="shared" si="32"/>
        <v>1</v>
      </c>
      <c r="F409" s="11">
        <f t="shared" si="33"/>
        <v>-1175737</v>
      </c>
      <c r="G409" s="11"/>
    </row>
    <row r="410" spans="1:15">
      <c r="A410" s="11" t="s">
        <v>5426</v>
      </c>
      <c r="B410" s="3">
        <v>5000000</v>
      </c>
      <c r="C410" s="11">
        <v>0</v>
      </c>
      <c r="D410" s="11">
        <f t="shared" si="31"/>
        <v>2</v>
      </c>
      <c r="E410" s="11">
        <f t="shared" si="32"/>
        <v>0</v>
      </c>
      <c r="F410" s="11">
        <f t="shared" si="33"/>
        <v>10000000</v>
      </c>
      <c r="G410" s="11"/>
    </row>
    <row r="411" spans="1:15">
      <c r="A411" s="11" t="s">
        <v>5426</v>
      </c>
      <c r="B411" s="3">
        <v>-1620700</v>
      </c>
      <c r="C411" s="11">
        <v>1</v>
      </c>
      <c r="D411" s="11">
        <f t="shared" si="31"/>
        <v>2</v>
      </c>
      <c r="E411" s="11">
        <f t="shared" si="32"/>
        <v>1</v>
      </c>
      <c r="F411" s="11">
        <f t="shared" si="33"/>
        <v>-1620700</v>
      </c>
      <c r="G411" s="11"/>
    </row>
    <row r="412" spans="1:15">
      <c r="A412" s="11" t="s">
        <v>5428</v>
      </c>
      <c r="B412" s="3">
        <v>1200000</v>
      </c>
      <c r="C412" s="11">
        <v>1</v>
      </c>
      <c r="D412" s="11">
        <f t="shared" si="31"/>
        <v>1</v>
      </c>
      <c r="E412" s="11">
        <f t="shared" si="32"/>
        <v>0</v>
      </c>
      <c r="F412" s="11">
        <f t="shared" si="33"/>
        <v>1200000</v>
      </c>
      <c r="G412" s="11"/>
    </row>
    <row r="413" spans="1:15">
      <c r="A413" s="11"/>
      <c r="B413" s="3"/>
      <c r="C413" s="11"/>
      <c r="D413" s="11">
        <f t="shared" si="31"/>
        <v>0</v>
      </c>
      <c r="E413" s="11">
        <f t="shared" si="32"/>
        <v>0</v>
      </c>
      <c r="F413" s="11">
        <f t="shared" si="33"/>
        <v>0</v>
      </c>
      <c r="G413" s="11"/>
    </row>
    <row r="414" spans="1:15">
      <c r="A414" s="11"/>
      <c r="B414" s="3"/>
      <c r="C414" s="11"/>
      <c r="D414" s="11">
        <f t="shared" si="31"/>
        <v>0</v>
      </c>
      <c r="E414" s="11">
        <f t="shared" si="32"/>
        <v>0</v>
      </c>
      <c r="F414" s="11">
        <f t="shared" si="33"/>
        <v>0</v>
      </c>
      <c r="G414" s="11"/>
    </row>
    <row r="415" spans="1:15">
      <c r="A415" s="11"/>
      <c r="B415" s="3"/>
      <c r="C415" s="11"/>
      <c r="D415" s="11">
        <f t="shared" si="31"/>
        <v>0</v>
      </c>
      <c r="E415" s="11">
        <f t="shared" si="32"/>
        <v>0</v>
      </c>
      <c r="F415" s="11">
        <f t="shared" si="33"/>
        <v>0</v>
      </c>
      <c r="G415" s="11"/>
    </row>
    <row r="416" spans="1:15">
      <c r="A416" s="11"/>
      <c r="B416" s="3"/>
      <c r="C416" s="11"/>
      <c r="D416" s="11">
        <f t="shared" si="31"/>
        <v>0</v>
      </c>
      <c r="E416" s="11">
        <f t="shared" si="32"/>
        <v>0</v>
      </c>
      <c r="F416" s="11">
        <f t="shared" si="33"/>
        <v>0</v>
      </c>
      <c r="G416" s="11"/>
    </row>
    <row r="417" spans="1:7">
      <c r="A417" s="11"/>
      <c r="B417" s="3"/>
      <c r="C417" s="11"/>
      <c r="D417" s="11">
        <f t="shared" si="31"/>
        <v>0</v>
      </c>
      <c r="E417" s="11">
        <f t="shared" si="32"/>
        <v>0</v>
      </c>
      <c r="F417" s="11">
        <f t="shared" si="33"/>
        <v>0</v>
      </c>
      <c r="G417" s="11" t="s">
        <v>25</v>
      </c>
    </row>
    <row r="418" spans="1:7">
      <c r="A418" s="11"/>
      <c r="B418" s="3"/>
      <c r="C418" s="11"/>
      <c r="D418" s="11">
        <f t="shared" si="31"/>
        <v>0</v>
      </c>
      <c r="E418" s="11">
        <f t="shared" si="32"/>
        <v>0</v>
      </c>
      <c r="F418" s="11">
        <f t="shared" si="33"/>
        <v>0</v>
      </c>
      <c r="G418" s="11"/>
    </row>
    <row r="419" spans="1:7">
      <c r="A419" s="11"/>
      <c r="B419" s="3"/>
      <c r="C419" s="11"/>
      <c r="D419" s="11">
        <f t="shared" si="31"/>
        <v>0</v>
      </c>
      <c r="E419" s="11">
        <f t="shared" si="32"/>
        <v>0</v>
      </c>
      <c r="F419" s="11">
        <f t="shared" si="33"/>
        <v>0</v>
      </c>
      <c r="G419" s="11"/>
    </row>
    <row r="420" spans="1:7">
      <c r="A420" s="11"/>
      <c r="B420" s="3">
        <v>0</v>
      </c>
      <c r="C420" s="11">
        <v>0</v>
      </c>
      <c r="D420" s="11">
        <f t="shared" si="31"/>
        <v>0</v>
      </c>
      <c r="E420" s="11">
        <f t="shared" si="32"/>
        <v>0</v>
      </c>
      <c r="F420" s="11">
        <f t="shared" si="33"/>
        <v>0</v>
      </c>
      <c r="G420" s="11"/>
    </row>
    <row r="421" spans="1:7">
      <c r="A421" s="11"/>
      <c r="B421" s="3"/>
      <c r="C421" s="11"/>
      <c r="D421" s="11"/>
      <c r="E421" s="11"/>
      <c r="F421" s="11"/>
      <c r="G421" s="11" t="s">
        <v>25</v>
      </c>
    </row>
    <row r="422" spans="1:7">
      <c r="A422" s="11"/>
      <c r="B422" s="26">
        <f>SUM(B2:B420)</f>
        <v>4641599</v>
      </c>
      <c r="C422" s="11"/>
      <c r="D422" s="11"/>
      <c r="E422" s="11"/>
      <c r="F422" s="26">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7"/>
    </row>
    <row r="429" spans="1:7">
      <c r="B429" s="7"/>
    </row>
    <row r="431" spans="1:7">
      <c r="D431" t="s">
        <v>25</v>
      </c>
    </row>
    <row r="432" spans="1:7">
      <c r="B432" s="7"/>
    </row>
    <row r="434" spans="5:5" ht="75">
      <c r="E434" s="22" t="s">
        <v>536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15">
      <c r="A1" s="11"/>
      <c r="B1" s="154" t="s">
        <v>4365</v>
      </c>
      <c r="C1" s="2" t="s">
        <v>4246</v>
      </c>
      <c r="D1" s="2" t="s">
        <v>180</v>
      </c>
      <c r="J1" s="2" t="s">
        <v>3603</v>
      </c>
      <c r="K1" s="2" t="s">
        <v>180</v>
      </c>
      <c r="L1" s="2" t="s">
        <v>4404</v>
      </c>
      <c r="M1" s="2" t="s">
        <v>900</v>
      </c>
      <c r="N1" s="2" t="s">
        <v>903</v>
      </c>
      <c r="O1" s="11" t="s">
        <v>8</v>
      </c>
    </row>
    <row r="2" spans="1:15">
      <c r="A2" s="11" t="s">
        <v>4192</v>
      </c>
      <c r="B2" s="155">
        <v>1707</v>
      </c>
      <c r="C2" s="156" t="s">
        <v>4509</v>
      </c>
      <c r="D2" s="11" t="s">
        <v>4419</v>
      </c>
      <c r="J2" s="2">
        <v>1</v>
      </c>
      <c r="K2" s="2" t="s">
        <v>4234</v>
      </c>
      <c r="L2" s="3">
        <v>4270000</v>
      </c>
      <c r="M2" s="2">
        <v>10</v>
      </c>
      <c r="N2" s="3">
        <f>L2*M2</f>
        <v>42700000</v>
      </c>
      <c r="O2" s="11" t="s">
        <v>723</v>
      </c>
    </row>
    <row r="3" spans="1:15">
      <c r="A3" s="11" t="s">
        <v>4487</v>
      </c>
      <c r="B3" s="155">
        <v>1184</v>
      </c>
      <c r="C3" s="156" t="s">
        <v>4493</v>
      </c>
      <c r="D3" s="11"/>
      <c r="J3" s="2">
        <v>2</v>
      </c>
      <c r="K3" s="2" t="s">
        <v>4415</v>
      </c>
      <c r="L3" s="3">
        <v>3845000</v>
      </c>
      <c r="M3" s="2">
        <v>4</v>
      </c>
      <c r="N3" s="3">
        <f>L3*M3</f>
        <v>15380000</v>
      </c>
      <c r="O3" s="11" t="s">
        <v>433</v>
      </c>
    </row>
    <row r="4" spans="1:15">
      <c r="A4" s="11" t="s">
        <v>4488</v>
      </c>
      <c r="B4" s="155">
        <v>1804</v>
      </c>
      <c r="C4" s="156" t="s">
        <v>4494</v>
      </c>
      <c r="D4" s="11"/>
      <c r="F4" t="s">
        <v>25</v>
      </c>
      <c r="J4" s="2">
        <v>3</v>
      </c>
      <c r="K4" s="2" t="s">
        <v>4180</v>
      </c>
      <c r="L4" s="3">
        <v>3390000</v>
      </c>
      <c r="M4" s="2">
        <v>2</v>
      </c>
      <c r="N4" s="3">
        <f>L4*M4</f>
        <v>6780000</v>
      </c>
      <c r="O4" s="11" t="s">
        <v>723</v>
      </c>
    </row>
    <row r="5" spans="1:15">
      <c r="A5" s="11"/>
      <c r="B5" s="155"/>
      <c r="C5" s="156"/>
      <c r="D5" s="11"/>
      <c r="J5" s="162">
        <v>4</v>
      </c>
      <c r="K5" s="162" t="s">
        <v>4512</v>
      </c>
      <c r="L5" s="163">
        <v>0</v>
      </c>
      <c r="M5" s="162">
        <v>3</v>
      </c>
      <c r="N5" s="163">
        <f>L5*M5</f>
        <v>0</v>
      </c>
      <c r="O5" s="164" t="s">
        <v>4515</v>
      </c>
    </row>
    <row r="6" spans="1:15">
      <c r="A6" s="11" t="s">
        <v>1048</v>
      </c>
      <c r="B6" s="155">
        <v>4060000</v>
      </c>
      <c r="C6" s="3">
        <v>4260000</v>
      </c>
      <c r="D6" s="11" t="s">
        <v>4419</v>
      </c>
      <c r="F6" t="s">
        <v>25</v>
      </c>
      <c r="J6" s="2">
        <v>5</v>
      </c>
      <c r="K6" s="2" t="s">
        <v>4516</v>
      </c>
      <c r="L6" s="3">
        <v>4183832</v>
      </c>
      <c r="M6" s="2">
        <v>6</v>
      </c>
      <c r="N6" s="3">
        <v>25071612</v>
      </c>
      <c r="O6" s="11" t="s">
        <v>433</v>
      </c>
    </row>
    <row r="7" spans="1:15">
      <c r="A7" s="11" t="s">
        <v>4472</v>
      </c>
      <c r="B7" s="155">
        <v>1689</v>
      </c>
      <c r="C7" s="3"/>
      <c r="D7" s="11"/>
      <c r="F7">
        <v>0</v>
      </c>
      <c r="J7" s="2">
        <v>6</v>
      </c>
      <c r="K7" s="2" t="s">
        <v>4520</v>
      </c>
      <c r="L7" s="3">
        <v>4186993</v>
      </c>
      <c r="M7" s="2">
        <v>4</v>
      </c>
      <c r="N7" s="3">
        <v>16727037</v>
      </c>
      <c r="O7" s="11" t="s">
        <v>723</v>
      </c>
    </row>
    <row r="8" spans="1:15">
      <c r="A8" s="11" t="s">
        <v>4448</v>
      </c>
      <c r="B8" s="155">
        <v>3414</v>
      </c>
      <c r="C8" s="3">
        <v>3622</v>
      </c>
      <c r="D8" s="11"/>
      <c r="F8">
        <v>0</v>
      </c>
      <c r="J8" s="2">
        <v>7</v>
      </c>
      <c r="K8" s="2" t="s">
        <v>4525</v>
      </c>
      <c r="L8" s="3">
        <v>4223698</v>
      </c>
      <c r="M8" s="2">
        <v>10</v>
      </c>
      <c r="N8" s="3">
        <v>42236984</v>
      </c>
      <c r="O8" s="11" t="s">
        <v>433</v>
      </c>
    </row>
    <row r="9" spans="1:15">
      <c r="A9" s="11" t="s">
        <v>4484</v>
      </c>
      <c r="B9" s="155">
        <v>1174</v>
      </c>
      <c r="C9" s="3" t="s">
        <v>25</v>
      </c>
      <c r="D9" s="11"/>
      <c r="F9">
        <v>0</v>
      </c>
      <c r="J9" s="2">
        <v>8</v>
      </c>
      <c r="K9" s="2" t="s">
        <v>4525</v>
      </c>
      <c r="L9" s="3">
        <v>4223698</v>
      </c>
      <c r="M9" s="2">
        <v>11</v>
      </c>
      <c r="N9" s="3">
        <v>46460683</v>
      </c>
      <c r="O9" s="11" t="s">
        <v>723</v>
      </c>
    </row>
    <row r="10" spans="1:15">
      <c r="A10" s="11" t="s">
        <v>4346</v>
      </c>
      <c r="B10" s="155">
        <v>472</v>
      </c>
      <c r="C10" s="3">
        <v>540</v>
      </c>
      <c r="D10" s="11"/>
      <c r="F10">
        <v>0</v>
      </c>
      <c r="J10" s="2">
        <v>9</v>
      </c>
      <c r="K10" s="2" t="s">
        <v>4526</v>
      </c>
      <c r="L10" s="3">
        <f>N10/M10</f>
        <v>4369699.111111111</v>
      </c>
      <c r="M10" s="2">
        <v>4.5</v>
      </c>
      <c r="N10" s="3">
        <v>19663646</v>
      </c>
      <c r="O10" s="11" t="s">
        <v>723</v>
      </c>
    </row>
    <row r="11" spans="1:15">
      <c r="A11" s="11"/>
      <c r="B11" s="155"/>
      <c r="C11" s="3"/>
      <c r="D11" s="11"/>
      <c r="F11" s="7">
        <v>0</v>
      </c>
      <c r="J11" s="2">
        <v>10</v>
      </c>
      <c r="K11" s="2" t="s">
        <v>4526</v>
      </c>
      <c r="L11" s="3">
        <f>N11/M11</f>
        <v>4369699.111111111</v>
      </c>
      <c r="M11" s="2">
        <v>4.5</v>
      </c>
      <c r="N11" s="3">
        <v>19663646</v>
      </c>
      <c r="O11" s="11" t="s">
        <v>433</v>
      </c>
    </row>
    <row r="12" spans="1:15">
      <c r="A12" s="11" t="s">
        <v>4465</v>
      </c>
      <c r="B12" s="155">
        <v>3965312</v>
      </c>
      <c r="C12" s="3"/>
      <c r="D12" s="48" t="s">
        <v>4737</v>
      </c>
      <c r="F12" s="7">
        <v>0</v>
      </c>
      <c r="J12" s="2">
        <v>11</v>
      </c>
      <c r="K12" s="2" t="s">
        <v>4547</v>
      </c>
      <c r="L12" s="3">
        <v>4374525</v>
      </c>
      <c r="M12" s="2">
        <v>1</v>
      </c>
      <c r="N12" s="3">
        <v>4374525</v>
      </c>
      <c r="O12" s="11" t="s">
        <v>723</v>
      </c>
    </row>
    <row r="13" spans="1:15">
      <c r="A13" s="11"/>
      <c r="B13" s="155"/>
      <c r="C13" s="3"/>
      <c r="D13" s="11"/>
      <c r="F13" s="7">
        <v>0</v>
      </c>
      <c r="J13" s="2">
        <v>12</v>
      </c>
      <c r="K13" s="2" t="s">
        <v>4547</v>
      </c>
      <c r="L13" s="3">
        <v>4374525</v>
      </c>
      <c r="M13" s="2">
        <v>1</v>
      </c>
      <c r="N13" s="3">
        <v>4374525</v>
      </c>
      <c r="O13" s="11" t="s">
        <v>433</v>
      </c>
    </row>
    <row r="14" spans="1:15">
      <c r="A14" s="11"/>
      <c r="B14" s="155"/>
      <c r="C14" s="3"/>
      <c r="D14" s="11"/>
      <c r="F14" s="7">
        <v>0</v>
      </c>
      <c r="J14" s="2">
        <v>13</v>
      </c>
      <c r="K14" s="2" t="s">
        <v>4558</v>
      </c>
      <c r="L14" s="3">
        <v>4367053</v>
      </c>
      <c r="M14" s="2">
        <v>1.5</v>
      </c>
      <c r="N14" s="3">
        <v>6550580</v>
      </c>
      <c r="O14" s="11" t="s">
        <v>723</v>
      </c>
    </row>
    <row r="15" spans="1:15">
      <c r="A15" s="11"/>
      <c r="B15" s="155"/>
      <c r="C15" s="3"/>
      <c r="D15" s="11"/>
      <c r="F15" s="7">
        <f>B12+F7+F8+F9+F10+F11+F12+F13+F14</f>
        <v>3965312</v>
      </c>
      <c r="J15" s="2">
        <v>14</v>
      </c>
      <c r="K15" s="2" t="s">
        <v>4558</v>
      </c>
      <c r="L15" s="3">
        <v>4367053</v>
      </c>
      <c r="M15" s="2">
        <v>1.5</v>
      </c>
      <c r="N15" s="3">
        <v>6550580</v>
      </c>
      <c r="O15" s="11" t="s">
        <v>433</v>
      </c>
    </row>
    <row r="16" spans="1:15">
      <c r="A16" s="11"/>
      <c r="B16" s="155"/>
      <c r="C16" s="3"/>
      <c r="D16" s="11"/>
      <c r="J16" s="2">
        <v>15</v>
      </c>
      <c r="K16" s="2" t="s">
        <v>4560</v>
      </c>
      <c r="L16" s="3">
        <v>4433930</v>
      </c>
      <c r="M16" s="2">
        <v>1.5</v>
      </c>
      <c r="N16" s="3">
        <f>L16*M16</f>
        <v>6650895</v>
      </c>
      <c r="O16" s="11" t="s">
        <v>723</v>
      </c>
    </row>
    <row r="17" spans="1:20">
      <c r="A17" s="11"/>
      <c r="J17" s="2">
        <v>16</v>
      </c>
      <c r="K17" s="2" t="s">
        <v>4560</v>
      </c>
      <c r="L17" s="3">
        <v>4433930</v>
      </c>
      <c r="M17" s="2">
        <v>1.5</v>
      </c>
      <c r="N17" s="3">
        <f>L17*M17</f>
        <v>6650895</v>
      </c>
      <c r="O17" s="11" t="s">
        <v>433</v>
      </c>
    </row>
    <row r="18" spans="1:20">
      <c r="J18" s="2">
        <v>17</v>
      </c>
      <c r="K18" s="2" t="s">
        <v>4573</v>
      </c>
      <c r="L18" s="3">
        <v>4291628</v>
      </c>
      <c r="M18" s="2">
        <v>0.5</v>
      </c>
      <c r="N18" s="3">
        <v>2145814</v>
      </c>
      <c r="O18" s="11" t="s">
        <v>723</v>
      </c>
    </row>
    <row r="19" spans="1:20">
      <c r="J19" s="2">
        <v>18</v>
      </c>
      <c r="K19" s="2" t="s">
        <v>4573</v>
      </c>
      <c r="L19" s="3">
        <v>4291628</v>
      </c>
      <c r="M19" s="2">
        <v>0.5</v>
      </c>
      <c r="N19" s="3">
        <v>2145814</v>
      </c>
      <c r="O19" s="11" t="s">
        <v>433</v>
      </c>
      <c r="R19" t="s">
        <v>25</v>
      </c>
      <c r="T19" t="s">
        <v>25</v>
      </c>
    </row>
    <row r="20" spans="1:20">
      <c r="J20" s="2">
        <v>19</v>
      </c>
      <c r="K20" s="2" t="s">
        <v>4583</v>
      </c>
      <c r="L20" s="3">
        <v>4369730</v>
      </c>
      <c r="M20" s="2">
        <v>1</v>
      </c>
      <c r="N20" s="3">
        <f t="shared" ref="N20:N38" si="0">L20*M20</f>
        <v>4369730</v>
      </c>
      <c r="O20" s="11" t="s">
        <v>723</v>
      </c>
    </row>
    <row r="21" spans="1:20">
      <c r="J21" s="2">
        <v>20</v>
      </c>
      <c r="K21" s="2" t="s">
        <v>4583</v>
      </c>
      <c r="L21" s="3">
        <v>4369730</v>
      </c>
      <c r="M21" s="2">
        <v>1</v>
      </c>
      <c r="N21" s="3">
        <f t="shared" si="0"/>
        <v>4369730</v>
      </c>
      <c r="O21" s="11" t="s">
        <v>433</v>
      </c>
      <c r="R21" t="s">
        <v>25</v>
      </c>
    </row>
    <row r="22" spans="1:20">
      <c r="J22" s="2">
        <v>21</v>
      </c>
      <c r="K22" s="2" t="s">
        <v>4584</v>
      </c>
      <c r="L22" s="3">
        <v>4398820</v>
      </c>
      <c r="M22" s="2">
        <v>2</v>
      </c>
      <c r="N22" s="3">
        <f t="shared" si="0"/>
        <v>8797640</v>
      </c>
      <c r="O22" s="11" t="s">
        <v>723</v>
      </c>
      <c r="R22" t="s">
        <v>25</v>
      </c>
    </row>
    <row r="23" spans="1:20">
      <c r="A23" s="11" t="s">
        <v>180</v>
      </c>
      <c r="B23" s="11" t="s">
        <v>4577</v>
      </c>
      <c r="C23" s="11" t="s">
        <v>4578</v>
      </c>
      <c r="D23" s="11" t="s">
        <v>4579</v>
      </c>
      <c r="E23" s="11" t="s">
        <v>4580</v>
      </c>
      <c r="J23" s="2">
        <v>22</v>
      </c>
      <c r="K23" s="2" t="s">
        <v>4584</v>
      </c>
      <c r="L23" s="3">
        <v>4398820</v>
      </c>
      <c r="M23" s="2">
        <v>2</v>
      </c>
      <c r="N23" s="3">
        <f t="shared" si="0"/>
        <v>8797640</v>
      </c>
      <c r="O23" s="11" t="s">
        <v>433</v>
      </c>
      <c r="Q23" t="s">
        <v>25</v>
      </c>
      <c r="R23" t="s">
        <v>25</v>
      </c>
    </row>
    <row r="24" spans="1:20">
      <c r="A24" s="11" t="s">
        <v>4549</v>
      </c>
      <c r="B24" s="26">
        <v>4080000</v>
      </c>
      <c r="C24" s="26">
        <v>4200000</v>
      </c>
      <c r="D24" s="26"/>
      <c r="E24" s="26"/>
      <c r="J24" s="162">
        <v>23</v>
      </c>
      <c r="K24" s="162" t="s">
        <v>4584</v>
      </c>
      <c r="L24" s="163">
        <v>4388600</v>
      </c>
      <c r="M24" s="162">
        <v>5</v>
      </c>
      <c r="N24" s="163">
        <f t="shared" si="0"/>
        <v>21943000</v>
      </c>
      <c r="O24" s="164" t="s">
        <v>4595</v>
      </c>
    </row>
    <row r="25" spans="1:20">
      <c r="A25" s="11" t="s">
        <v>4558</v>
      </c>
      <c r="B25" s="26">
        <v>4100000</v>
      </c>
      <c r="C25" s="26">
        <v>4230000</v>
      </c>
      <c r="D25" s="26"/>
      <c r="E25" s="26"/>
      <c r="J25" s="2">
        <v>24</v>
      </c>
      <c r="K25" s="2" t="s">
        <v>4585</v>
      </c>
      <c r="L25" s="3">
        <v>4445103</v>
      </c>
      <c r="M25" s="2">
        <v>1.5</v>
      </c>
      <c r="N25" s="3">
        <f t="shared" si="0"/>
        <v>6667654.5</v>
      </c>
      <c r="O25" s="11" t="s">
        <v>723</v>
      </c>
    </row>
    <row r="26" spans="1:20">
      <c r="A26" s="11" t="s">
        <v>4560</v>
      </c>
      <c r="B26" s="26">
        <v>4230000</v>
      </c>
      <c r="C26" s="26">
        <v>4330000</v>
      </c>
      <c r="D26" s="26">
        <v>12200</v>
      </c>
      <c r="E26" s="26">
        <v>12350</v>
      </c>
      <c r="J26" s="2">
        <v>25</v>
      </c>
      <c r="K26" s="2" t="s">
        <v>4585</v>
      </c>
      <c r="L26" s="3">
        <v>4445103</v>
      </c>
      <c r="M26" s="2">
        <v>1.5</v>
      </c>
      <c r="N26" s="3">
        <f t="shared" si="0"/>
        <v>6667654.5</v>
      </c>
      <c r="O26" s="11" t="s">
        <v>433</v>
      </c>
      <c r="R26" t="s">
        <v>25</v>
      </c>
    </row>
    <row r="27" spans="1:20">
      <c r="A27" s="11" t="s">
        <v>4568</v>
      </c>
      <c r="B27" s="26">
        <v>4270000</v>
      </c>
      <c r="C27" s="26">
        <v>4370000</v>
      </c>
      <c r="D27" s="26"/>
      <c r="E27" s="26"/>
      <c r="J27" s="2">
        <v>26</v>
      </c>
      <c r="K27" s="2" t="s">
        <v>4594</v>
      </c>
      <c r="L27" s="3">
        <v>4490623</v>
      </c>
      <c r="M27" s="2">
        <v>2</v>
      </c>
      <c r="N27" s="3">
        <f t="shared" si="0"/>
        <v>8981246</v>
      </c>
      <c r="O27" s="11" t="s">
        <v>723</v>
      </c>
      <c r="R27" t="s">
        <v>25</v>
      </c>
      <c r="S27" t="s">
        <v>25</v>
      </c>
    </row>
    <row r="28" spans="1:20">
      <c r="A28" s="11" t="s">
        <v>4573</v>
      </c>
      <c r="B28" s="26">
        <v>3980000</v>
      </c>
      <c r="C28" s="26">
        <v>4120000</v>
      </c>
      <c r="D28" s="26">
        <v>11450</v>
      </c>
      <c r="E28" s="26">
        <v>11650</v>
      </c>
      <c r="J28" s="2">
        <v>27</v>
      </c>
      <c r="K28" s="2" t="s">
        <v>4594</v>
      </c>
      <c r="L28" s="3">
        <v>4490623</v>
      </c>
      <c r="M28" s="2">
        <v>2</v>
      </c>
      <c r="N28" s="3">
        <f t="shared" si="0"/>
        <v>8981246</v>
      </c>
      <c r="O28" s="11" t="s">
        <v>433</v>
      </c>
    </row>
    <row r="29" spans="1:20">
      <c r="A29" s="11" t="s">
        <v>4575</v>
      </c>
      <c r="B29" s="26">
        <v>4120000</v>
      </c>
      <c r="C29" s="26">
        <v>4230000</v>
      </c>
      <c r="D29" s="26">
        <v>11650</v>
      </c>
      <c r="E29" s="26">
        <v>11750</v>
      </c>
      <c r="J29" s="2">
        <v>28</v>
      </c>
      <c r="K29" s="2" t="s">
        <v>3646</v>
      </c>
      <c r="L29" s="3">
        <v>4590878</v>
      </c>
      <c r="M29" s="2">
        <v>2</v>
      </c>
      <c r="N29" s="3">
        <f t="shared" si="0"/>
        <v>9181756</v>
      </c>
      <c r="O29" s="11" t="s">
        <v>723</v>
      </c>
    </row>
    <row r="30" spans="1:20">
      <c r="A30" s="11" t="s">
        <v>4576</v>
      </c>
      <c r="B30" s="26">
        <v>4170000</v>
      </c>
      <c r="C30" s="26">
        <v>4280000</v>
      </c>
      <c r="D30" s="26">
        <v>11750</v>
      </c>
      <c r="E30" s="26">
        <v>11900</v>
      </c>
      <c r="J30" s="2">
        <v>29</v>
      </c>
      <c r="K30" s="2" t="s">
        <v>3646</v>
      </c>
      <c r="L30" s="3">
        <v>4590878</v>
      </c>
      <c r="M30" s="2">
        <v>2</v>
      </c>
      <c r="N30" s="3">
        <f t="shared" si="0"/>
        <v>9181756</v>
      </c>
      <c r="O30" s="11" t="s">
        <v>433</v>
      </c>
      <c r="R30" t="s">
        <v>25</v>
      </c>
    </row>
    <row r="31" spans="1:20">
      <c r="A31" s="11" t="s">
        <v>4581</v>
      </c>
      <c r="B31" s="26">
        <v>4130000</v>
      </c>
      <c r="C31" s="26">
        <v>4260000</v>
      </c>
      <c r="D31" s="26">
        <v>11850</v>
      </c>
      <c r="E31" s="26">
        <v>11950</v>
      </c>
      <c r="J31" s="2">
        <v>30</v>
      </c>
      <c r="K31" s="2" t="s">
        <v>4605</v>
      </c>
      <c r="L31" s="3">
        <v>4724483</v>
      </c>
      <c r="M31" s="2">
        <v>2.5</v>
      </c>
      <c r="N31" s="3">
        <f t="shared" si="0"/>
        <v>11811207.5</v>
      </c>
      <c r="O31" s="11" t="s">
        <v>723</v>
      </c>
    </row>
    <row r="32" spans="1:20">
      <c r="A32" s="11" t="s">
        <v>4583</v>
      </c>
      <c r="B32" s="26">
        <v>4100000</v>
      </c>
      <c r="C32" s="26">
        <v>4220000</v>
      </c>
      <c r="D32" s="26">
        <v>11800</v>
      </c>
      <c r="E32" s="26">
        <v>11980</v>
      </c>
      <c r="J32" s="2">
        <v>31</v>
      </c>
      <c r="K32" s="2" t="s">
        <v>4605</v>
      </c>
      <c r="L32" s="3">
        <v>4724483</v>
      </c>
      <c r="M32" s="2">
        <v>2.5</v>
      </c>
      <c r="N32" s="3">
        <f t="shared" si="0"/>
        <v>11811207.5</v>
      </c>
      <c r="O32" s="11" t="s">
        <v>433</v>
      </c>
    </row>
    <row r="33" spans="1:19">
      <c r="A33" s="11" t="s">
        <v>4584</v>
      </c>
      <c r="B33" s="26">
        <v>4220000</v>
      </c>
      <c r="C33" s="26">
        <v>4320000</v>
      </c>
      <c r="D33" s="26">
        <v>11900</v>
      </c>
      <c r="E33" s="26">
        <v>12050</v>
      </c>
      <c r="J33" s="2">
        <v>32</v>
      </c>
      <c r="K33" s="2" t="s">
        <v>4618</v>
      </c>
      <c r="L33" s="3">
        <v>4852712</v>
      </c>
      <c r="M33" s="2">
        <v>8.5</v>
      </c>
      <c r="N33" s="3">
        <f t="shared" si="0"/>
        <v>41248052</v>
      </c>
      <c r="O33" s="11" t="s">
        <v>723</v>
      </c>
    </row>
    <row r="34" spans="1:19">
      <c r="A34" s="11" t="s">
        <v>4585</v>
      </c>
      <c r="B34" s="26">
        <v>4240000</v>
      </c>
      <c r="C34" s="26">
        <v>4340000</v>
      </c>
      <c r="D34" s="26">
        <v>12100</v>
      </c>
      <c r="E34" s="26">
        <v>12250</v>
      </c>
      <c r="I34" t="s">
        <v>25</v>
      </c>
      <c r="J34" s="2">
        <v>33</v>
      </c>
      <c r="K34" s="2" t="s">
        <v>4618</v>
      </c>
      <c r="L34" s="3">
        <v>4852712</v>
      </c>
      <c r="M34" s="2">
        <v>8.5</v>
      </c>
      <c r="N34" s="3">
        <f t="shared" si="0"/>
        <v>41248052</v>
      </c>
      <c r="O34" s="11" t="s">
        <v>433</v>
      </c>
    </row>
    <row r="35" spans="1:19">
      <c r="A35" s="11" t="s">
        <v>4594</v>
      </c>
      <c r="B35" s="26">
        <v>4230000</v>
      </c>
      <c r="C35" s="26">
        <v>4370000</v>
      </c>
      <c r="D35" s="26">
        <v>12100</v>
      </c>
      <c r="E35" s="26">
        <v>12250</v>
      </c>
      <c r="J35" s="2">
        <v>34</v>
      </c>
      <c r="K35" s="2" t="s">
        <v>4620</v>
      </c>
      <c r="L35" s="3">
        <v>4977171</v>
      </c>
      <c r="M35" s="2">
        <v>7.5</v>
      </c>
      <c r="N35" s="3">
        <f t="shared" si="0"/>
        <v>37328782.5</v>
      </c>
      <c r="O35" s="11" t="s">
        <v>723</v>
      </c>
    </row>
    <row r="36" spans="1:19">
      <c r="A36" s="11" t="s">
        <v>3646</v>
      </c>
      <c r="B36" s="26">
        <v>4300000</v>
      </c>
      <c r="C36" s="26">
        <v>4420000</v>
      </c>
      <c r="D36" s="26">
        <v>12300</v>
      </c>
      <c r="E36" s="26">
        <v>12400</v>
      </c>
      <c r="J36" s="2">
        <v>35</v>
      </c>
      <c r="K36" s="2" t="s">
        <v>4620</v>
      </c>
      <c r="L36" s="3">
        <v>4977171</v>
      </c>
      <c r="M36" s="2">
        <v>7.5</v>
      </c>
      <c r="N36" s="3">
        <f t="shared" si="0"/>
        <v>37328782.5</v>
      </c>
      <c r="O36" s="11" t="s">
        <v>433</v>
      </c>
    </row>
    <row r="37" spans="1:19">
      <c r="A37" s="11" t="s">
        <v>4605</v>
      </c>
      <c r="B37" s="26">
        <v>4370000</v>
      </c>
      <c r="C37" s="26">
        <v>4480000</v>
      </c>
      <c r="D37" s="26">
        <v>12600</v>
      </c>
      <c r="E37" s="26">
        <v>12700</v>
      </c>
      <c r="J37" s="2">
        <v>36</v>
      </c>
      <c r="K37" s="2" t="s">
        <v>4737</v>
      </c>
      <c r="L37" s="3">
        <v>5048479</v>
      </c>
      <c r="M37" s="2">
        <v>4</v>
      </c>
      <c r="N37" s="3">
        <f t="shared" si="0"/>
        <v>20193916</v>
      </c>
      <c r="O37" s="11" t="s">
        <v>723</v>
      </c>
    </row>
    <row r="38" spans="1:19">
      <c r="A38" s="11" t="s">
        <v>4608</v>
      </c>
      <c r="B38" s="26">
        <v>4470000</v>
      </c>
      <c r="C38" s="26">
        <v>4580000</v>
      </c>
      <c r="D38" s="26">
        <v>13050</v>
      </c>
      <c r="E38" s="26">
        <v>13200</v>
      </c>
      <c r="J38" s="2">
        <v>37</v>
      </c>
      <c r="K38" s="2" t="s">
        <v>4737</v>
      </c>
      <c r="L38" s="3">
        <v>5048479</v>
      </c>
      <c r="M38" s="2">
        <v>9</v>
      </c>
      <c r="N38" s="3">
        <f t="shared" si="0"/>
        <v>45436311</v>
      </c>
      <c r="O38" s="11" t="s">
        <v>433</v>
      </c>
    </row>
    <row r="39" spans="1:19">
      <c r="A39" s="11" t="s">
        <v>4613</v>
      </c>
      <c r="B39" s="26">
        <v>4600000</v>
      </c>
      <c r="C39" s="26">
        <v>4720000</v>
      </c>
      <c r="D39" s="26"/>
      <c r="E39" s="26"/>
      <c r="J39" s="2"/>
      <c r="K39" s="2"/>
      <c r="L39" s="3"/>
      <c r="M39" s="2"/>
      <c r="N39" s="3"/>
      <c r="O39" s="11"/>
    </row>
    <row r="40" spans="1:19">
      <c r="A40" s="11" t="s">
        <v>4618</v>
      </c>
      <c r="B40" s="26">
        <v>4530000</v>
      </c>
      <c r="C40" s="26">
        <v>4680000</v>
      </c>
      <c r="D40" s="26">
        <v>13000</v>
      </c>
      <c r="E40" s="26">
        <v>13150</v>
      </c>
      <c r="J40" s="2"/>
      <c r="K40" s="2"/>
      <c r="L40" s="3" t="s">
        <v>25</v>
      </c>
      <c r="M40" s="2"/>
      <c r="N40" s="3"/>
      <c r="O40" s="11"/>
    </row>
    <row r="41" spans="1:19">
      <c r="A41" s="11" t="s">
        <v>4620</v>
      </c>
      <c r="B41" s="26">
        <v>4750000</v>
      </c>
      <c r="C41" s="26">
        <v>4900000</v>
      </c>
      <c r="D41" s="26">
        <v>13750</v>
      </c>
      <c r="E41" s="26">
        <v>13900</v>
      </c>
      <c r="J41" s="2"/>
      <c r="K41" s="2"/>
      <c r="L41" s="2"/>
      <c r="M41" s="2">
        <f>SUM(M2:M40)</f>
        <v>140</v>
      </c>
      <c r="N41" s="3">
        <f>SUM(N2:N40)</f>
        <v>618472600</v>
      </c>
      <c r="O41" s="3">
        <f>N41/(M41-3)</f>
        <v>4514398.5401459858</v>
      </c>
    </row>
    <row r="42" spans="1:19">
      <c r="A42" s="11" t="s">
        <v>4627</v>
      </c>
      <c r="B42" s="26">
        <v>4700000</v>
      </c>
      <c r="C42" s="26">
        <v>4850000</v>
      </c>
      <c r="D42" s="26">
        <v>13650</v>
      </c>
      <c r="E42" s="26">
        <v>13800</v>
      </c>
      <c r="J42" s="2"/>
      <c r="K42" s="2"/>
      <c r="L42" s="2"/>
      <c r="M42" s="2" t="s">
        <v>6</v>
      </c>
      <c r="N42" s="2"/>
      <c r="O42" s="11"/>
      <c r="P42">
        <f>O44/2</f>
        <v>37328780.5</v>
      </c>
      <c r="Q42">
        <f>O44/15</f>
        <v>4977170.7333333334</v>
      </c>
    </row>
    <row r="43" spans="1:19">
      <c r="A43" s="11" t="s">
        <v>4633</v>
      </c>
      <c r="B43" s="26">
        <v>4550000</v>
      </c>
      <c r="C43" s="26">
        <v>4750000</v>
      </c>
      <c r="D43" s="26">
        <v>13400</v>
      </c>
      <c r="E43" s="26">
        <v>13500</v>
      </c>
      <c r="M43" s="3">
        <f>N41/(M41-3)</f>
        <v>4514398.5401459858</v>
      </c>
      <c r="S43" t="s">
        <v>25</v>
      </c>
    </row>
    <row r="44" spans="1:19">
      <c r="A44" s="11" t="s">
        <v>4639</v>
      </c>
      <c r="B44" s="26">
        <v>4580000</v>
      </c>
      <c r="C44" s="26">
        <v>4750000</v>
      </c>
      <c r="D44" s="26">
        <v>13350</v>
      </c>
      <c r="E44" s="26">
        <v>13500</v>
      </c>
      <c r="I44" s="36"/>
      <c r="M44" s="36" t="s">
        <v>4440</v>
      </c>
      <c r="N44" t="s">
        <v>25</v>
      </c>
      <c r="O44" s="165">
        <v>74657561</v>
      </c>
      <c r="R44" t="s">
        <v>25</v>
      </c>
    </row>
    <row r="45" spans="1:19">
      <c r="A45" s="11" t="s">
        <v>4647</v>
      </c>
      <c r="B45" s="26">
        <v>4500000</v>
      </c>
      <c r="C45" s="26">
        <v>4650000</v>
      </c>
      <c r="D45" s="26">
        <v>13250</v>
      </c>
      <c r="E45" s="26">
        <v>13450</v>
      </c>
    </row>
    <row r="46" spans="1:19">
      <c r="A46" s="11" t="s">
        <v>4652</v>
      </c>
      <c r="B46" s="26">
        <v>4620000</v>
      </c>
      <c r="C46" s="26">
        <v>4770000</v>
      </c>
      <c r="D46" s="26">
        <v>13600</v>
      </c>
      <c r="E46" s="26">
        <v>13700</v>
      </c>
    </row>
    <row r="47" spans="1:19">
      <c r="A47" s="11" t="s">
        <v>4656</v>
      </c>
      <c r="B47" s="26">
        <v>4400000</v>
      </c>
      <c r="C47" s="26">
        <v>4600000</v>
      </c>
      <c r="D47" s="26">
        <v>13200</v>
      </c>
      <c r="E47" s="26">
        <v>13400</v>
      </c>
      <c r="L47">
        <f>140-M41</f>
        <v>0</v>
      </c>
      <c r="M47">
        <f>70-M2-M4-M5-M7-M9-M10-M12-M14-M16-M18-M20-M22-M25-M27-M29-M31-M33-M35-M37</f>
        <v>0</v>
      </c>
      <c r="N47" t="s">
        <v>460</v>
      </c>
    </row>
    <row r="48" spans="1:19">
      <c r="A48" s="11" t="s">
        <v>4657</v>
      </c>
      <c r="B48" s="26">
        <v>4250000</v>
      </c>
      <c r="C48" s="26">
        <v>4450000</v>
      </c>
      <c r="D48" s="26">
        <v>12750</v>
      </c>
      <c r="E48" s="26">
        <v>12900</v>
      </c>
      <c r="M48">
        <f>65-M3-M6-M8-M11-M13-M15-M17-M19-M21-M23-M26-M28-M30-M32-M34-M36-M38</f>
        <v>0</v>
      </c>
      <c r="N48" t="s">
        <v>5</v>
      </c>
    </row>
    <row r="49" spans="1:17">
      <c r="A49" s="11" t="s">
        <v>4664</v>
      </c>
      <c r="B49" s="26">
        <v>4380000</v>
      </c>
      <c r="C49" s="26">
        <v>4520000</v>
      </c>
      <c r="D49" s="26">
        <v>12750</v>
      </c>
      <c r="E49" s="26">
        <v>12900</v>
      </c>
      <c r="K49">
        <v>16</v>
      </c>
      <c r="L49" s="165">
        <v>807756734</v>
      </c>
      <c r="M49">
        <f>L49/16</f>
        <v>50484795.875</v>
      </c>
      <c r="N49">
        <f>M49*4</f>
        <v>201939183.5</v>
      </c>
    </row>
    <row r="50" spans="1:17">
      <c r="A50" s="11" t="s">
        <v>4666</v>
      </c>
      <c r="B50" s="26">
        <v>4500000</v>
      </c>
      <c r="C50" s="26">
        <v>4630000</v>
      </c>
      <c r="D50" s="26">
        <v>13200</v>
      </c>
      <c r="E50" s="26">
        <v>13400</v>
      </c>
      <c r="N50">
        <f>M49*9</f>
        <v>454363162.875</v>
      </c>
    </row>
    <row r="51" spans="1:17">
      <c r="A51" s="11" t="s">
        <v>937</v>
      </c>
      <c r="B51" s="26">
        <v>4480000</v>
      </c>
      <c r="C51" s="26">
        <v>4620000</v>
      </c>
      <c r="D51" s="26">
        <v>13100</v>
      </c>
      <c r="E51" s="26">
        <v>13250</v>
      </c>
    </row>
    <row r="52" spans="1:17">
      <c r="A52" s="11" t="s">
        <v>4684</v>
      </c>
      <c r="B52" s="26">
        <v>4480000</v>
      </c>
      <c r="C52" s="26">
        <v>4600000</v>
      </c>
      <c r="D52" s="26">
        <v>13050</v>
      </c>
      <c r="E52" s="26">
        <v>13200</v>
      </c>
      <c r="K52" s="2" t="s">
        <v>4446</v>
      </c>
      <c r="L52" s="2" t="s">
        <v>1048</v>
      </c>
      <c r="M52" s="2" t="s">
        <v>4192</v>
      </c>
      <c r="N52" s="2" t="s">
        <v>4459</v>
      </c>
      <c r="O52" s="2"/>
    </row>
    <row r="53" spans="1:17">
      <c r="A53" s="11" t="s">
        <v>4686</v>
      </c>
      <c r="B53" s="26">
        <v>4400000</v>
      </c>
      <c r="C53" s="26">
        <v>4550000</v>
      </c>
      <c r="D53" s="26">
        <v>12850</v>
      </c>
      <c r="E53" s="26">
        <v>13000</v>
      </c>
      <c r="K53" s="2" t="s">
        <v>4439</v>
      </c>
      <c r="L53" s="2">
        <v>3390000</v>
      </c>
      <c r="M53" s="2">
        <v>161.4</v>
      </c>
      <c r="N53" s="2">
        <f>L53/M53</f>
        <v>21003.717472118959</v>
      </c>
      <c r="O53" s="2"/>
    </row>
    <row r="54" spans="1:17">
      <c r="A54" s="11" t="s">
        <v>4688</v>
      </c>
      <c r="B54" s="26">
        <v>4400000</v>
      </c>
      <c r="C54" s="26">
        <v>4520000</v>
      </c>
      <c r="D54" s="26">
        <v>12800</v>
      </c>
      <c r="E54" s="26">
        <v>12950</v>
      </c>
      <c r="K54" s="2"/>
      <c r="L54" s="2"/>
      <c r="M54" s="2"/>
      <c r="N54" s="2"/>
      <c r="O54" s="2"/>
    </row>
    <row r="55" spans="1:17">
      <c r="A55" s="11" t="s">
        <v>4691</v>
      </c>
      <c r="B55" s="26">
        <v>4460000</v>
      </c>
      <c r="C55" s="26">
        <v>4580000</v>
      </c>
      <c r="D55" s="26">
        <v>12850</v>
      </c>
      <c r="E55" s="26">
        <v>13000</v>
      </c>
      <c r="K55" s="2"/>
      <c r="L55" s="2"/>
      <c r="M55" s="2"/>
      <c r="N55" s="2"/>
      <c r="O55" s="2"/>
    </row>
    <row r="56" spans="1:17">
      <c r="A56" s="11" t="s">
        <v>4697</v>
      </c>
      <c r="B56" s="26">
        <v>4500000</v>
      </c>
      <c r="C56" s="26">
        <v>4620000</v>
      </c>
      <c r="D56" s="26">
        <v>13000</v>
      </c>
      <c r="E56" s="26">
        <v>13200</v>
      </c>
      <c r="K56" s="2"/>
      <c r="L56" s="2"/>
      <c r="M56" s="2"/>
      <c r="N56" s="2"/>
      <c r="O56" s="2"/>
    </row>
    <row r="57" spans="1:17">
      <c r="A57" s="11" t="s">
        <v>4702</v>
      </c>
      <c r="B57" s="26">
        <v>4450000</v>
      </c>
      <c r="C57" s="26">
        <v>4600000</v>
      </c>
      <c r="D57" s="26">
        <v>12850</v>
      </c>
      <c r="E57" s="26">
        <v>13050</v>
      </c>
      <c r="K57" s="2"/>
      <c r="L57" s="2"/>
      <c r="M57" s="2"/>
      <c r="N57" s="2"/>
      <c r="O57" s="2"/>
    </row>
    <row r="58" spans="1:17">
      <c r="A58" s="11" t="s">
        <v>4711</v>
      </c>
      <c r="B58" s="26">
        <v>4500000</v>
      </c>
      <c r="C58" s="26">
        <v>4650000</v>
      </c>
      <c r="D58" s="26">
        <v>12900</v>
      </c>
      <c r="E58" s="26">
        <v>13100</v>
      </c>
      <c r="K58" s="2"/>
      <c r="L58" s="2"/>
      <c r="M58" s="2"/>
      <c r="N58" s="2"/>
      <c r="O58" s="2"/>
    </row>
    <row r="59" spans="1:17">
      <c r="A59" s="11" t="s">
        <v>4737</v>
      </c>
      <c r="B59" s="26">
        <v>4700000</v>
      </c>
      <c r="C59" s="26">
        <v>4800000</v>
      </c>
      <c r="D59" s="26">
        <v>13300</v>
      </c>
      <c r="E59" s="26">
        <v>13450</v>
      </c>
      <c r="K59" s="2"/>
      <c r="L59" s="2"/>
      <c r="M59" s="2"/>
      <c r="N59" s="2"/>
      <c r="O59" s="2"/>
    </row>
    <row r="60" spans="1:17">
      <c r="A60" s="11" t="s">
        <v>4738</v>
      </c>
      <c r="B60" s="26">
        <v>4750000</v>
      </c>
      <c r="C60" s="26">
        <v>4850000</v>
      </c>
      <c r="D60" s="26">
        <v>13500</v>
      </c>
      <c r="E60" s="26">
        <v>13650</v>
      </c>
      <c r="K60" s="2"/>
      <c r="L60" s="2"/>
      <c r="M60" s="2"/>
      <c r="N60" s="2"/>
      <c r="O60" s="2"/>
    </row>
    <row r="61" spans="1:17">
      <c r="A61" s="11" t="s">
        <v>4745</v>
      </c>
      <c r="B61" s="26">
        <v>4850000</v>
      </c>
      <c r="C61" s="26">
        <v>4950000</v>
      </c>
      <c r="D61" s="26">
        <v>13750</v>
      </c>
      <c r="E61" s="26">
        <v>13900</v>
      </c>
    </row>
    <row r="62" spans="1:17">
      <c r="A62" s="11" t="s">
        <v>4761</v>
      </c>
      <c r="B62" s="26">
        <v>4680000</v>
      </c>
      <c r="C62" s="26">
        <v>4780000</v>
      </c>
      <c r="D62" s="26">
        <v>13500</v>
      </c>
      <c r="E62" s="26">
        <v>13650</v>
      </c>
    </row>
    <row r="63" spans="1:17">
      <c r="A63" s="11" t="s">
        <v>4839</v>
      </c>
      <c r="B63" s="26">
        <v>4700000</v>
      </c>
      <c r="C63" s="26">
        <v>4830000</v>
      </c>
      <c r="D63" s="26">
        <v>13850</v>
      </c>
      <c r="E63" s="26">
        <v>14050</v>
      </c>
      <c r="I63" s="2" t="s">
        <v>8</v>
      </c>
      <c r="J63" s="2" t="s">
        <v>4630</v>
      </c>
      <c r="K63" s="2" t="s">
        <v>180</v>
      </c>
      <c r="L63" s="167" t="s">
        <v>4628</v>
      </c>
      <c r="M63" s="167" t="s">
        <v>4629</v>
      </c>
      <c r="N63" s="2" t="s">
        <v>6</v>
      </c>
      <c r="O63" s="2" t="s">
        <v>4631</v>
      </c>
      <c r="P63" s="2" t="s">
        <v>4641</v>
      </c>
    </row>
    <row r="64" spans="1:17">
      <c r="A64" s="11" t="s">
        <v>4877</v>
      </c>
      <c r="B64" s="26">
        <v>4600000</v>
      </c>
      <c r="C64" s="26">
        <v>4700000</v>
      </c>
      <c r="D64" s="26">
        <v>13300</v>
      </c>
      <c r="E64" s="26">
        <v>13500</v>
      </c>
      <c r="G64" t="s">
        <v>25</v>
      </c>
      <c r="I64" s="2"/>
      <c r="J64" s="2"/>
      <c r="K64" s="2" t="s">
        <v>4584</v>
      </c>
      <c r="L64" s="71">
        <v>535989412</v>
      </c>
      <c r="M64" s="71"/>
      <c r="N64" s="2"/>
      <c r="O64" s="2"/>
      <c r="P64" s="2"/>
      <c r="Q64" s="71">
        <v>0</v>
      </c>
    </row>
    <row r="65" spans="1:17">
      <c r="A65" s="11" t="s">
        <v>4911</v>
      </c>
      <c r="B65" s="26">
        <v>4520000</v>
      </c>
      <c r="C65" s="26">
        <v>4620000</v>
      </c>
      <c r="D65" s="26">
        <v>12950</v>
      </c>
      <c r="E65" s="26">
        <v>13150</v>
      </c>
      <c r="I65" s="2"/>
      <c r="J65" s="3">
        <f>L65-L64</f>
        <v>12939932</v>
      </c>
      <c r="K65" s="2" t="s">
        <v>4608</v>
      </c>
      <c r="L65" s="71">
        <v>548929344</v>
      </c>
      <c r="M65" s="71"/>
      <c r="N65" s="2"/>
      <c r="O65" s="2"/>
      <c r="P65" s="2"/>
      <c r="Q65" s="71">
        <v>0</v>
      </c>
    </row>
    <row r="66" spans="1:17">
      <c r="A66" s="11" t="s">
        <v>4945</v>
      </c>
      <c r="B66" s="26">
        <v>3900000</v>
      </c>
      <c r="C66" s="26">
        <v>4050000</v>
      </c>
      <c r="D66" s="26">
        <v>10900</v>
      </c>
      <c r="E66" s="26">
        <v>11150</v>
      </c>
      <c r="F66" t="s">
        <v>25</v>
      </c>
      <c r="I66" s="2"/>
      <c r="J66" s="3">
        <f t="shared" ref="J66:J88" si="1">L66-L65</f>
        <v>11531981</v>
      </c>
      <c r="K66" s="2" t="s">
        <v>4613</v>
      </c>
      <c r="L66" s="71">
        <v>560461325</v>
      </c>
      <c r="M66" s="71"/>
      <c r="N66" s="2"/>
      <c r="O66" s="2"/>
      <c r="P66" s="2"/>
      <c r="Q66" s="71">
        <v>0</v>
      </c>
    </row>
    <row r="67" spans="1:17">
      <c r="A67" s="11" t="s">
        <v>4984</v>
      </c>
      <c r="B67" s="26">
        <v>3950000</v>
      </c>
      <c r="C67" s="26">
        <v>4070000</v>
      </c>
      <c r="D67" s="26">
        <v>11000</v>
      </c>
      <c r="E67" s="26">
        <v>11200</v>
      </c>
      <c r="I67" s="2"/>
      <c r="J67" s="3">
        <f t="shared" si="1"/>
        <v>17387769</v>
      </c>
      <c r="K67" s="2" t="s">
        <v>4618</v>
      </c>
      <c r="L67" s="71">
        <v>577849094</v>
      </c>
      <c r="M67" s="71"/>
      <c r="N67" s="2"/>
      <c r="O67" s="2"/>
      <c r="P67" s="2"/>
      <c r="Q67" s="71">
        <v>0</v>
      </c>
    </row>
    <row r="68" spans="1:17">
      <c r="A68" s="11" t="s">
        <v>4987</v>
      </c>
      <c r="B68" s="26">
        <v>4050000</v>
      </c>
      <c r="C68" s="26">
        <v>4150000</v>
      </c>
      <c r="D68" s="26">
        <v>11150</v>
      </c>
      <c r="E68" s="26">
        <v>11350</v>
      </c>
      <c r="I68" s="2"/>
      <c r="J68" s="3">
        <f t="shared" si="1"/>
        <v>11024486</v>
      </c>
      <c r="K68" s="2" t="s">
        <v>4620</v>
      </c>
      <c r="L68" s="71">
        <v>588873580</v>
      </c>
      <c r="M68" s="71">
        <v>250255923</v>
      </c>
      <c r="N68" s="3">
        <f>L68+M68</f>
        <v>839129503</v>
      </c>
      <c r="O68" s="3">
        <f>M68-M67</f>
        <v>250255923</v>
      </c>
      <c r="P68" s="3">
        <f>N68-N67</f>
        <v>839129503</v>
      </c>
      <c r="Q68" s="71">
        <v>0</v>
      </c>
    </row>
    <row r="69" spans="1:17">
      <c r="A69" s="11" t="s">
        <v>5008</v>
      </c>
      <c r="B69" s="26">
        <v>4060000</v>
      </c>
      <c r="C69" s="26">
        <v>4160000</v>
      </c>
      <c r="D69" s="26">
        <v>11500</v>
      </c>
      <c r="E69" s="26">
        <v>11700</v>
      </c>
      <c r="I69" s="2"/>
      <c r="J69" s="3">
        <f t="shared" si="1"/>
        <v>-8942851</v>
      </c>
      <c r="K69" s="2" t="s">
        <v>4627</v>
      </c>
      <c r="L69" s="169">
        <v>579930729</v>
      </c>
      <c r="M69" s="71">
        <v>247714729</v>
      </c>
      <c r="N69" s="3">
        <f t="shared" ref="N69:N91" si="2">L69+M69</f>
        <v>827645458</v>
      </c>
      <c r="O69" s="3">
        <f t="shared" ref="O69:O88" si="3">M69-M68</f>
        <v>-2541194</v>
      </c>
      <c r="P69" s="3">
        <f t="shared" ref="P69:P88" si="4">N69-N68</f>
        <v>-11484045</v>
      </c>
      <c r="Q69" s="71">
        <v>0</v>
      </c>
    </row>
    <row r="70" spans="1:17">
      <c r="A70" s="11" t="s">
        <v>5010</v>
      </c>
      <c r="B70" s="26">
        <v>4020000</v>
      </c>
      <c r="C70" s="26">
        <v>4120000</v>
      </c>
      <c r="D70" s="26">
        <v>11400</v>
      </c>
      <c r="E70" s="26">
        <v>11600</v>
      </c>
      <c r="I70" s="5" t="s">
        <v>4638</v>
      </c>
      <c r="J70" s="31">
        <f t="shared" si="1"/>
        <v>45893629</v>
      </c>
      <c r="K70" s="5" t="s">
        <v>4633</v>
      </c>
      <c r="L70" s="170">
        <v>625824358</v>
      </c>
      <c r="M70" s="170">
        <v>243028777</v>
      </c>
      <c r="N70" s="31">
        <f t="shared" si="2"/>
        <v>868853135</v>
      </c>
      <c r="O70" s="31">
        <f t="shared" si="3"/>
        <v>-4685952</v>
      </c>
      <c r="P70" s="31">
        <f>N70-N69-50000000</f>
        <v>-8792323</v>
      </c>
      <c r="Q70" s="71">
        <v>50000000</v>
      </c>
    </row>
    <row r="71" spans="1:17">
      <c r="A71" s="11" t="s">
        <v>5014</v>
      </c>
      <c r="B71" s="26">
        <v>3930000</v>
      </c>
      <c r="C71" s="26">
        <v>4030000</v>
      </c>
      <c r="D71" s="26">
        <v>11100</v>
      </c>
      <c r="E71" s="26">
        <v>11300</v>
      </c>
      <c r="I71" s="2"/>
      <c r="J71" s="3">
        <f t="shared" si="1"/>
        <v>3462014</v>
      </c>
      <c r="K71" s="2" t="s">
        <v>4639</v>
      </c>
      <c r="L71" s="71">
        <v>629286372</v>
      </c>
      <c r="M71" s="71">
        <v>246690884</v>
      </c>
      <c r="N71" s="3">
        <f t="shared" si="2"/>
        <v>875977256</v>
      </c>
      <c r="O71" s="3">
        <f t="shared" si="3"/>
        <v>3662107</v>
      </c>
      <c r="P71" s="3">
        <f t="shared" si="4"/>
        <v>7124121</v>
      </c>
      <c r="Q71" s="71">
        <v>0</v>
      </c>
    </row>
    <row r="72" spans="1:17">
      <c r="A72" s="11" t="s">
        <v>5016</v>
      </c>
      <c r="B72" s="26">
        <v>3950000</v>
      </c>
      <c r="C72" s="26">
        <v>4050000</v>
      </c>
      <c r="D72" s="26">
        <v>11200</v>
      </c>
      <c r="E72" s="26">
        <v>11300</v>
      </c>
      <c r="I72" s="2"/>
      <c r="J72" s="3">
        <f t="shared" si="1"/>
        <v>-2687296</v>
      </c>
      <c r="K72" s="2" t="s">
        <v>4652</v>
      </c>
      <c r="L72" s="71">
        <v>626599076</v>
      </c>
      <c r="M72" s="71">
        <v>244530128</v>
      </c>
      <c r="N72" s="3">
        <f t="shared" si="2"/>
        <v>871129204</v>
      </c>
      <c r="O72" s="3">
        <f t="shared" si="3"/>
        <v>-2160756</v>
      </c>
      <c r="P72" s="3">
        <f t="shared" si="4"/>
        <v>-4848052</v>
      </c>
      <c r="Q72" s="71">
        <v>0</v>
      </c>
    </row>
    <row r="73" spans="1:17">
      <c r="A73" s="11" t="s">
        <v>5017</v>
      </c>
      <c r="B73" s="26">
        <v>3970000</v>
      </c>
      <c r="C73" s="26">
        <v>4070000</v>
      </c>
      <c r="D73" s="26">
        <v>11250</v>
      </c>
      <c r="E73" s="26">
        <v>11400</v>
      </c>
      <c r="I73" s="2"/>
      <c r="J73" s="3">
        <f t="shared" si="1"/>
        <v>-6009466</v>
      </c>
      <c r="K73" s="2" t="s">
        <v>4656</v>
      </c>
      <c r="L73" s="71">
        <v>620589610</v>
      </c>
      <c r="M73" s="71">
        <v>242967684</v>
      </c>
      <c r="N73" s="3">
        <f t="shared" si="2"/>
        <v>863557294</v>
      </c>
      <c r="O73" s="3">
        <f t="shared" si="3"/>
        <v>-1562444</v>
      </c>
      <c r="P73" s="3">
        <f t="shared" si="4"/>
        <v>-7571910</v>
      </c>
      <c r="Q73" s="71">
        <v>0</v>
      </c>
    </row>
    <row r="74" spans="1:17">
      <c r="A74" s="11" t="s">
        <v>4291</v>
      </c>
      <c r="B74" s="26">
        <v>3980000</v>
      </c>
      <c r="C74" s="26">
        <v>4080000</v>
      </c>
      <c r="D74" s="26">
        <v>11250</v>
      </c>
      <c r="E74" s="26">
        <v>11450</v>
      </c>
      <c r="G74" t="s">
        <v>25</v>
      </c>
      <c r="I74" s="2"/>
      <c r="J74" s="3">
        <f t="shared" si="1"/>
        <v>-1273071</v>
      </c>
      <c r="K74" s="2" t="s">
        <v>4657</v>
      </c>
      <c r="L74" s="71">
        <v>619316539</v>
      </c>
      <c r="M74" s="71">
        <v>242985726</v>
      </c>
      <c r="N74" s="3">
        <f t="shared" si="2"/>
        <v>862302265</v>
      </c>
      <c r="O74" s="3">
        <f t="shared" si="3"/>
        <v>18042</v>
      </c>
      <c r="P74" s="3">
        <f t="shared" si="4"/>
        <v>-1255029</v>
      </c>
      <c r="Q74" s="71">
        <v>0</v>
      </c>
    </row>
    <row r="75" spans="1:17">
      <c r="A75" s="11" t="s">
        <v>5019</v>
      </c>
      <c r="B75" s="26">
        <v>4020000</v>
      </c>
      <c r="C75" s="26">
        <v>4120000</v>
      </c>
      <c r="D75" s="26">
        <v>11350</v>
      </c>
      <c r="E75" s="26">
        <v>11500</v>
      </c>
      <c r="I75" s="2"/>
      <c r="J75" s="3">
        <f t="shared" si="1"/>
        <v>112274</v>
      </c>
      <c r="K75" s="2" t="s">
        <v>4664</v>
      </c>
      <c r="L75" s="71">
        <v>619428813</v>
      </c>
      <c r="M75" s="71">
        <v>242060147</v>
      </c>
      <c r="N75" s="3">
        <f t="shared" si="2"/>
        <v>861488960</v>
      </c>
      <c r="O75" s="3">
        <f t="shared" si="3"/>
        <v>-925579</v>
      </c>
      <c r="P75" s="3">
        <f t="shared" si="4"/>
        <v>-813305</v>
      </c>
      <c r="Q75" s="71">
        <v>0</v>
      </c>
    </row>
    <row r="76" spans="1:17">
      <c r="A76" s="11" t="s">
        <v>5022</v>
      </c>
      <c r="B76" s="26">
        <v>4000000</v>
      </c>
      <c r="C76" s="26">
        <v>4100000</v>
      </c>
      <c r="D76" s="26">
        <v>11250</v>
      </c>
      <c r="E76" s="26">
        <v>11400</v>
      </c>
      <c r="G76" t="s">
        <v>25</v>
      </c>
      <c r="I76" s="2"/>
      <c r="J76" s="3">
        <f t="shared" si="1"/>
        <v>6567221</v>
      </c>
      <c r="K76" s="2" t="s">
        <v>4666</v>
      </c>
      <c r="L76" s="71">
        <v>625996034</v>
      </c>
      <c r="M76" s="71">
        <v>242597875</v>
      </c>
      <c r="N76" s="3">
        <f t="shared" si="2"/>
        <v>868593909</v>
      </c>
      <c r="O76" s="3">
        <f t="shared" si="3"/>
        <v>537728</v>
      </c>
      <c r="P76" s="3">
        <f t="shared" si="4"/>
        <v>7104949</v>
      </c>
      <c r="Q76" s="71">
        <v>0</v>
      </c>
    </row>
    <row r="77" spans="1:17">
      <c r="A77" s="11" t="s">
        <v>5062</v>
      </c>
      <c r="B77" s="26">
        <v>3930000</v>
      </c>
      <c r="C77" s="26">
        <v>4030000</v>
      </c>
      <c r="D77" s="26">
        <v>11300</v>
      </c>
      <c r="E77" s="26">
        <v>11500</v>
      </c>
      <c r="I77" s="2"/>
      <c r="J77" s="3">
        <f t="shared" si="1"/>
        <v>4477051</v>
      </c>
      <c r="K77" s="2" t="s">
        <v>937</v>
      </c>
      <c r="L77" s="71">
        <v>630473085</v>
      </c>
      <c r="M77" s="71">
        <v>243884962</v>
      </c>
      <c r="N77" s="3">
        <f t="shared" si="2"/>
        <v>874358047</v>
      </c>
      <c r="O77" s="3">
        <f t="shared" si="3"/>
        <v>1287087</v>
      </c>
      <c r="P77" s="3">
        <f t="shared" si="4"/>
        <v>5764138</v>
      </c>
      <c r="Q77" s="71">
        <v>0</v>
      </c>
    </row>
    <row r="78" spans="1:17">
      <c r="A78" s="11" t="s">
        <v>938</v>
      </c>
      <c r="B78" s="26">
        <v>3950000</v>
      </c>
      <c r="C78" s="26">
        <v>4030000</v>
      </c>
      <c r="D78" s="26">
        <v>11300</v>
      </c>
      <c r="E78" s="26">
        <v>11500</v>
      </c>
      <c r="F78" t="s">
        <v>25</v>
      </c>
      <c r="I78" s="2"/>
      <c r="J78" s="3">
        <f t="shared" si="1"/>
        <v>6046556</v>
      </c>
      <c r="K78" s="2" t="s">
        <v>4684</v>
      </c>
      <c r="L78" s="71">
        <v>636519641</v>
      </c>
      <c r="M78" s="71">
        <v>248242879</v>
      </c>
      <c r="N78" s="3">
        <f t="shared" si="2"/>
        <v>884762520</v>
      </c>
      <c r="O78" s="3">
        <f t="shared" si="3"/>
        <v>4357917</v>
      </c>
      <c r="P78" s="3">
        <f t="shared" si="4"/>
        <v>10404473</v>
      </c>
      <c r="Q78" s="71">
        <v>0</v>
      </c>
    </row>
    <row r="79" spans="1:17">
      <c r="A79" s="11" t="s">
        <v>5070</v>
      </c>
      <c r="B79" s="26">
        <v>3940000</v>
      </c>
      <c r="C79" s="26">
        <v>4020000</v>
      </c>
      <c r="D79" s="26">
        <v>11250</v>
      </c>
      <c r="E79" s="26">
        <v>11450</v>
      </c>
      <c r="I79" s="2"/>
      <c r="J79" s="3">
        <f t="shared" si="1"/>
        <v>6885870</v>
      </c>
      <c r="K79" s="2" t="s">
        <v>4686</v>
      </c>
      <c r="L79" s="71">
        <v>643405511</v>
      </c>
      <c r="M79" s="71">
        <v>252682386</v>
      </c>
      <c r="N79" s="3">
        <f t="shared" si="2"/>
        <v>896087897</v>
      </c>
      <c r="O79" s="3">
        <f t="shared" si="3"/>
        <v>4439507</v>
      </c>
      <c r="P79" s="3">
        <f t="shared" si="4"/>
        <v>11325377</v>
      </c>
      <c r="Q79" s="71">
        <v>0</v>
      </c>
    </row>
    <row r="80" spans="1:17">
      <c r="A80" s="11" t="s">
        <v>5073</v>
      </c>
      <c r="B80" s="26">
        <v>3940000</v>
      </c>
      <c r="C80" s="26">
        <v>4020000</v>
      </c>
      <c r="D80" s="26">
        <v>11250</v>
      </c>
      <c r="E80" s="26">
        <v>11450</v>
      </c>
      <c r="G80" t="s">
        <v>25</v>
      </c>
      <c r="I80" s="5" t="s">
        <v>4701</v>
      </c>
      <c r="J80" s="31">
        <f t="shared" si="1"/>
        <v>-1984018</v>
      </c>
      <c r="K80" s="5" t="s">
        <v>4688</v>
      </c>
      <c r="L80" s="170">
        <v>641421493</v>
      </c>
      <c r="M80" s="170">
        <v>250864833</v>
      </c>
      <c r="N80" s="31">
        <f t="shared" si="2"/>
        <v>892286326</v>
      </c>
      <c r="O80" s="31">
        <f t="shared" si="3"/>
        <v>-1817553</v>
      </c>
      <c r="P80" s="31">
        <f>N80-N79-2000000</f>
        <v>-5801571</v>
      </c>
      <c r="Q80" s="71">
        <v>2000000</v>
      </c>
    </row>
    <row r="81" spans="1:21">
      <c r="A81" s="11" t="s">
        <v>5074</v>
      </c>
      <c r="B81" s="26">
        <v>3940000</v>
      </c>
      <c r="C81" s="26">
        <v>4020000</v>
      </c>
      <c r="D81" s="26">
        <v>11300</v>
      </c>
      <c r="E81" s="26">
        <v>11450</v>
      </c>
      <c r="I81" s="2"/>
      <c r="J81" s="3">
        <f t="shared" si="1"/>
        <v>6117877</v>
      </c>
      <c r="K81" s="2" t="s">
        <v>4691</v>
      </c>
      <c r="L81" s="71">
        <v>647539370</v>
      </c>
      <c r="M81" s="71">
        <v>254691103</v>
      </c>
      <c r="N81" s="163">
        <f t="shared" si="2"/>
        <v>902230473</v>
      </c>
      <c r="O81" s="3">
        <f t="shared" si="3"/>
        <v>3826270</v>
      </c>
      <c r="P81" s="3">
        <f t="shared" si="4"/>
        <v>9944147</v>
      </c>
      <c r="Q81" s="71">
        <v>0</v>
      </c>
    </row>
    <row r="82" spans="1:21">
      <c r="A82" s="11" t="s">
        <v>5077</v>
      </c>
      <c r="B82" s="26">
        <v>3970000</v>
      </c>
      <c r="C82" s="26">
        <v>4030000</v>
      </c>
      <c r="D82" s="26">
        <v>11300</v>
      </c>
      <c r="E82" s="26">
        <v>11500</v>
      </c>
      <c r="I82" s="172" t="s">
        <v>4700</v>
      </c>
      <c r="J82" s="72">
        <f t="shared" si="1"/>
        <v>8860702</v>
      </c>
      <c r="K82" s="147" t="s">
        <v>4697</v>
      </c>
      <c r="L82" s="171">
        <v>656400072</v>
      </c>
      <c r="M82" s="171">
        <v>260846052</v>
      </c>
      <c r="N82" s="163">
        <f t="shared" si="2"/>
        <v>917246124</v>
      </c>
      <c r="O82" s="72">
        <f t="shared" si="3"/>
        <v>6154949</v>
      </c>
      <c r="P82" s="72">
        <f>N82-N81-4250000</f>
        <v>10765651</v>
      </c>
      <c r="Q82" s="71">
        <v>4250000</v>
      </c>
    </row>
    <row r="83" spans="1:21" ht="30">
      <c r="A83" s="11" t="s">
        <v>955</v>
      </c>
      <c r="B83" s="26">
        <v>3920000</v>
      </c>
      <c r="C83" s="26">
        <v>3990000</v>
      </c>
      <c r="D83" s="26">
        <v>11200</v>
      </c>
      <c r="E83" s="26">
        <v>11350</v>
      </c>
      <c r="I83" s="172" t="s">
        <v>4709</v>
      </c>
      <c r="J83" s="72">
        <f>L83-L82+31412200</f>
        <v>20439704</v>
      </c>
      <c r="K83" s="147" t="s">
        <v>4702</v>
      </c>
      <c r="L83" s="171">
        <v>645427576</v>
      </c>
      <c r="M83" s="171">
        <v>263837297</v>
      </c>
      <c r="N83" s="163">
        <f t="shared" si="2"/>
        <v>909264873</v>
      </c>
      <c r="O83" s="72">
        <f>M83-M82+2060725</f>
        <v>5051970</v>
      </c>
      <c r="P83" s="72">
        <f>N83-N82+2060725+31412200</f>
        <v>25491674</v>
      </c>
      <c r="Q83" s="71">
        <v>-33472925</v>
      </c>
    </row>
    <row r="84" spans="1:21">
      <c r="A84" s="11" t="s">
        <v>4229</v>
      </c>
      <c r="B84" s="26">
        <v>3930000</v>
      </c>
      <c r="C84" s="26">
        <v>4000000</v>
      </c>
      <c r="D84" s="26">
        <v>11250</v>
      </c>
      <c r="E84" s="26">
        <v>11400</v>
      </c>
      <c r="F84" t="s">
        <v>25</v>
      </c>
      <c r="I84" s="145" t="s">
        <v>4710</v>
      </c>
      <c r="J84" s="144">
        <f t="shared" si="1"/>
        <v>21224293</v>
      </c>
      <c r="K84" s="145" t="s">
        <v>4711</v>
      </c>
      <c r="L84" s="173">
        <v>666651869</v>
      </c>
      <c r="M84" s="173">
        <v>303563891</v>
      </c>
      <c r="N84" s="163">
        <f t="shared" si="2"/>
        <v>970215760</v>
      </c>
      <c r="O84" s="144">
        <f>M84-M83-28000000</f>
        <v>11726594</v>
      </c>
      <c r="P84" s="144">
        <f>N84-N83-28000000</f>
        <v>32950887</v>
      </c>
      <c r="Q84" s="71">
        <v>28000000</v>
      </c>
    </row>
    <row r="85" spans="1:21">
      <c r="A85" s="11" t="s">
        <v>939</v>
      </c>
      <c r="B85" s="26">
        <v>3910000</v>
      </c>
      <c r="C85" s="26">
        <v>3970000</v>
      </c>
      <c r="D85" s="26">
        <v>11150</v>
      </c>
      <c r="E85" s="26">
        <v>11300</v>
      </c>
      <c r="G85" t="s">
        <v>25</v>
      </c>
      <c r="I85" s="2"/>
      <c r="J85" s="3">
        <f t="shared" si="1"/>
        <v>9478107</v>
      </c>
      <c r="K85" s="2" t="s">
        <v>944</v>
      </c>
      <c r="L85" s="71">
        <v>676129976</v>
      </c>
      <c r="M85" s="71">
        <v>302822379</v>
      </c>
      <c r="N85" s="163">
        <f t="shared" si="2"/>
        <v>978952355</v>
      </c>
      <c r="O85" s="3">
        <f t="shared" si="3"/>
        <v>-741512</v>
      </c>
      <c r="P85" s="3">
        <f t="shared" si="4"/>
        <v>8736595</v>
      </c>
      <c r="Q85" s="71">
        <v>0</v>
      </c>
    </row>
    <row r="86" spans="1:21">
      <c r="A86" s="11"/>
      <c r="B86" s="26"/>
      <c r="C86" s="26"/>
      <c r="D86" s="26"/>
      <c r="E86" s="26"/>
      <c r="I86" s="2"/>
      <c r="J86" s="3">
        <f t="shared" si="1"/>
        <v>-8249999</v>
      </c>
      <c r="K86" s="2" t="s">
        <v>4716</v>
      </c>
      <c r="L86" s="71">
        <v>667879977</v>
      </c>
      <c r="M86" s="71">
        <v>298414541</v>
      </c>
      <c r="N86" s="3">
        <f t="shared" si="2"/>
        <v>966294518</v>
      </c>
      <c r="O86" s="3">
        <f t="shared" si="3"/>
        <v>-4407838</v>
      </c>
      <c r="P86" s="3">
        <f t="shared" si="4"/>
        <v>-12657837</v>
      </c>
      <c r="Q86" s="71">
        <v>0</v>
      </c>
    </row>
    <row r="87" spans="1:21">
      <c r="A87" s="11"/>
      <c r="B87" s="26"/>
      <c r="C87" s="26"/>
      <c r="D87" s="26"/>
      <c r="E87" s="26"/>
      <c r="I87" s="174" t="s">
        <v>4727</v>
      </c>
      <c r="J87" s="149">
        <f>L87-L86-20000</f>
        <v>7878257</v>
      </c>
      <c r="K87" s="146" t="s">
        <v>4717</v>
      </c>
      <c r="L87" s="175">
        <v>675778234</v>
      </c>
      <c r="M87" s="175">
        <v>302388050</v>
      </c>
      <c r="N87" s="149">
        <f>L87+M87</f>
        <v>978166284</v>
      </c>
      <c r="O87" s="149">
        <f>M87-M86-850000</f>
        <v>3123509</v>
      </c>
      <c r="P87" s="149">
        <f>N87-N86-870000</f>
        <v>11001766</v>
      </c>
      <c r="Q87" s="71">
        <v>870000</v>
      </c>
    </row>
    <row r="88" spans="1:21">
      <c r="A88" s="11"/>
      <c r="B88" s="26"/>
      <c r="C88" s="26"/>
      <c r="D88" s="26"/>
      <c r="E88" s="26"/>
      <c r="I88" s="2" t="s">
        <v>25</v>
      </c>
      <c r="J88" s="3">
        <f t="shared" si="1"/>
        <v>17031996</v>
      </c>
      <c r="K88" s="2" t="s">
        <v>4729</v>
      </c>
      <c r="L88" s="71">
        <v>692810230</v>
      </c>
      <c r="M88" s="71">
        <v>311823171</v>
      </c>
      <c r="N88" s="163">
        <f t="shared" si="2"/>
        <v>1004633401</v>
      </c>
      <c r="O88" s="3">
        <f t="shared" si="3"/>
        <v>9435121</v>
      </c>
      <c r="P88" s="3">
        <f t="shared" si="4"/>
        <v>26467117</v>
      </c>
      <c r="Q88" s="71">
        <v>0</v>
      </c>
    </row>
    <row r="89" spans="1:21">
      <c r="A89" s="11"/>
      <c r="B89" s="26"/>
      <c r="C89" s="26"/>
      <c r="D89" s="26"/>
      <c r="E89" s="26"/>
      <c r="I89" s="2"/>
      <c r="J89" s="3">
        <f>L89-L88</f>
        <v>-12175091</v>
      </c>
      <c r="K89" s="2" t="s">
        <v>4730</v>
      </c>
      <c r="L89" s="71">
        <v>680635139</v>
      </c>
      <c r="M89" s="71">
        <v>313005875</v>
      </c>
      <c r="N89" s="3">
        <f t="shared" si="2"/>
        <v>993641014</v>
      </c>
      <c r="O89" s="3">
        <f>M89-M88</f>
        <v>1182704</v>
      </c>
      <c r="P89" s="3">
        <f>N89-N88</f>
        <v>-10992387</v>
      </c>
      <c r="Q89" s="71">
        <v>0</v>
      </c>
    </row>
    <row r="90" spans="1:21">
      <c r="A90" s="11"/>
      <c r="B90" s="26"/>
      <c r="C90" s="26"/>
      <c r="D90" s="26"/>
      <c r="E90" s="26"/>
      <c r="I90" s="146" t="s">
        <v>4754</v>
      </c>
      <c r="J90" s="149">
        <f>L90-L89-1000000</f>
        <v>3840350</v>
      </c>
      <c r="K90" s="146" t="s">
        <v>4737</v>
      </c>
      <c r="L90" s="175">
        <v>685475489</v>
      </c>
      <c r="M90" s="175">
        <v>312030960</v>
      </c>
      <c r="N90" s="149">
        <f t="shared" si="2"/>
        <v>997506449</v>
      </c>
      <c r="O90" s="149">
        <f>M90-M89</f>
        <v>-974915</v>
      </c>
      <c r="P90" s="149">
        <f>N90-N89-1000000</f>
        <v>2865435</v>
      </c>
      <c r="Q90" s="71">
        <v>1000000</v>
      </c>
    </row>
    <row r="91" spans="1:21">
      <c r="I91" s="2"/>
      <c r="J91" s="3">
        <f t="shared" ref="J91:J141" si="5">L91-L90</f>
        <v>-12127865</v>
      </c>
      <c r="K91" s="2" t="s">
        <v>4738</v>
      </c>
      <c r="L91" s="71">
        <v>673347624</v>
      </c>
      <c r="M91" s="71">
        <v>308820785</v>
      </c>
      <c r="N91" s="3">
        <f t="shared" si="2"/>
        <v>982168409</v>
      </c>
      <c r="O91" s="3">
        <f>M91-M90</f>
        <v>-3210175</v>
      </c>
      <c r="P91" s="3">
        <f>N91-N90</f>
        <v>-15338040</v>
      </c>
      <c r="Q91" s="71">
        <v>0</v>
      </c>
    </row>
    <row r="92" spans="1:21">
      <c r="I92" s="2"/>
      <c r="J92" s="3">
        <f t="shared" si="5"/>
        <v>11765514</v>
      </c>
      <c r="K92" s="2" t="s">
        <v>4745</v>
      </c>
      <c r="L92" s="71">
        <v>685113138</v>
      </c>
      <c r="M92" s="71">
        <v>311743933</v>
      </c>
      <c r="N92" s="3">
        <f t="shared" ref="N92:N97" si="6">L92+M92</f>
        <v>996857071</v>
      </c>
      <c r="O92" s="3">
        <f t="shared" ref="O92:O97" si="7">M92-M91</f>
        <v>2923148</v>
      </c>
      <c r="P92" s="3">
        <f t="shared" ref="P92:P97" si="8">N92-N91</f>
        <v>14688662</v>
      </c>
      <c r="Q92" s="71">
        <v>0</v>
      </c>
    </row>
    <row r="93" spans="1:21">
      <c r="D93" s="7">
        <f>B83-B28+L19</f>
        <v>4231628</v>
      </c>
      <c r="I93" s="2"/>
      <c r="J93" s="3">
        <f t="shared" si="5"/>
        <v>2886862</v>
      </c>
      <c r="K93" s="2" t="s">
        <v>4746</v>
      </c>
      <c r="L93" s="71">
        <v>688000000</v>
      </c>
      <c r="M93" s="71">
        <v>312500000</v>
      </c>
      <c r="N93" s="3">
        <f t="shared" si="6"/>
        <v>1000500000</v>
      </c>
      <c r="O93" s="3">
        <f t="shared" si="7"/>
        <v>756067</v>
      </c>
      <c r="P93" s="3">
        <f t="shared" si="8"/>
        <v>3642929</v>
      </c>
      <c r="Q93" s="71">
        <v>0</v>
      </c>
    </row>
    <row r="94" spans="1:21">
      <c r="B94" t="s">
        <v>25</v>
      </c>
      <c r="I94" s="2"/>
      <c r="J94" s="3">
        <f t="shared" si="5"/>
        <v>10450869</v>
      </c>
      <c r="K94" s="2" t="s">
        <v>4747</v>
      </c>
      <c r="L94" s="71">
        <v>698450869</v>
      </c>
      <c r="M94" s="71">
        <v>316326929</v>
      </c>
      <c r="N94" s="163">
        <f t="shared" si="6"/>
        <v>1014777798</v>
      </c>
      <c r="O94" s="3">
        <f t="shared" si="7"/>
        <v>3826929</v>
      </c>
      <c r="P94" s="3">
        <f t="shared" si="8"/>
        <v>14277798</v>
      </c>
      <c r="Q94" s="71">
        <v>0</v>
      </c>
    </row>
    <row r="95" spans="1:21">
      <c r="I95" s="146" t="s">
        <v>4753</v>
      </c>
      <c r="J95" s="149">
        <f>L95-L94-2520000</f>
        <v>-274657</v>
      </c>
      <c r="K95" s="146" t="s">
        <v>4750</v>
      </c>
      <c r="L95" s="175">
        <v>700696212</v>
      </c>
      <c r="M95" s="175">
        <v>314277518</v>
      </c>
      <c r="N95" s="149">
        <f t="shared" si="6"/>
        <v>1014973730</v>
      </c>
      <c r="O95" s="149">
        <f t="shared" si="7"/>
        <v>-2049411</v>
      </c>
      <c r="P95" s="149">
        <f>N95-N94-2520000</f>
        <v>-2324068</v>
      </c>
      <c r="Q95" s="71">
        <v>2520000</v>
      </c>
      <c r="U95" t="s">
        <v>25</v>
      </c>
    </row>
    <row r="96" spans="1:21">
      <c r="D96" t="s">
        <v>25</v>
      </c>
      <c r="E96" t="s">
        <v>25</v>
      </c>
      <c r="I96" s="2"/>
      <c r="J96" s="3">
        <f t="shared" si="5"/>
        <v>3959605</v>
      </c>
      <c r="K96" s="2" t="s">
        <v>4755</v>
      </c>
      <c r="L96" s="71">
        <v>704655817</v>
      </c>
      <c r="M96" s="71">
        <v>315439070</v>
      </c>
      <c r="N96" s="163">
        <f t="shared" si="6"/>
        <v>1020094887</v>
      </c>
      <c r="O96" s="3">
        <f t="shared" si="7"/>
        <v>1161552</v>
      </c>
      <c r="P96" s="3">
        <f t="shared" si="8"/>
        <v>5121157</v>
      </c>
      <c r="Q96" s="71">
        <v>0</v>
      </c>
    </row>
    <row r="97" spans="3:20">
      <c r="I97" s="2"/>
      <c r="J97" s="3">
        <f t="shared" si="5"/>
        <v>4588822</v>
      </c>
      <c r="K97" s="2" t="s">
        <v>4756</v>
      </c>
      <c r="L97" s="71">
        <v>709244639</v>
      </c>
      <c r="M97" s="71">
        <v>318439707</v>
      </c>
      <c r="N97" s="163">
        <f t="shared" si="6"/>
        <v>1027684346</v>
      </c>
      <c r="O97" s="3">
        <f t="shared" si="7"/>
        <v>3000637</v>
      </c>
      <c r="P97" s="3">
        <f t="shared" si="8"/>
        <v>7589459</v>
      </c>
      <c r="Q97" s="71">
        <v>0</v>
      </c>
    </row>
    <row r="98" spans="3:20">
      <c r="I98" s="2"/>
      <c r="J98" s="3">
        <f t="shared" si="5"/>
        <v>-11230604</v>
      </c>
      <c r="K98" s="2" t="s">
        <v>4758</v>
      </c>
      <c r="L98" s="71">
        <v>698014035</v>
      </c>
      <c r="M98" s="71">
        <v>314823372</v>
      </c>
      <c r="N98" s="3">
        <f t="shared" ref="N98:N110" si="9">L98+M98</f>
        <v>1012837407</v>
      </c>
      <c r="O98" s="3">
        <f t="shared" ref="O98:O109" si="10">M98-M97</f>
        <v>-3616335</v>
      </c>
      <c r="P98" s="3">
        <f t="shared" ref="P98:P109" si="11">N98-N97</f>
        <v>-14846939</v>
      </c>
      <c r="Q98" s="71">
        <v>0</v>
      </c>
    </row>
    <row r="99" spans="3:20">
      <c r="I99" s="2"/>
      <c r="J99" s="3">
        <f t="shared" si="5"/>
        <v>6285999</v>
      </c>
      <c r="K99" s="2" t="s">
        <v>4759</v>
      </c>
      <c r="L99" s="71">
        <v>704300034</v>
      </c>
      <c r="M99" s="71">
        <v>315795916</v>
      </c>
      <c r="N99" s="3">
        <f t="shared" si="9"/>
        <v>1020095950</v>
      </c>
      <c r="O99" s="3">
        <f t="shared" si="10"/>
        <v>972544</v>
      </c>
      <c r="P99" s="3">
        <f t="shared" si="11"/>
        <v>7258543</v>
      </c>
      <c r="Q99" s="71">
        <v>0</v>
      </c>
    </row>
    <row r="100" spans="3:20">
      <c r="C100" t="s">
        <v>25</v>
      </c>
      <c r="I100" s="2"/>
      <c r="J100" s="3">
        <f t="shared" si="5"/>
        <v>17278812</v>
      </c>
      <c r="K100" s="2" t="s">
        <v>4761</v>
      </c>
      <c r="L100" s="71">
        <v>721578846</v>
      </c>
      <c r="M100" s="71">
        <v>322263065</v>
      </c>
      <c r="N100" s="163">
        <f t="shared" si="9"/>
        <v>1043841911</v>
      </c>
      <c r="O100" s="3">
        <f t="shared" si="10"/>
        <v>6467149</v>
      </c>
      <c r="P100" s="3">
        <f t="shared" si="11"/>
        <v>23745961</v>
      </c>
      <c r="Q100" s="71">
        <v>0</v>
      </c>
    </row>
    <row r="101" spans="3:20">
      <c r="I101" s="2"/>
      <c r="J101" s="3">
        <f t="shared" si="5"/>
        <v>287745</v>
      </c>
      <c r="K101" s="2" t="s">
        <v>4762</v>
      </c>
      <c r="L101" s="71">
        <v>721866591</v>
      </c>
      <c r="M101" s="71">
        <v>321203407</v>
      </c>
      <c r="N101" s="3">
        <f t="shared" si="9"/>
        <v>1043069998</v>
      </c>
      <c r="O101" s="3">
        <f t="shared" si="10"/>
        <v>-1059658</v>
      </c>
      <c r="P101" s="3">
        <f t="shared" si="11"/>
        <v>-771913</v>
      </c>
      <c r="Q101" s="71">
        <v>0</v>
      </c>
    </row>
    <row r="102" spans="3:20">
      <c r="I102" s="2"/>
      <c r="J102" s="3">
        <f t="shared" si="5"/>
        <v>-5866591</v>
      </c>
      <c r="K102" s="2" t="s">
        <v>4765</v>
      </c>
      <c r="L102" s="71">
        <v>716000000</v>
      </c>
      <c r="M102" s="71">
        <v>319000000</v>
      </c>
      <c r="N102" s="3">
        <f t="shared" si="9"/>
        <v>1035000000</v>
      </c>
      <c r="O102" s="3">
        <f t="shared" si="10"/>
        <v>-2203407</v>
      </c>
      <c r="P102" s="3">
        <f t="shared" si="11"/>
        <v>-8069998</v>
      </c>
      <c r="Q102" s="71">
        <v>0</v>
      </c>
    </row>
    <row r="103" spans="3:20">
      <c r="I103" s="2"/>
      <c r="J103" s="3">
        <f t="shared" si="5"/>
        <v>288384</v>
      </c>
      <c r="K103" s="2" t="s">
        <v>4764</v>
      </c>
      <c r="L103" s="71">
        <v>716288384</v>
      </c>
      <c r="M103" s="71">
        <v>320388494</v>
      </c>
      <c r="N103" s="3">
        <f t="shared" si="9"/>
        <v>1036676878</v>
      </c>
      <c r="O103" s="3">
        <f t="shared" si="10"/>
        <v>1388494</v>
      </c>
      <c r="P103" s="3">
        <f t="shared" si="11"/>
        <v>1676878</v>
      </c>
      <c r="Q103" s="71">
        <v>0</v>
      </c>
    </row>
    <row r="104" spans="3:20">
      <c r="I104" s="146" t="s">
        <v>4799</v>
      </c>
      <c r="J104" s="149">
        <f>L104-L103-1400000</f>
        <v>-1688384</v>
      </c>
      <c r="K104" s="146" t="s">
        <v>4797</v>
      </c>
      <c r="L104" s="175">
        <v>716000000</v>
      </c>
      <c r="M104" s="175">
        <v>322000000</v>
      </c>
      <c r="N104" s="149">
        <f t="shared" si="9"/>
        <v>1038000000</v>
      </c>
      <c r="O104" s="149">
        <f t="shared" si="10"/>
        <v>1611506</v>
      </c>
      <c r="P104" s="149">
        <f>N104-N103-1400000</f>
        <v>-76878</v>
      </c>
      <c r="Q104" s="71">
        <v>1400000</v>
      </c>
    </row>
    <row r="105" spans="3:20">
      <c r="I105" s="2"/>
      <c r="J105" s="3">
        <f t="shared" si="5"/>
        <v>8529471</v>
      </c>
      <c r="K105" s="2" t="s">
        <v>4798</v>
      </c>
      <c r="L105" s="71">
        <v>724529471</v>
      </c>
      <c r="M105" s="71">
        <v>326836192</v>
      </c>
      <c r="N105" s="163">
        <f t="shared" si="9"/>
        <v>1051365663</v>
      </c>
      <c r="O105" s="3">
        <f t="shared" si="10"/>
        <v>4836192</v>
      </c>
      <c r="P105" s="3">
        <f t="shared" si="11"/>
        <v>13365663</v>
      </c>
      <c r="Q105" s="71">
        <v>0</v>
      </c>
    </row>
    <row r="106" spans="3:20">
      <c r="I106" s="145" t="s">
        <v>4801</v>
      </c>
      <c r="J106" s="144">
        <f>L106-L105-1550000</f>
        <v>16319322</v>
      </c>
      <c r="K106" s="145" t="s">
        <v>4800</v>
      </c>
      <c r="L106" s="173">
        <v>742398793</v>
      </c>
      <c r="M106" s="173">
        <v>333388204</v>
      </c>
      <c r="N106" s="163">
        <f t="shared" si="9"/>
        <v>1075786997</v>
      </c>
      <c r="O106" s="144">
        <f>M106-M105-1550000</f>
        <v>5002012</v>
      </c>
      <c r="P106" s="144">
        <f>N106-N105-3100000</f>
        <v>21321334</v>
      </c>
      <c r="Q106" s="71">
        <v>3100000</v>
      </c>
    </row>
    <row r="107" spans="3:20">
      <c r="I107" s="2"/>
      <c r="J107" s="3">
        <f t="shared" si="5"/>
        <v>7585832</v>
      </c>
      <c r="K107" s="2" t="s">
        <v>4802</v>
      </c>
      <c r="L107" s="71">
        <v>749984625</v>
      </c>
      <c r="M107" s="71">
        <v>336802679</v>
      </c>
      <c r="N107" s="163">
        <f t="shared" si="9"/>
        <v>1086787304</v>
      </c>
      <c r="O107" s="3">
        <f t="shared" si="10"/>
        <v>3414475</v>
      </c>
      <c r="P107" s="3">
        <f t="shared" si="11"/>
        <v>11000307</v>
      </c>
      <c r="Q107" s="71">
        <v>0</v>
      </c>
    </row>
    <row r="108" spans="3:20">
      <c r="I108" s="145" t="s">
        <v>4805</v>
      </c>
      <c r="J108" s="144">
        <f>L108-L107-250000</f>
        <v>9825827</v>
      </c>
      <c r="K108" s="145" t="s">
        <v>4757</v>
      </c>
      <c r="L108" s="173">
        <v>760060452</v>
      </c>
      <c r="M108" s="173">
        <v>342834562</v>
      </c>
      <c r="N108" s="163">
        <f t="shared" si="9"/>
        <v>1102895014</v>
      </c>
      <c r="O108" s="144">
        <f t="shared" si="10"/>
        <v>6031883</v>
      </c>
      <c r="P108" s="144">
        <f>N108-N107-250000</f>
        <v>15857710</v>
      </c>
      <c r="Q108" s="71">
        <v>250000</v>
      </c>
    </row>
    <row r="109" spans="3:20">
      <c r="I109" s="2"/>
      <c r="J109" s="3">
        <f t="shared" si="5"/>
        <v>4204925</v>
      </c>
      <c r="K109" s="2" t="s">
        <v>4806</v>
      </c>
      <c r="L109" s="71">
        <v>764265377</v>
      </c>
      <c r="M109" s="71">
        <v>346850621</v>
      </c>
      <c r="N109" s="163">
        <f t="shared" si="9"/>
        <v>1111115998</v>
      </c>
      <c r="O109" s="3">
        <f t="shared" si="10"/>
        <v>4016059</v>
      </c>
      <c r="P109" s="3">
        <f t="shared" si="11"/>
        <v>8220984</v>
      </c>
      <c r="Q109" s="71">
        <v>0</v>
      </c>
    </row>
    <row r="110" spans="3:20" ht="30">
      <c r="I110" s="178" t="s">
        <v>4812</v>
      </c>
      <c r="J110" s="179">
        <f>L110-L109+48527480</f>
        <v>-4646184</v>
      </c>
      <c r="K110" s="161" t="s">
        <v>4809</v>
      </c>
      <c r="L110" s="180">
        <v>711091713</v>
      </c>
      <c r="M110" s="180">
        <v>365802118</v>
      </c>
      <c r="N110" s="179">
        <f t="shared" si="9"/>
        <v>1076893831</v>
      </c>
      <c r="O110" s="179">
        <f>M110-M109+2668880-50000000</f>
        <v>-28379623</v>
      </c>
      <c r="P110" s="179">
        <f>N110-N109-50000000+48527480+2668880</f>
        <v>-33025807</v>
      </c>
      <c r="Q110" s="71">
        <v>-1196360</v>
      </c>
    </row>
    <row r="111" spans="3:20">
      <c r="I111" s="2"/>
      <c r="J111" s="3">
        <f t="shared" si="5"/>
        <v>12126436</v>
      </c>
      <c r="K111" s="2" t="s">
        <v>4814</v>
      </c>
      <c r="L111" s="71">
        <v>723218149</v>
      </c>
      <c r="M111" s="71">
        <v>378192152</v>
      </c>
      <c r="N111" s="3">
        <f t="shared" ref="N111:N122" si="12">L111+M111</f>
        <v>1101410301</v>
      </c>
      <c r="O111" s="3">
        <f t="shared" ref="O111:O144" si="13">M111-M110</f>
        <v>12390034</v>
      </c>
      <c r="P111" s="3">
        <f>N111-N110</f>
        <v>24516470</v>
      </c>
      <c r="Q111" s="71">
        <v>0</v>
      </c>
    </row>
    <row r="112" spans="3:20">
      <c r="I112" s="145" t="s">
        <v>4819</v>
      </c>
      <c r="J112" s="144">
        <f t="shared" si="5"/>
        <v>-11559770</v>
      </c>
      <c r="K112" s="145" t="s">
        <v>4815</v>
      </c>
      <c r="L112" s="173">
        <v>711658379</v>
      </c>
      <c r="M112" s="173">
        <v>375825031</v>
      </c>
      <c r="N112" s="144">
        <f t="shared" si="12"/>
        <v>1087483410</v>
      </c>
      <c r="O112" s="144">
        <f>M112-M111-400000</f>
        <v>-2767121</v>
      </c>
      <c r="P112" s="144">
        <f>N112-N111-400000</f>
        <v>-14326891</v>
      </c>
      <c r="Q112" s="71">
        <v>400000</v>
      </c>
      <c r="T112" t="s">
        <v>25</v>
      </c>
    </row>
    <row r="113" spans="9:19">
      <c r="I113" s="2" t="s">
        <v>4821</v>
      </c>
      <c r="J113" s="3">
        <f t="shared" si="5"/>
        <v>-47970668</v>
      </c>
      <c r="K113" s="2" t="s">
        <v>4820</v>
      </c>
      <c r="L113" s="71">
        <v>663687711</v>
      </c>
      <c r="M113" s="71">
        <v>375638602</v>
      </c>
      <c r="N113" s="3">
        <f t="shared" si="12"/>
        <v>1039326313</v>
      </c>
      <c r="O113" s="3">
        <f t="shared" si="13"/>
        <v>-186429</v>
      </c>
      <c r="P113" s="3">
        <f>N113-N112</f>
        <v>-48157097</v>
      </c>
      <c r="Q113" s="71">
        <v>0</v>
      </c>
      <c r="S113" t="s">
        <v>25</v>
      </c>
    </row>
    <row r="114" spans="9:19">
      <c r="I114" s="2"/>
      <c r="J114" s="3">
        <f t="shared" si="5"/>
        <v>9507166</v>
      </c>
      <c r="K114" s="2" t="s">
        <v>4822</v>
      </c>
      <c r="L114" s="71">
        <v>673194877</v>
      </c>
      <c r="M114" s="71">
        <v>380477962</v>
      </c>
      <c r="N114" s="3">
        <f t="shared" si="12"/>
        <v>1053672839</v>
      </c>
      <c r="O114" s="3">
        <f t="shared" si="13"/>
        <v>4839360</v>
      </c>
      <c r="P114" s="3">
        <f>N114-N113</f>
        <v>14346526</v>
      </c>
      <c r="Q114" s="71">
        <v>0</v>
      </c>
    </row>
    <row r="115" spans="9:19">
      <c r="I115" s="2"/>
      <c r="J115" s="3">
        <f t="shared" si="5"/>
        <v>351502</v>
      </c>
      <c r="K115" s="2" t="s">
        <v>4823</v>
      </c>
      <c r="L115" s="71">
        <v>673546379</v>
      </c>
      <c r="M115" s="71">
        <v>385390359</v>
      </c>
      <c r="N115" s="3">
        <f t="shared" si="12"/>
        <v>1058936738</v>
      </c>
      <c r="O115" s="3">
        <f t="shared" si="13"/>
        <v>4912397</v>
      </c>
      <c r="P115" s="3">
        <f>N115-N114</f>
        <v>5263899</v>
      </c>
      <c r="Q115" s="71">
        <v>0</v>
      </c>
    </row>
    <row r="116" spans="9:19">
      <c r="I116" s="145" t="s">
        <v>4826</v>
      </c>
      <c r="J116" s="144">
        <f t="shared" si="5"/>
        <v>-3653734</v>
      </c>
      <c r="K116" s="145" t="s">
        <v>4824</v>
      </c>
      <c r="L116" s="173">
        <v>669892645</v>
      </c>
      <c r="M116" s="173">
        <v>383350206</v>
      </c>
      <c r="N116" s="144">
        <f>L116+M116</f>
        <v>1053242851</v>
      </c>
      <c r="O116" s="144">
        <f>M116-M115-2000000</f>
        <v>-4040153</v>
      </c>
      <c r="P116" s="144">
        <f>N116-N115-2000000</f>
        <v>-7693887</v>
      </c>
      <c r="Q116" s="71">
        <v>2000000</v>
      </c>
    </row>
    <row r="117" spans="9:19">
      <c r="I117" s="145" t="s">
        <v>4828</v>
      </c>
      <c r="J117" s="144">
        <f t="shared" si="5"/>
        <v>-492645</v>
      </c>
      <c r="K117" s="145" t="s">
        <v>4827</v>
      </c>
      <c r="L117" s="173">
        <v>669400000</v>
      </c>
      <c r="M117" s="173">
        <v>385000000</v>
      </c>
      <c r="N117" s="144">
        <f t="shared" si="12"/>
        <v>1054400000</v>
      </c>
      <c r="O117" s="144">
        <f>M117-M116-100000</f>
        <v>1549794</v>
      </c>
      <c r="P117" s="144">
        <f>N117-N116-100000</f>
        <v>1057149</v>
      </c>
      <c r="Q117" s="71">
        <v>100000</v>
      </c>
    </row>
    <row r="118" spans="9:19">
      <c r="I118" s="2"/>
      <c r="J118" s="3">
        <f t="shared" si="5"/>
        <v>7765061</v>
      </c>
      <c r="K118" s="2" t="s">
        <v>4829</v>
      </c>
      <c r="L118" s="71">
        <v>677165061</v>
      </c>
      <c r="M118" s="71">
        <v>392704452</v>
      </c>
      <c r="N118" s="3">
        <f t="shared" si="12"/>
        <v>1069869513</v>
      </c>
      <c r="O118" s="3">
        <f t="shared" si="13"/>
        <v>7704452</v>
      </c>
      <c r="P118" s="3">
        <f>N118-N117</f>
        <v>15469513</v>
      </c>
      <c r="Q118" s="71">
        <v>0</v>
      </c>
    </row>
    <row r="119" spans="9:19">
      <c r="I119" s="2"/>
      <c r="J119" s="3">
        <f t="shared" si="5"/>
        <v>7834939</v>
      </c>
      <c r="K119" s="2" t="s">
        <v>4830</v>
      </c>
      <c r="L119" s="71">
        <v>685000000</v>
      </c>
      <c r="M119" s="71">
        <v>395000000</v>
      </c>
      <c r="N119" s="3">
        <f t="shared" si="12"/>
        <v>1080000000</v>
      </c>
      <c r="O119" s="3">
        <f t="shared" si="13"/>
        <v>2295548</v>
      </c>
      <c r="P119" s="3">
        <f>N119-N118</f>
        <v>10130487</v>
      </c>
      <c r="Q119" s="71">
        <v>0</v>
      </c>
    </row>
    <row r="120" spans="9:19">
      <c r="I120" s="145" t="s">
        <v>4832</v>
      </c>
      <c r="J120" s="144">
        <f>L120-L119-2100000</f>
        <v>2603523</v>
      </c>
      <c r="K120" s="145" t="s">
        <v>4831</v>
      </c>
      <c r="L120" s="173">
        <v>689703523</v>
      </c>
      <c r="M120" s="173">
        <v>399879880</v>
      </c>
      <c r="N120" s="144">
        <f t="shared" si="12"/>
        <v>1089583403</v>
      </c>
      <c r="O120" s="144">
        <f t="shared" si="13"/>
        <v>4879880</v>
      </c>
      <c r="P120" s="144">
        <f>N120-N119-2100000</f>
        <v>7483403</v>
      </c>
      <c r="Q120" s="71">
        <v>2100000</v>
      </c>
    </row>
    <row r="121" spans="9:19">
      <c r="I121" s="145" t="s">
        <v>4835</v>
      </c>
      <c r="J121" s="144">
        <f>L121-L120-100000</f>
        <v>1223636</v>
      </c>
      <c r="K121" s="145" t="s">
        <v>4834</v>
      </c>
      <c r="L121" s="173">
        <v>691027159</v>
      </c>
      <c r="M121" s="173">
        <v>401920713</v>
      </c>
      <c r="N121" s="144">
        <f t="shared" si="12"/>
        <v>1092947872</v>
      </c>
      <c r="O121" s="144">
        <f>M121-M120-100000</f>
        <v>1940833</v>
      </c>
      <c r="P121" s="144">
        <f>N121-N120-200000</f>
        <v>3164469</v>
      </c>
      <c r="Q121" s="71">
        <v>200000</v>
      </c>
    </row>
    <row r="122" spans="9:19">
      <c r="I122" s="2"/>
      <c r="J122" s="3">
        <f t="shared" si="5"/>
        <v>-3258218</v>
      </c>
      <c r="K122" s="2" t="s">
        <v>4837</v>
      </c>
      <c r="L122" s="71">
        <v>687768941</v>
      </c>
      <c r="M122" s="71">
        <v>400952125</v>
      </c>
      <c r="N122" s="3">
        <f t="shared" si="12"/>
        <v>1088721066</v>
      </c>
      <c r="O122" s="3">
        <f t="shared" si="13"/>
        <v>-968588</v>
      </c>
      <c r="P122" s="3">
        <f>N122-N121</f>
        <v>-4226806</v>
      </c>
      <c r="Q122" s="169">
        <v>0</v>
      </c>
    </row>
    <row r="123" spans="9:19">
      <c r="I123" s="145" t="s">
        <v>4843</v>
      </c>
      <c r="J123" s="144">
        <f>L123-L122-115000</f>
        <v>-1004989</v>
      </c>
      <c r="K123" s="145" t="s">
        <v>4839</v>
      </c>
      <c r="L123" s="173">
        <v>686878952</v>
      </c>
      <c r="M123" s="173">
        <v>402566982</v>
      </c>
      <c r="N123" s="144">
        <f>L123+M123</f>
        <v>1089445934</v>
      </c>
      <c r="O123" s="144">
        <f>M123-M122-115000</f>
        <v>1499857</v>
      </c>
      <c r="P123" s="144">
        <f>N123-N122-230000</f>
        <v>494868</v>
      </c>
      <c r="Q123" s="169">
        <v>230000</v>
      </c>
    </row>
    <row r="124" spans="9:19">
      <c r="I124" s="145" t="s">
        <v>4846</v>
      </c>
      <c r="J124" s="144">
        <f>L124-L123-900000</f>
        <v>16455514</v>
      </c>
      <c r="K124" s="145" t="s">
        <v>4845</v>
      </c>
      <c r="L124" s="173">
        <v>704234466</v>
      </c>
      <c r="M124" s="173">
        <v>413359717</v>
      </c>
      <c r="N124" s="163">
        <f t="shared" ref="N124:N145" si="14">L124+M124</f>
        <v>1117594183</v>
      </c>
      <c r="O124" s="144">
        <f t="shared" si="13"/>
        <v>10792735</v>
      </c>
      <c r="P124" s="144">
        <f>N124-N123-900000</f>
        <v>27248249</v>
      </c>
      <c r="Q124" s="169">
        <v>900000</v>
      </c>
    </row>
    <row r="125" spans="9:19">
      <c r="I125" s="145" t="s">
        <v>4848</v>
      </c>
      <c r="J125" s="144">
        <f>L125-L124-241774</f>
        <v>7847987</v>
      </c>
      <c r="K125" s="145" t="s">
        <v>4847</v>
      </c>
      <c r="L125" s="173">
        <v>712324227</v>
      </c>
      <c r="M125" s="173">
        <v>416450606</v>
      </c>
      <c r="N125" s="163">
        <f>L125+M125</f>
        <v>1128774833</v>
      </c>
      <c r="O125" s="144">
        <f>M125-M124-50000</f>
        <v>3040889</v>
      </c>
      <c r="P125" s="144">
        <f>N125-N124-291774</f>
        <v>10888876</v>
      </c>
      <c r="Q125" s="169">
        <v>291774</v>
      </c>
    </row>
    <row r="126" spans="9:19">
      <c r="I126" s="145" t="s">
        <v>4856</v>
      </c>
      <c r="J126" s="144">
        <f>L126-L125-5701774</f>
        <v>-18426154</v>
      </c>
      <c r="K126" s="145" t="s">
        <v>4855</v>
      </c>
      <c r="L126" s="173">
        <v>699599847</v>
      </c>
      <c r="M126" s="173">
        <v>407446033</v>
      </c>
      <c r="N126" s="144">
        <f t="shared" si="14"/>
        <v>1107045880</v>
      </c>
      <c r="O126" s="144">
        <f>M126-M125-50000</f>
        <v>-9054573</v>
      </c>
      <c r="P126" s="144">
        <f>N126-N125-5751774</f>
        <v>-27480727</v>
      </c>
      <c r="Q126" s="169">
        <v>5751774</v>
      </c>
    </row>
    <row r="127" spans="9:19">
      <c r="I127" s="181" t="s">
        <v>4861</v>
      </c>
      <c r="J127" s="182">
        <f t="shared" si="5"/>
        <v>9831878</v>
      </c>
      <c r="K127" s="181" t="s">
        <v>4857</v>
      </c>
      <c r="L127" s="183">
        <v>709431725</v>
      </c>
      <c r="M127" s="183">
        <v>415572724</v>
      </c>
      <c r="N127" s="182">
        <f t="shared" si="14"/>
        <v>1125004449</v>
      </c>
      <c r="O127" s="182">
        <f>M127-M126-25000</f>
        <v>8101691</v>
      </c>
      <c r="P127" s="182">
        <f>N127-N126-25000</f>
        <v>17933569</v>
      </c>
      <c r="Q127" s="169">
        <v>25000</v>
      </c>
    </row>
    <row r="128" spans="9:19">
      <c r="I128" s="11"/>
      <c r="J128" s="3">
        <f t="shared" si="5"/>
        <v>3212707</v>
      </c>
      <c r="K128" s="2" t="s">
        <v>4862</v>
      </c>
      <c r="L128" s="71">
        <v>712644432</v>
      </c>
      <c r="M128" s="71">
        <v>416860968</v>
      </c>
      <c r="N128" s="3">
        <f t="shared" si="14"/>
        <v>1129505400</v>
      </c>
      <c r="O128" s="3">
        <f t="shared" si="13"/>
        <v>1288244</v>
      </c>
      <c r="P128" s="3">
        <f>N128-N127</f>
        <v>4500951</v>
      </c>
      <c r="Q128" s="169">
        <v>0</v>
      </c>
    </row>
    <row r="129" spans="9:30">
      <c r="I129" s="19"/>
      <c r="J129" s="37">
        <f t="shared" si="5"/>
        <v>3661985</v>
      </c>
      <c r="K129" s="19" t="s">
        <v>4863</v>
      </c>
      <c r="L129" s="185">
        <v>716306417</v>
      </c>
      <c r="M129" s="185">
        <v>419768145</v>
      </c>
      <c r="N129" s="163">
        <f>L129+M129</f>
        <v>1136074562</v>
      </c>
      <c r="O129" s="37">
        <f>M129-M128</f>
        <v>2907177</v>
      </c>
      <c r="P129" s="37">
        <f>N129-N128</f>
        <v>6569162</v>
      </c>
      <c r="Q129" s="169">
        <v>0</v>
      </c>
    </row>
    <row r="130" spans="9:30">
      <c r="I130" s="145" t="s">
        <v>4867</v>
      </c>
      <c r="J130" s="144">
        <f t="shared" si="5"/>
        <v>-9284823</v>
      </c>
      <c r="K130" s="145" t="s">
        <v>4865</v>
      </c>
      <c r="L130" s="173">
        <v>707021594</v>
      </c>
      <c r="M130" s="173">
        <v>420305454</v>
      </c>
      <c r="N130" s="144">
        <f t="shared" si="14"/>
        <v>1127327048</v>
      </c>
      <c r="O130" s="144">
        <f>M130-M129-6800000</f>
        <v>-6262691</v>
      </c>
      <c r="P130" s="144">
        <f>N130-N129-6800000</f>
        <v>-15547514</v>
      </c>
      <c r="Q130" s="169">
        <v>6800000</v>
      </c>
      <c r="S130" t="s">
        <v>25</v>
      </c>
    </row>
    <row r="131" spans="9:30">
      <c r="I131" s="145" t="s">
        <v>4871</v>
      </c>
      <c r="J131" s="144">
        <f t="shared" si="5"/>
        <v>2112595</v>
      </c>
      <c r="K131" s="145" t="s">
        <v>4868</v>
      </c>
      <c r="L131" s="173">
        <v>709134189</v>
      </c>
      <c r="M131" s="173">
        <v>421097153</v>
      </c>
      <c r="N131" s="144">
        <f t="shared" si="14"/>
        <v>1130231342</v>
      </c>
      <c r="O131" s="144">
        <f>M131-M130-500000</f>
        <v>291699</v>
      </c>
      <c r="P131" s="144">
        <f>N131-N130-500000</f>
        <v>2404294</v>
      </c>
      <c r="Q131" s="169">
        <v>500000</v>
      </c>
      <c r="S131" t="s">
        <v>25</v>
      </c>
    </row>
    <row r="132" spans="9:30">
      <c r="I132" s="181" t="s">
        <v>4874</v>
      </c>
      <c r="J132" s="182">
        <f t="shared" si="5"/>
        <v>1064287</v>
      </c>
      <c r="K132" s="181" t="s">
        <v>4872</v>
      </c>
      <c r="L132" s="183">
        <v>710198476</v>
      </c>
      <c r="M132" s="183">
        <v>422434338</v>
      </c>
      <c r="N132" s="182">
        <f t="shared" si="14"/>
        <v>1132632814</v>
      </c>
      <c r="O132" s="182">
        <f>M132-M131-850000</f>
        <v>487185</v>
      </c>
      <c r="P132" s="182">
        <f>N132-N131-850000</f>
        <v>1551472</v>
      </c>
      <c r="Q132" s="169">
        <v>850000</v>
      </c>
    </row>
    <row r="133" spans="9:30">
      <c r="I133" s="2"/>
      <c r="J133" s="3">
        <f t="shared" si="5"/>
        <v>12623812</v>
      </c>
      <c r="K133" s="2" t="s">
        <v>4877</v>
      </c>
      <c r="L133" s="71">
        <v>722822288</v>
      </c>
      <c r="M133" s="71">
        <v>429606125</v>
      </c>
      <c r="N133" s="163">
        <f t="shared" si="14"/>
        <v>1152428413</v>
      </c>
      <c r="O133" s="3">
        <f t="shared" si="13"/>
        <v>7171787</v>
      </c>
      <c r="P133" s="3">
        <f>N133-N132</f>
        <v>19795599</v>
      </c>
      <c r="Q133" s="169">
        <v>0</v>
      </c>
    </row>
    <row r="134" spans="9:30">
      <c r="I134" s="2"/>
      <c r="J134" s="3">
        <f t="shared" si="5"/>
        <v>21458282</v>
      </c>
      <c r="K134" s="2" t="s">
        <v>4878</v>
      </c>
      <c r="L134" s="71">
        <v>744280570</v>
      </c>
      <c r="M134" s="71">
        <v>440002399</v>
      </c>
      <c r="N134" s="163">
        <f t="shared" si="14"/>
        <v>1184282969</v>
      </c>
      <c r="O134" s="3">
        <f t="shared" si="13"/>
        <v>10396274</v>
      </c>
      <c r="P134" s="3">
        <f>N134-N133</f>
        <v>31854556</v>
      </c>
      <c r="Q134" s="169">
        <v>0</v>
      </c>
    </row>
    <row r="135" spans="9:30">
      <c r="I135" s="145" t="s">
        <v>4891</v>
      </c>
      <c r="J135" s="144">
        <f>L135-L134-1130250</f>
        <v>-410820</v>
      </c>
      <c r="K135" s="145" t="s">
        <v>4879</v>
      </c>
      <c r="L135" s="173">
        <v>745000000</v>
      </c>
      <c r="M135" s="173">
        <v>437000000</v>
      </c>
      <c r="N135" s="144">
        <f t="shared" si="14"/>
        <v>1182000000</v>
      </c>
      <c r="O135" s="144">
        <f>M135-M134-1130250</f>
        <v>-4132649</v>
      </c>
      <c r="P135" s="144">
        <f>N135-N134-2260500</f>
        <v>-4543469</v>
      </c>
      <c r="Q135" s="169">
        <v>2260500</v>
      </c>
    </row>
    <row r="136" spans="9:30">
      <c r="I136" s="2"/>
      <c r="J136" s="3">
        <f t="shared" si="5"/>
        <v>-6610338</v>
      </c>
      <c r="K136" s="2" t="s">
        <v>4882</v>
      </c>
      <c r="L136" s="71">
        <v>738389662</v>
      </c>
      <c r="M136" s="71">
        <v>433994737</v>
      </c>
      <c r="N136" s="3">
        <f t="shared" si="14"/>
        <v>1172384399</v>
      </c>
      <c r="O136" s="3">
        <f t="shared" si="13"/>
        <v>-3005263</v>
      </c>
      <c r="P136" s="3">
        <f>N136-N135</f>
        <v>-9615601</v>
      </c>
      <c r="Q136" s="169">
        <v>0</v>
      </c>
    </row>
    <row r="137" spans="9:30">
      <c r="I137" s="2"/>
      <c r="J137" s="3">
        <f t="shared" si="5"/>
        <v>-6184317</v>
      </c>
      <c r="K137" s="2" t="s">
        <v>4885</v>
      </c>
      <c r="L137" s="71">
        <v>732205345</v>
      </c>
      <c r="M137" s="71">
        <v>433540549</v>
      </c>
      <c r="N137" s="3">
        <f t="shared" si="14"/>
        <v>1165745894</v>
      </c>
      <c r="O137" s="3">
        <f t="shared" si="13"/>
        <v>-454188</v>
      </c>
      <c r="P137" s="3">
        <f>N137-N136</f>
        <v>-6638505</v>
      </c>
      <c r="Q137" s="169">
        <v>0</v>
      </c>
    </row>
    <row r="138" spans="9:30">
      <c r="I138" s="2"/>
      <c r="J138" s="3">
        <f t="shared" si="5"/>
        <v>4122409</v>
      </c>
      <c r="K138" s="2" t="s">
        <v>4887</v>
      </c>
      <c r="L138" s="71">
        <v>736327754</v>
      </c>
      <c r="M138" s="71">
        <v>439057094</v>
      </c>
      <c r="N138" s="3">
        <f t="shared" si="14"/>
        <v>1175384848</v>
      </c>
      <c r="O138" s="3">
        <f t="shared" si="13"/>
        <v>5516545</v>
      </c>
      <c r="P138" s="3">
        <f>N138-N137</f>
        <v>9638954</v>
      </c>
      <c r="Q138" s="169">
        <v>0</v>
      </c>
      <c r="Z138" t="s">
        <v>4541</v>
      </c>
    </row>
    <row r="139" spans="9:30">
      <c r="I139" s="145" t="s">
        <v>4890</v>
      </c>
      <c r="J139" s="144">
        <f>L139-L138-206000</f>
        <v>15013287</v>
      </c>
      <c r="K139" s="145" t="s">
        <v>4889</v>
      </c>
      <c r="L139" s="173">
        <v>751547041</v>
      </c>
      <c r="M139" s="173">
        <v>448656068</v>
      </c>
      <c r="N139" s="163">
        <f t="shared" si="14"/>
        <v>1200203109</v>
      </c>
      <c r="O139" s="144">
        <f>M139-M138-206000</f>
        <v>9392974</v>
      </c>
      <c r="P139" s="144">
        <f>N139-N138-412000</f>
        <v>24406261</v>
      </c>
      <c r="Q139" s="169">
        <v>412000</v>
      </c>
      <c r="Z139" t="s">
        <v>4542</v>
      </c>
      <c r="AA139" s="158">
        <v>35441</v>
      </c>
      <c r="AD139" t="s">
        <v>25</v>
      </c>
    </row>
    <row r="140" spans="9:30" ht="90">
      <c r="I140" s="181" t="s">
        <v>4895</v>
      </c>
      <c r="J140" s="182">
        <f>L140-L139-50000</f>
        <v>22852739</v>
      </c>
      <c r="K140" s="181" t="s">
        <v>4894</v>
      </c>
      <c r="L140" s="183">
        <v>774449780</v>
      </c>
      <c r="M140" s="183">
        <v>460796198</v>
      </c>
      <c r="N140" s="163">
        <f t="shared" si="14"/>
        <v>1235245978</v>
      </c>
      <c r="O140" s="182">
        <f>M140-M139-50000</f>
        <v>12090130</v>
      </c>
      <c r="P140" s="182">
        <f>N140-N139-100000</f>
        <v>34942869</v>
      </c>
      <c r="Q140" s="169">
        <v>100000</v>
      </c>
      <c r="X140" s="22" t="s">
        <v>4545</v>
      </c>
      <c r="Y140" s="22" t="s">
        <v>4544</v>
      </c>
      <c r="Z140" s="22" t="s">
        <v>4543</v>
      </c>
      <c r="AA140" s="22" t="s">
        <v>4546</v>
      </c>
    </row>
    <row r="141" spans="9:30">
      <c r="I141" s="2"/>
      <c r="J141" s="3">
        <f t="shared" si="5"/>
        <v>13614989</v>
      </c>
      <c r="K141" s="2" t="s">
        <v>4897</v>
      </c>
      <c r="L141" s="71">
        <v>788064769</v>
      </c>
      <c r="M141" s="71">
        <v>470434493</v>
      </c>
      <c r="N141" s="163">
        <f t="shared" si="14"/>
        <v>1258499262</v>
      </c>
      <c r="O141" s="3">
        <f t="shared" si="13"/>
        <v>9638295</v>
      </c>
      <c r="P141" s="3">
        <f>N141-N140</f>
        <v>23253284</v>
      </c>
      <c r="Q141" s="169">
        <v>0</v>
      </c>
    </row>
    <row r="142" spans="9:30">
      <c r="I142" s="145" t="s">
        <v>4900</v>
      </c>
      <c r="J142" s="144">
        <f>L142-L141-105000</f>
        <v>7274368</v>
      </c>
      <c r="K142" s="145" t="s">
        <v>4898</v>
      </c>
      <c r="L142" s="173">
        <v>795444137</v>
      </c>
      <c r="M142" s="173">
        <v>496046411</v>
      </c>
      <c r="N142" s="163">
        <f t="shared" si="14"/>
        <v>1291490548</v>
      </c>
      <c r="O142" s="144">
        <f>M142-M141-20000000</f>
        <v>5611918</v>
      </c>
      <c r="P142" s="144">
        <f>N142-N141-20105000</f>
        <v>12886286</v>
      </c>
      <c r="Q142" s="169">
        <v>20105000</v>
      </c>
    </row>
    <row r="143" spans="9:30">
      <c r="I143" s="190" t="s">
        <v>4906</v>
      </c>
      <c r="J143" s="191">
        <f>L143-L142+21285588</f>
        <v>17942685</v>
      </c>
      <c r="K143" s="190" t="s">
        <v>4902</v>
      </c>
      <c r="L143" s="192">
        <v>792101234</v>
      </c>
      <c r="M143" s="192">
        <v>504721695</v>
      </c>
      <c r="N143" s="163">
        <f t="shared" si="14"/>
        <v>1296822929</v>
      </c>
      <c r="O143" s="191">
        <f t="shared" si="13"/>
        <v>8675284</v>
      </c>
      <c r="P143" s="191">
        <f>N143-N142+21285588</f>
        <v>26617969</v>
      </c>
      <c r="Q143" s="169">
        <v>-21285588</v>
      </c>
    </row>
    <row r="144" spans="9:30">
      <c r="I144" s="190" t="s">
        <v>4907</v>
      </c>
      <c r="J144" s="191">
        <f>L144-L143+5949277</f>
        <v>6616903</v>
      </c>
      <c r="K144" s="190" t="s">
        <v>4903</v>
      </c>
      <c r="L144" s="192">
        <v>792768860</v>
      </c>
      <c r="M144" s="192">
        <v>507955566</v>
      </c>
      <c r="N144" s="163">
        <f t="shared" si="14"/>
        <v>1300724426</v>
      </c>
      <c r="O144" s="191">
        <f t="shared" si="13"/>
        <v>3233871</v>
      </c>
      <c r="P144" s="191">
        <f>N144-N143+5949277</f>
        <v>9850774</v>
      </c>
      <c r="Q144" s="169">
        <v>-5949277</v>
      </c>
    </row>
    <row r="145" spans="9:23" ht="30">
      <c r="I145" s="178" t="s">
        <v>4908</v>
      </c>
      <c r="J145" s="179">
        <f>L145-L144+16266000</f>
        <v>-3424278</v>
      </c>
      <c r="K145" s="161" t="s">
        <v>956</v>
      </c>
      <c r="L145" s="180">
        <v>773078582</v>
      </c>
      <c r="M145" s="180">
        <v>483243300</v>
      </c>
      <c r="N145" s="179">
        <f t="shared" si="14"/>
        <v>1256321882</v>
      </c>
      <c r="O145" s="179">
        <f>M145-M144+24159150</f>
        <v>-553116</v>
      </c>
      <c r="P145" s="179">
        <f>N145-N144+40425150</f>
        <v>-3977394</v>
      </c>
      <c r="Q145" s="169">
        <v>-40425150</v>
      </c>
    </row>
    <row r="146" spans="9:23">
      <c r="I146" s="193" t="s">
        <v>4910</v>
      </c>
      <c r="J146" s="163">
        <f>L146-L145+15482124</f>
        <v>-6662026</v>
      </c>
      <c r="K146" s="162" t="s">
        <v>4909</v>
      </c>
      <c r="L146" s="194">
        <v>750934432</v>
      </c>
      <c r="M146" s="194">
        <v>477277384</v>
      </c>
      <c r="N146" s="163">
        <f t="shared" ref="N146:N203" si="15">L146+M146</f>
        <v>1228211816</v>
      </c>
      <c r="O146" s="163">
        <f>M146-M145-50000</f>
        <v>-6015916</v>
      </c>
      <c r="P146" s="163">
        <f>N146-N145-50000+15482124</f>
        <v>-12677942</v>
      </c>
      <c r="Q146" s="169">
        <f>50000-15482124</f>
        <v>-15432124</v>
      </c>
    </row>
    <row r="147" spans="9:23">
      <c r="I147" s="2"/>
      <c r="J147" s="3">
        <f t="shared" ref="J147:J199" si="16">L147-L146</f>
        <v>-5020195</v>
      </c>
      <c r="K147" s="2" t="s">
        <v>4911</v>
      </c>
      <c r="L147" s="71">
        <v>745914237</v>
      </c>
      <c r="M147" s="71">
        <v>473862216</v>
      </c>
      <c r="N147" s="3">
        <f t="shared" si="15"/>
        <v>1219776453</v>
      </c>
      <c r="O147" s="3">
        <f t="shared" ref="O147:O158" si="17">M147-M146</f>
        <v>-3415168</v>
      </c>
      <c r="P147" s="3">
        <f t="shared" ref="P147:P158" si="18">N147-N146</f>
        <v>-8435363</v>
      </c>
      <c r="Q147" s="169">
        <v>0</v>
      </c>
    </row>
    <row r="148" spans="9:23">
      <c r="I148" s="2"/>
      <c r="J148" s="3">
        <f t="shared" si="16"/>
        <v>-2990159</v>
      </c>
      <c r="K148" s="2" t="s">
        <v>4912</v>
      </c>
      <c r="L148" s="71">
        <v>742924078</v>
      </c>
      <c r="M148" s="71">
        <v>472064753</v>
      </c>
      <c r="N148" s="3">
        <f t="shared" si="15"/>
        <v>1214988831</v>
      </c>
      <c r="O148" s="3">
        <f t="shared" si="17"/>
        <v>-1797463</v>
      </c>
      <c r="P148" s="3">
        <f t="shared" si="18"/>
        <v>-4787622</v>
      </c>
      <c r="Q148" s="169">
        <v>0</v>
      </c>
      <c r="T148" t="s">
        <v>25</v>
      </c>
    </row>
    <row r="149" spans="9:23">
      <c r="I149" s="2"/>
      <c r="J149" s="3">
        <f t="shared" si="16"/>
        <v>-2104826</v>
      </c>
      <c r="K149" s="2" t="s">
        <v>4913</v>
      </c>
      <c r="L149" s="71">
        <v>740819252</v>
      </c>
      <c r="M149" s="71">
        <v>470305993</v>
      </c>
      <c r="N149" s="3">
        <f t="shared" si="15"/>
        <v>1211125245</v>
      </c>
      <c r="O149" s="3">
        <f t="shared" si="17"/>
        <v>-1758760</v>
      </c>
      <c r="P149" s="3">
        <f t="shared" si="18"/>
        <v>-3863586</v>
      </c>
      <c r="Q149" s="169">
        <v>0</v>
      </c>
      <c r="V149" t="s">
        <v>25</v>
      </c>
    </row>
    <row r="150" spans="9:23">
      <c r="I150" s="145" t="s">
        <v>4916</v>
      </c>
      <c r="J150" s="144">
        <f t="shared" si="16"/>
        <v>19640187</v>
      </c>
      <c r="K150" s="145" t="s">
        <v>4915</v>
      </c>
      <c r="L150" s="173">
        <v>760459439</v>
      </c>
      <c r="M150" s="173">
        <v>480341526</v>
      </c>
      <c r="N150" s="144">
        <f t="shared" si="15"/>
        <v>1240800965</v>
      </c>
      <c r="O150" s="144">
        <f>M150-M149-2480000</f>
        <v>7555533</v>
      </c>
      <c r="P150" s="144">
        <f>N150-N149-2480000</f>
        <v>27195720</v>
      </c>
      <c r="Q150" s="169">
        <v>2480000</v>
      </c>
    </row>
    <row r="151" spans="9:23">
      <c r="I151" s="2" t="s">
        <v>4919</v>
      </c>
      <c r="J151" s="3">
        <f>L151-L150-10000000</f>
        <v>7047541</v>
      </c>
      <c r="K151" s="2" t="s">
        <v>4918</v>
      </c>
      <c r="L151" s="71">
        <v>777506980</v>
      </c>
      <c r="M151" s="71">
        <v>487011941</v>
      </c>
      <c r="N151" s="163">
        <f t="shared" si="15"/>
        <v>1264518921</v>
      </c>
      <c r="O151" s="3">
        <f t="shared" si="17"/>
        <v>6670415</v>
      </c>
      <c r="P151" s="3">
        <f>N151-N150-10000000</f>
        <v>13717956</v>
      </c>
      <c r="Q151" s="169">
        <v>10000000</v>
      </c>
    </row>
    <row r="152" spans="9:23">
      <c r="I152" s="2"/>
      <c r="J152" s="3">
        <f t="shared" si="16"/>
        <v>12326187</v>
      </c>
      <c r="K152" s="2" t="s">
        <v>4920</v>
      </c>
      <c r="L152" s="71">
        <v>789833167</v>
      </c>
      <c r="M152" s="71">
        <v>496662271</v>
      </c>
      <c r="N152" s="163">
        <f t="shared" si="15"/>
        <v>1286495438</v>
      </c>
      <c r="O152" s="3">
        <f t="shared" si="17"/>
        <v>9650330</v>
      </c>
      <c r="P152" s="3">
        <f t="shared" si="18"/>
        <v>21976517</v>
      </c>
      <c r="Q152" s="169">
        <v>0</v>
      </c>
    </row>
    <row r="153" spans="9:23">
      <c r="I153" s="2"/>
      <c r="J153" s="3">
        <f t="shared" si="16"/>
        <v>-15331439</v>
      </c>
      <c r="K153" s="2" t="s">
        <v>4923</v>
      </c>
      <c r="L153" s="71">
        <v>774501728</v>
      </c>
      <c r="M153" s="71">
        <v>489029442</v>
      </c>
      <c r="N153" s="3">
        <f t="shared" si="15"/>
        <v>1263531170</v>
      </c>
      <c r="O153" s="3">
        <f t="shared" si="17"/>
        <v>-7632829</v>
      </c>
      <c r="P153" s="3">
        <f t="shared" si="18"/>
        <v>-22964268</v>
      </c>
      <c r="Q153" s="169">
        <v>0</v>
      </c>
    </row>
    <row r="154" spans="9:23">
      <c r="I154" s="2"/>
      <c r="J154" s="3">
        <f t="shared" si="16"/>
        <v>-32356446</v>
      </c>
      <c r="K154" s="2" t="s">
        <v>4924</v>
      </c>
      <c r="L154" s="71">
        <v>742145282</v>
      </c>
      <c r="M154" s="71">
        <v>468861007</v>
      </c>
      <c r="N154" s="3">
        <f t="shared" si="15"/>
        <v>1211006289</v>
      </c>
      <c r="O154" s="3">
        <f t="shared" si="17"/>
        <v>-20168435</v>
      </c>
      <c r="P154" s="3">
        <f t="shared" si="18"/>
        <v>-52524881</v>
      </c>
      <c r="Q154" s="169">
        <v>0</v>
      </c>
      <c r="S154" s="7"/>
    </row>
    <row r="155" spans="9:23">
      <c r="I155" s="2"/>
      <c r="J155" s="3">
        <f t="shared" si="16"/>
        <v>27087716</v>
      </c>
      <c r="K155" s="2" t="s">
        <v>4921</v>
      </c>
      <c r="L155" s="71">
        <v>769232998</v>
      </c>
      <c r="M155" s="71">
        <v>486200144</v>
      </c>
      <c r="N155" s="3">
        <f t="shared" si="15"/>
        <v>1255433142</v>
      </c>
      <c r="O155" s="3">
        <f t="shared" si="17"/>
        <v>17339137</v>
      </c>
      <c r="P155" s="3">
        <f t="shared" si="18"/>
        <v>44426853</v>
      </c>
      <c r="Q155" s="169">
        <v>0</v>
      </c>
    </row>
    <row r="156" spans="9:23">
      <c r="I156" s="2"/>
      <c r="J156" s="3">
        <f t="shared" si="16"/>
        <v>-11588296</v>
      </c>
      <c r="K156" s="2" t="s">
        <v>4925</v>
      </c>
      <c r="L156" s="71">
        <v>757644702</v>
      </c>
      <c r="M156" s="71">
        <v>479518419</v>
      </c>
      <c r="N156" s="3">
        <f t="shared" si="15"/>
        <v>1237163121</v>
      </c>
      <c r="O156" s="3">
        <f t="shared" si="17"/>
        <v>-6681725</v>
      </c>
      <c r="P156" s="3">
        <f t="shared" si="18"/>
        <v>-18270021</v>
      </c>
      <c r="Q156" s="169">
        <v>0</v>
      </c>
    </row>
    <row r="157" spans="9:23">
      <c r="I157" s="2"/>
      <c r="J157" s="3">
        <f t="shared" si="16"/>
        <v>44081635</v>
      </c>
      <c r="K157" s="2" t="s">
        <v>4186</v>
      </c>
      <c r="L157" s="71">
        <v>801726337</v>
      </c>
      <c r="M157" s="71">
        <v>506850552</v>
      </c>
      <c r="N157" s="163">
        <f t="shared" si="15"/>
        <v>1308576889</v>
      </c>
      <c r="O157" s="3">
        <f t="shared" si="17"/>
        <v>27332133</v>
      </c>
      <c r="P157" s="3">
        <f t="shared" si="18"/>
        <v>71413768</v>
      </c>
      <c r="Q157" s="169">
        <v>0</v>
      </c>
      <c r="W157" t="s">
        <v>25</v>
      </c>
    </row>
    <row r="158" spans="9:23">
      <c r="I158" s="2"/>
      <c r="J158" s="3">
        <f t="shared" si="16"/>
        <v>6630946</v>
      </c>
      <c r="K158" s="2" t="s">
        <v>4926</v>
      </c>
      <c r="L158" s="71">
        <v>808357283</v>
      </c>
      <c r="M158" s="71">
        <v>511928213</v>
      </c>
      <c r="N158" s="163">
        <f t="shared" si="15"/>
        <v>1320285496</v>
      </c>
      <c r="O158" s="3">
        <f t="shared" si="17"/>
        <v>5077661</v>
      </c>
      <c r="P158" s="3">
        <f t="shared" si="18"/>
        <v>11708607</v>
      </c>
      <c r="Q158" s="169">
        <v>0</v>
      </c>
    </row>
    <row r="159" spans="9:23">
      <c r="I159" s="2"/>
      <c r="J159" s="3">
        <f t="shared" si="16"/>
        <v>-3113999</v>
      </c>
      <c r="K159" s="2" t="s">
        <v>4922</v>
      </c>
      <c r="L159" s="71">
        <v>805243284</v>
      </c>
      <c r="M159" s="71">
        <v>510366011</v>
      </c>
      <c r="N159" s="3">
        <f t="shared" si="15"/>
        <v>1315609295</v>
      </c>
      <c r="O159" s="3">
        <f t="shared" ref="O159:O203" si="19">M159-M158</f>
        <v>-1562202</v>
      </c>
      <c r="P159" s="3">
        <f t="shared" ref="P159:P199" si="20">N159-N158</f>
        <v>-4676201</v>
      </c>
      <c r="Q159" s="169">
        <v>0</v>
      </c>
    </row>
    <row r="160" spans="9:23">
      <c r="I160" s="196" t="s">
        <v>4937</v>
      </c>
      <c r="J160" s="144">
        <f>L160-L159-1000000</f>
        <v>-11757327</v>
      </c>
      <c r="K160" s="145" t="s">
        <v>4936</v>
      </c>
      <c r="L160" s="173">
        <v>794485957</v>
      </c>
      <c r="M160" s="173">
        <v>500307505</v>
      </c>
      <c r="N160" s="144">
        <f t="shared" si="15"/>
        <v>1294793462</v>
      </c>
      <c r="O160" s="144">
        <f>M160-M159-400000</f>
        <v>-10458506</v>
      </c>
      <c r="P160" s="144">
        <f>N160-N159-1400000</f>
        <v>-22215833</v>
      </c>
      <c r="Q160" s="169">
        <v>1400000</v>
      </c>
    </row>
    <row r="161" spans="9:18">
      <c r="I161" s="2"/>
      <c r="J161" s="3">
        <f t="shared" si="16"/>
        <v>15301801</v>
      </c>
      <c r="K161" s="2" t="s">
        <v>4938</v>
      </c>
      <c r="L161" s="71">
        <v>809787758</v>
      </c>
      <c r="M161" s="71">
        <v>508573621</v>
      </c>
      <c r="N161" s="3">
        <f t="shared" si="15"/>
        <v>1318361379</v>
      </c>
      <c r="O161" s="3">
        <f t="shared" si="19"/>
        <v>8266116</v>
      </c>
      <c r="P161" s="3">
        <f t="shared" si="20"/>
        <v>23567917</v>
      </c>
    </row>
    <row r="162" spans="9:18">
      <c r="I162" s="181" t="s">
        <v>4940</v>
      </c>
      <c r="J162" s="182">
        <f>L162-L161-40000</f>
        <v>22492792</v>
      </c>
      <c r="K162" s="181" t="s">
        <v>4939</v>
      </c>
      <c r="L162" s="183">
        <v>832320550</v>
      </c>
      <c r="M162" s="183">
        <v>520218492</v>
      </c>
      <c r="N162" s="163">
        <f t="shared" si="15"/>
        <v>1352539042</v>
      </c>
      <c r="O162" s="182">
        <f>M162-M161-40000</f>
        <v>11604871</v>
      </c>
      <c r="P162" s="182">
        <f>N162-N161-80000</f>
        <v>34097663</v>
      </c>
      <c r="Q162" s="169">
        <v>80000</v>
      </c>
    </row>
    <row r="163" spans="9:18">
      <c r="I163" s="2"/>
      <c r="J163" s="3">
        <f t="shared" si="16"/>
        <v>17160356</v>
      </c>
      <c r="K163" s="2" t="s">
        <v>4942</v>
      </c>
      <c r="L163" s="71">
        <v>849480906</v>
      </c>
      <c r="M163" s="71">
        <v>529879172</v>
      </c>
      <c r="N163" s="163">
        <f t="shared" si="15"/>
        <v>1379360078</v>
      </c>
      <c r="O163" s="3">
        <f t="shared" si="19"/>
        <v>9660680</v>
      </c>
      <c r="P163" s="3">
        <f t="shared" si="20"/>
        <v>26821036</v>
      </c>
      <c r="Q163" s="169">
        <v>0</v>
      </c>
    </row>
    <row r="164" spans="9:18">
      <c r="I164" s="2"/>
      <c r="J164" s="3">
        <f t="shared" si="16"/>
        <v>-9629608</v>
      </c>
      <c r="K164" s="2" t="s">
        <v>4946</v>
      </c>
      <c r="L164" s="71">
        <v>839851298</v>
      </c>
      <c r="M164" s="71">
        <v>524867809</v>
      </c>
      <c r="N164" s="3">
        <f t="shared" si="15"/>
        <v>1364719107</v>
      </c>
      <c r="O164" s="3">
        <f t="shared" si="19"/>
        <v>-5011363</v>
      </c>
      <c r="P164" s="3">
        <f t="shared" si="20"/>
        <v>-14640971</v>
      </c>
      <c r="Q164" s="169">
        <v>0</v>
      </c>
    </row>
    <row r="165" spans="9:18">
      <c r="I165" s="181" t="s">
        <v>4948</v>
      </c>
      <c r="J165" s="182">
        <f>L165-L164-120000</f>
        <v>-2216696</v>
      </c>
      <c r="K165" s="181" t="s">
        <v>4947</v>
      </c>
      <c r="L165" s="183">
        <v>837754602</v>
      </c>
      <c r="M165" s="183">
        <v>524141818</v>
      </c>
      <c r="N165" s="182">
        <f t="shared" si="15"/>
        <v>1361896420</v>
      </c>
      <c r="O165" s="182">
        <f>M165-M164-200000</f>
        <v>-925991</v>
      </c>
      <c r="P165" s="182">
        <f>N165-N164-320000</f>
        <v>-3142687</v>
      </c>
      <c r="Q165" s="169">
        <v>320000</v>
      </c>
    </row>
    <row r="166" spans="9:18">
      <c r="I166" s="181" t="s">
        <v>4871</v>
      </c>
      <c r="J166" s="182">
        <f t="shared" si="16"/>
        <v>-5830761</v>
      </c>
      <c r="K166" s="181" t="s">
        <v>4951</v>
      </c>
      <c r="L166" s="183">
        <v>831923841</v>
      </c>
      <c r="M166" s="183">
        <v>520741895</v>
      </c>
      <c r="N166" s="182">
        <f t="shared" si="15"/>
        <v>1352665736</v>
      </c>
      <c r="O166" s="182">
        <f>M166-M165-500000</f>
        <v>-3899923</v>
      </c>
      <c r="P166" s="182">
        <f>N166-N165-500000</f>
        <v>-9730684</v>
      </c>
      <c r="Q166" s="169">
        <v>500000</v>
      </c>
    </row>
    <row r="167" spans="9:18">
      <c r="I167" s="181" t="s">
        <v>4871</v>
      </c>
      <c r="J167" s="182">
        <f t="shared" si="16"/>
        <v>-22467551</v>
      </c>
      <c r="K167" s="181" t="s">
        <v>4953</v>
      </c>
      <c r="L167" s="183">
        <v>809456290</v>
      </c>
      <c r="M167" s="183">
        <v>509313372</v>
      </c>
      <c r="N167" s="182">
        <f t="shared" si="15"/>
        <v>1318769662</v>
      </c>
      <c r="O167" s="182">
        <f>M167-M166-500000</f>
        <v>-11928523</v>
      </c>
      <c r="P167" s="182">
        <f>N167-N166-500000</f>
        <v>-34396074</v>
      </c>
      <c r="Q167" s="169">
        <v>500000</v>
      </c>
    </row>
    <row r="168" spans="9:18">
      <c r="I168" s="181" t="s">
        <v>4954</v>
      </c>
      <c r="J168" s="182">
        <f>L168-L167-249000</f>
        <v>-15588738</v>
      </c>
      <c r="K168" s="181" t="s">
        <v>4944</v>
      </c>
      <c r="L168" s="183">
        <v>794116552</v>
      </c>
      <c r="M168" s="183">
        <v>501172095</v>
      </c>
      <c r="N168" s="182">
        <f t="shared" si="15"/>
        <v>1295288647</v>
      </c>
      <c r="O168" s="182">
        <f>M168-M167-250000</f>
        <v>-8391277</v>
      </c>
      <c r="P168" s="182">
        <f>N168-N167-499000</f>
        <v>-23980015</v>
      </c>
      <c r="Q168" s="169">
        <v>499000</v>
      </c>
    </row>
    <row r="169" spans="9:18">
      <c r="I169" s="2"/>
      <c r="J169" s="3">
        <f t="shared" si="16"/>
        <v>11269240</v>
      </c>
      <c r="K169" s="2" t="s">
        <v>4955</v>
      </c>
      <c r="L169" s="71">
        <v>805385792</v>
      </c>
      <c r="M169" s="71">
        <v>507195022</v>
      </c>
      <c r="N169" s="3">
        <f t="shared" si="15"/>
        <v>1312580814</v>
      </c>
      <c r="O169" s="3">
        <f t="shared" si="19"/>
        <v>6022927</v>
      </c>
      <c r="P169" s="3">
        <f t="shared" si="20"/>
        <v>17292167</v>
      </c>
      <c r="Q169" s="169">
        <v>0</v>
      </c>
    </row>
    <row r="170" spans="9:18">
      <c r="I170" s="2"/>
      <c r="J170" s="3">
        <f t="shared" si="16"/>
        <v>-18119284</v>
      </c>
      <c r="K170" s="2" t="s">
        <v>4958</v>
      </c>
      <c r="L170" s="71">
        <v>787266508</v>
      </c>
      <c r="M170" s="71">
        <v>498492039</v>
      </c>
      <c r="N170" s="3">
        <f t="shared" si="15"/>
        <v>1285758547</v>
      </c>
      <c r="O170" s="3">
        <f t="shared" si="19"/>
        <v>-8702983</v>
      </c>
      <c r="P170" s="3">
        <f t="shared" si="20"/>
        <v>-26822267</v>
      </c>
      <c r="Q170" s="169">
        <v>0</v>
      </c>
    </row>
    <row r="171" spans="9:18">
      <c r="I171" s="2"/>
      <c r="J171" s="3">
        <f t="shared" si="16"/>
        <v>19151757</v>
      </c>
      <c r="K171" s="2" t="s">
        <v>3815</v>
      </c>
      <c r="L171" s="71">
        <v>806418265</v>
      </c>
      <c r="M171" s="71">
        <v>508251365</v>
      </c>
      <c r="N171" s="3">
        <f t="shared" si="15"/>
        <v>1314669630</v>
      </c>
      <c r="O171" s="3">
        <f t="shared" si="19"/>
        <v>9759326</v>
      </c>
      <c r="P171" s="3">
        <f t="shared" si="20"/>
        <v>28911083</v>
      </c>
      <c r="Q171" s="169">
        <v>0</v>
      </c>
    </row>
    <row r="172" spans="9:18">
      <c r="I172" s="2"/>
      <c r="J172" s="3">
        <f t="shared" si="16"/>
        <v>-130356</v>
      </c>
      <c r="K172" s="2" t="s">
        <v>4966</v>
      </c>
      <c r="L172" s="71">
        <v>806287909</v>
      </c>
      <c r="M172" s="185">
        <v>508728805</v>
      </c>
      <c r="N172" s="3">
        <f t="shared" si="15"/>
        <v>1315016714</v>
      </c>
      <c r="O172" s="3">
        <f t="shared" si="19"/>
        <v>477440</v>
      </c>
      <c r="P172" s="3">
        <f t="shared" si="20"/>
        <v>347084</v>
      </c>
      <c r="Q172" s="169">
        <v>0</v>
      </c>
    </row>
    <row r="173" spans="9:18">
      <c r="I173" s="2"/>
      <c r="J173" s="3">
        <f t="shared" si="16"/>
        <v>-4205755</v>
      </c>
      <c r="K173" s="2" t="s">
        <v>4967</v>
      </c>
      <c r="L173" s="71">
        <v>802082154</v>
      </c>
      <c r="M173" s="71">
        <v>508611485</v>
      </c>
      <c r="N173" s="3">
        <f t="shared" si="15"/>
        <v>1310693639</v>
      </c>
      <c r="O173" s="3">
        <f t="shared" si="19"/>
        <v>-117320</v>
      </c>
      <c r="P173" s="3">
        <f t="shared" si="20"/>
        <v>-4323075</v>
      </c>
      <c r="Q173" s="169">
        <v>0</v>
      </c>
      <c r="R173" t="s">
        <v>25</v>
      </c>
    </row>
    <row r="174" spans="9:18">
      <c r="I174" s="181" t="s">
        <v>4970</v>
      </c>
      <c r="J174" s="182">
        <f>L174-L173-65000</f>
        <v>5888390</v>
      </c>
      <c r="K174" s="181" t="s">
        <v>4969</v>
      </c>
      <c r="L174" s="183">
        <v>808035544</v>
      </c>
      <c r="M174" s="183">
        <v>512177913</v>
      </c>
      <c r="N174" s="182">
        <f t="shared" si="15"/>
        <v>1320213457</v>
      </c>
      <c r="O174" s="182">
        <f t="shared" si="19"/>
        <v>3566428</v>
      </c>
      <c r="P174" s="182">
        <f>N174-N173-65000</f>
        <v>9454818</v>
      </c>
      <c r="Q174" s="169">
        <v>65000</v>
      </c>
    </row>
    <row r="175" spans="9:18">
      <c r="I175" s="2"/>
      <c r="J175" s="3">
        <f t="shared" si="16"/>
        <v>347325</v>
      </c>
      <c r="K175" s="2" t="s">
        <v>4187</v>
      </c>
      <c r="L175" s="71">
        <v>808382869</v>
      </c>
      <c r="M175" s="71">
        <v>512740969</v>
      </c>
      <c r="N175" s="3">
        <f t="shared" si="15"/>
        <v>1321123838</v>
      </c>
      <c r="O175" s="3">
        <f t="shared" si="19"/>
        <v>563056</v>
      </c>
      <c r="P175" s="3">
        <f t="shared" si="20"/>
        <v>910381</v>
      </c>
      <c r="Q175" s="169">
        <v>0</v>
      </c>
    </row>
    <row r="176" spans="9:18">
      <c r="I176" s="161" t="s">
        <v>4975</v>
      </c>
      <c r="J176" s="179">
        <f>L176-L175+305807</f>
        <v>8668560</v>
      </c>
      <c r="K176" s="161" t="s">
        <v>4973</v>
      </c>
      <c r="L176" s="180">
        <v>816745622</v>
      </c>
      <c r="M176" s="180">
        <v>516127148</v>
      </c>
      <c r="N176" s="179">
        <f t="shared" si="15"/>
        <v>1332872770</v>
      </c>
      <c r="O176" s="179">
        <f>M176-M175+305807</f>
        <v>3691986</v>
      </c>
      <c r="P176" s="179">
        <f>N176-N175+611614</f>
        <v>12360546</v>
      </c>
      <c r="Q176" s="169">
        <v>-611614</v>
      </c>
    </row>
    <row r="177" spans="9:17">
      <c r="I177" s="112" t="s">
        <v>4976</v>
      </c>
      <c r="J177" s="179">
        <f>L177-L176+63348</f>
        <v>4837676</v>
      </c>
      <c r="K177" s="161" t="s">
        <v>4974</v>
      </c>
      <c r="L177" s="180">
        <v>821519950</v>
      </c>
      <c r="M177" s="180">
        <v>505943649</v>
      </c>
      <c r="N177" s="179">
        <f t="shared" si="15"/>
        <v>1327463599</v>
      </c>
      <c r="O177" s="179">
        <f>M177-M176+13076601</f>
        <v>2893102</v>
      </c>
      <c r="P177" s="179">
        <f>N177-N176+13139949</f>
        <v>7730778</v>
      </c>
      <c r="Q177" s="169">
        <v>-13139949</v>
      </c>
    </row>
    <row r="178" spans="9:17">
      <c r="I178" s="197" t="s">
        <v>4979</v>
      </c>
      <c r="J178" s="198">
        <f>L178-L177-50000</f>
        <v>30757186</v>
      </c>
      <c r="K178" s="197" t="s">
        <v>4978</v>
      </c>
      <c r="L178" s="199">
        <v>852327136</v>
      </c>
      <c r="M178" s="199">
        <v>521297098</v>
      </c>
      <c r="N178" s="163">
        <f t="shared" si="15"/>
        <v>1373624234</v>
      </c>
      <c r="O178" s="198">
        <f>M178-M177+1330520</f>
        <v>16683969</v>
      </c>
      <c r="P178" s="198">
        <f t="shared" si="20"/>
        <v>46160635</v>
      </c>
      <c r="Q178" s="169">
        <v>1280520</v>
      </c>
    </row>
    <row r="179" spans="9:17">
      <c r="I179" s="2"/>
      <c r="J179" s="3">
        <f t="shared" si="16"/>
        <v>3566567</v>
      </c>
      <c r="K179" s="2" t="s">
        <v>4945</v>
      </c>
      <c r="L179" s="71">
        <v>855893703</v>
      </c>
      <c r="M179" s="71">
        <v>523555571</v>
      </c>
      <c r="N179" s="163">
        <f t="shared" si="15"/>
        <v>1379449274</v>
      </c>
      <c r="O179" s="3">
        <f t="shared" si="19"/>
        <v>2258473</v>
      </c>
      <c r="P179" s="3">
        <f t="shared" si="20"/>
        <v>5825040</v>
      </c>
      <c r="Q179" s="169">
        <v>0</v>
      </c>
    </row>
    <row r="180" spans="9:17">
      <c r="I180" s="2"/>
      <c r="J180" s="3">
        <f t="shared" si="16"/>
        <v>38722880</v>
      </c>
      <c r="K180" s="2" t="s">
        <v>4984</v>
      </c>
      <c r="L180" s="71">
        <v>894616583</v>
      </c>
      <c r="M180" s="71">
        <v>542439358</v>
      </c>
      <c r="N180" s="163">
        <f t="shared" si="15"/>
        <v>1437055941</v>
      </c>
      <c r="O180" s="3">
        <f t="shared" si="19"/>
        <v>18883787</v>
      </c>
      <c r="P180" s="3">
        <f t="shared" si="20"/>
        <v>57606667</v>
      </c>
      <c r="Q180" s="169">
        <v>0</v>
      </c>
    </row>
    <row r="181" spans="9:17">
      <c r="I181" s="2"/>
      <c r="J181" s="3">
        <f t="shared" si="16"/>
        <v>16136832</v>
      </c>
      <c r="K181" s="2" t="s">
        <v>4987</v>
      </c>
      <c r="L181" s="71">
        <v>910753415</v>
      </c>
      <c r="M181" s="71">
        <v>556456529</v>
      </c>
      <c r="N181" s="163">
        <f>L181+M181</f>
        <v>1467209944</v>
      </c>
      <c r="O181" s="3">
        <f t="shared" si="19"/>
        <v>14017171</v>
      </c>
      <c r="P181" s="3">
        <f t="shared" si="20"/>
        <v>30154003</v>
      </c>
      <c r="Q181" s="169">
        <v>0</v>
      </c>
    </row>
    <row r="182" spans="9:17">
      <c r="I182" s="2"/>
      <c r="J182" s="3">
        <f t="shared" si="16"/>
        <v>12506133</v>
      </c>
      <c r="K182" s="2" t="s">
        <v>4988</v>
      </c>
      <c r="L182" s="71">
        <v>923259548</v>
      </c>
      <c r="M182" s="71">
        <v>567570020</v>
      </c>
      <c r="N182" s="163">
        <f t="shared" si="15"/>
        <v>1490829568</v>
      </c>
      <c r="O182" s="3">
        <f t="shared" si="19"/>
        <v>11113491</v>
      </c>
      <c r="P182" s="3">
        <f t="shared" si="20"/>
        <v>23619624</v>
      </c>
      <c r="Q182" s="169">
        <v>0</v>
      </c>
    </row>
    <row r="183" spans="9:17">
      <c r="I183" s="2"/>
      <c r="J183" s="3">
        <f t="shared" si="16"/>
        <v>-6894672</v>
      </c>
      <c r="K183" s="2" t="s">
        <v>4993</v>
      </c>
      <c r="L183" s="71">
        <v>916364876</v>
      </c>
      <c r="M183" s="71">
        <v>564106459</v>
      </c>
      <c r="N183" s="3">
        <f t="shared" si="15"/>
        <v>1480471335</v>
      </c>
      <c r="O183" s="3">
        <f t="shared" si="19"/>
        <v>-3463561</v>
      </c>
      <c r="P183" s="3">
        <f t="shared" si="20"/>
        <v>-10358233</v>
      </c>
      <c r="Q183" s="169">
        <v>0</v>
      </c>
    </row>
    <row r="184" spans="9:17">
      <c r="I184" s="2"/>
      <c r="J184" s="3">
        <f t="shared" si="16"/>
        <v>-11657822</v>
      </c>
      <c r="K184" s="2" t="s">
        <v>4994</v>
      </c>
      <c r="L184" s="71">
        <v>904707054</v>
      </c>
      <c r="M184" s="71">
        <v>557394961</v>
      </c>
      <c r="N184" s="3">
        <f t="shared" si="15"/>
        <v>1462102015</v>
      </c>
      <c r="O184" s="3">
        <f t="shared" si="19"/>
        <v>-6711498</v>
      </c>
      <c r="P184" s="3">
        <f t="shared" si="20"/>
        <v>-18369320</v>
      </c>
      <c r="Q184" s="169">
        <v>0</v>
      </c>
    </row>
    <row r="185" spans="9:17">
      <c r="I185" s="145" t="s">
        <v>4997</v>
      </c>
      <c r="J185" s="144">
        <f>L185-L184-200000</f>
        <v>15983884</v>
      </c>
      <c r="K185" s="145" t="s">
        <v>4995</v>
      </c>
      <c r="L185" s="173">
        <v>920890938</v>
      </c>
      <c r="M185" s="173">
        <v>566042468</v>
      </c>
      <c r="N185" s="144">
        <f t="shared" si="15"/>
        <v>1486933406</v>
      </c>
      <c r="O185" s="144">
        <f t="shared" si="19"/>
        <v>8647507</v>
      </c>
      <c r="P185" s="144">
        <f>N185-N184-200000</f>
        <v>24631391</v>
      </c>
      <c r="Q185" s="169">
        <v>200000</v>
      </c>
    </row>
    <row r="186" spans="9:17">
      <c r="I186" s="145" t="s">
        <v>5004</v>
      </c>
      <c r="J186" s="144">
        <f>L186-L185-30000</f>
        <v>1392982</v>
      </c>
      <c r="K186" s="145" t="s">
        <v>4998</v>
      </c>
      <c r="L186" s="173">
        <v>922313920</v>
      </c>
      <c r="M186" s="173">
        <v>567221668</v>
      </c>
      <c r="N186" s="144">
        <f t="shared" si="15"/>
        <v>1489535588</v>
      </c>
      <c r="O186" s="144">
        <f t="shared" si="19"/>
        <v>1179200</v>
      </c>
      <c r="P186" s="144">
        <f>N186-N185-30000</f>
        <v>2572182</v>
      </c>
      <c r="Q186" s="169">
        <v>30000</v>
      </c>
    </row>
    <row r="187" spans="9:17">
      <c r="I187" s="2" t="s">
        <v>5009</v>
      </c>
      <c r="J187" s="3">
        <f t="shared" si="16"/>
        <v>-1865454</v>
      </c>
      <c r="K187" s="2" t="s">
        <v>5008</v>
      </c>
      <c r="L187" s="71">
        <v>920448466</v>
      </c>
      <c r="M187" s="71">
        <v>581598140</v>
      </c>
      <c r="N187" s="3">
        <f t="shared" si="15"/>
        <v>1502046606</v>
      </c>
      <c r="O187" s="3">
        <f>M187-M186-14340000</f>
        <v>36472</v>
      </c>
      <c r="P187" s="3">
        <f>N187-N186-14340000</f>
        <v>-1828982</v>
      </c>
      <c r="Q187" s="169">
        <v>14340000</v>
      </c>
    </row>
    <row r="188" spans="9:17">
      <c r="I188" s="2"/>
      <c r="J188" s="3">
        <f t="shared" si="16"/>
        <v>12522279</v>
      </c>
      <c r="K188" s="2" t="s">
        <v>5010</v>
      </c>
      <c r="L188" s="71">
        <v>932970745</v>
      </c>
      <c r="M188" s="71">
        <v>587671418</v>
      </c>
      <c r="N188" s="163">
        <f t="shared" si="15"/>
        <v>1520642163</v>
      </c>
      <c r="O188" s="3">
        <f t="shared" si="19"/>
        <v>6073278</v>
      </c>
      <c r="P188" s="3">
        <f t="shared" si="20"/>
        <v>18595557</v>
      </c>
      <c r="Q188" s="169">
        <v>0</v>
      </c>
    </row>
    <row r="189" spans="9:17">
      <c r="I189" s="2"/>
      <c r="J189" s="3">
        <f t="shared" si="16"/>
        <v>18096784</v>
      </c>
      <c r="K189" s="2" t="s">
        <v>4957</v>
      </c>
      <c r="L189" s="71">
        <v>951067529</v>
      </c>
      <c r="M189" s="71">
        <v>596275041</v>
      </c>
      <c r="N189" s="163">
        <f t="shared" si="15"/>
        <v>1547342570</v>
      </c>
      <c r="O189" s="3">
        <f t="shared" si="19"/>
        <v>8603623</v>
      </c>
      <c r="P189" s="3">
        <f t="shared" si="20"/>
        <v>26700407</v>
      </c>
      <c r="Q189" s="169">
        <v>0</v>
      </c>
    </row>
    <row r="190" spans="9:17" ht="30">
      <c r="I190" s="196" t="s">
        <v>5015</v>
      </c>
      <c r="J190" s="144">
        <f>L190-L189+4000000</f>
        <v>-1393565</v>
      </c>
      <c r="K190" s="145" t="s">
        <v>5014</v>
      </c>
      <c r="L190" s="173">
        <v>945673964</v>
      </c>
      <c r="M190" s="173">
        <v>604047583</v>
      </c>
      <c r="N190" s="144">
        <f t="shared" si="15"/>
        <v>1549721547</v>
      </c>
      <c r="O190" s="144">
        <f>M190-M189-10000000</f>
        <v>-2227458</v>
      </c>
      <c r="P190" s="144">
        <f>N190-N189-6000000</f>
        <v>-3621023</v>
      </c>
      <c r="Q190" s="169">
        <v>6000000</v>
      </c>
    </row>
    <row r="191" spans="9:17">
      <c r="I191" s="2"/>
      <c r="J191" s="3">
        <f t="shared" si="16"/>
        <v>3150981</v>
      </c>
      <c r="K191" s="2" t="s">
        <v>5016</v>
      </c>
      <c r="L191" s="71">
        <v>948824945</v>
      </c>
      <c r="M191" s="71">
        <v>605597895</v>
      </c>
      <c r="N191" s="163">
        <f t="shared" si="15"/>
        <v>1554422840</v>
      </c>
      <c r="O191" s="3">
        <f t="shared" si="19"/>
        <v>1550312</v>
      </c>
      <c r="P191" s="3">
        <f t="shared" si="20"/>
        <v>4701293</v>
      </c>
      <c r="Q191" s="169">
        <v>0</v>
      </c>
    </row>
    <row r="192" spans="9:17">
      <c r="I192" s="2"/>
      <c r="J192" s="3">
        <f t="shared" si="16"/>
        <v>-10638388</v>
      </c>
      <c r="K192" s="2" t="s">
        <v>5017</v>
      </c>
      <c r="L192" s="71">
        <v>938186557</v>
      </c>
      <c r="M192" s="71">
        <v>598751030</v>
      </c>
      <c r="N192" s="3">
        <f t="shared" si="15"/>
        <v>1536937587</v>
      </c>
      <c r="O192" s="3">
        <f t="shared" si="19"/>
        <v>-6846865</v>
      </c>
      <c r="P192" s="3">
        <f t="shared" si="20"/>
        <v>-17485253</v>
      </c>
      <c r="Q192" s="169">
        <v>0</v>
      </c>
    </row>
    <row r="193" spans="9:17">
      <c r="I193" s="2"/>
      <c r="J193" s="3">
        <f t="shared" si="16"/>
        <v>-21535837</v>
      </c>
      <c r="K193" s="2" t="s">
        <v>4291</v>
      </c>
      <c r="L193" s="71">
        <v>916650720</v>
      </c>
      <c r="M193" s="71">
        <v>586585010</v>
      </c>
      <c r="N193" s="3">
        <f t="shared" si="15"/>
        <v>1503235730</v>
      </c>
      <c r="O193" s="3">
        <f t="shared" si="19"/>
        <v>-12166020</v>
      </c>
      <c r="P193" s="3">
        <f t="shared" si="20"/>
        <v>-33701857</v>
      </c>
      <c r="Q193" s="169">
        <v>0</v>
      </c>
    </row>
    <row r="194" spans="9:17">
      <c r="I194" s="19"/>
      <c r="J194" s="37">
        <f>L194-L193</f>
        <v>-15375391</v>
      </c>
      <c r="K194" s="19" t="s">
        <v>5019</v>
      </c>
      <c r="L194" s="185">
        <v>901275329</v>
      </c>
      <c r="M194" s="185">
        <v>583098793</v>
      </c>
      <c r="N194" s="37">
        <f>L194+M194</f>
        <v>1484374122</v>
      </c>
      <c r="O194" s="37">
        <f t="shared" si="19"/>
        <v>-3486217</v>
      </c>
      <c r="P194" s="37">
        <f>N194-N193</f>
        <v>-18861608</v>
      </c>
      <c r="Q194" s="169">
        <v>0</v>
      </c>
    </row>
    <row r="195" spans="9:17">
      <c r="I195" s="145" t="s">
        <v>5024</v>
      </c>
      <c r="J195" s="144">
        <f>L195-L194-150000</f>
        <v>17593478</v>
      </c>
      <c r="K195" s="145" t="s">
        <v>5022</v>
      </c>
      <c r="L195" s="173">
        <v>919018807</v>
      </c>
      <c r="M195" s="173">
        <v>589857160</v>
      </c>
      <c r="N195" s="144">
        <f t="shared" si="15"/>
        <v>1508875967</v>
      </c>
      <c r="O195" s="144">
        <f>M195-M194</f>
        <v>6758367</v>
      </c>
      <c r="P195" s="144">
        <f>N195-N194-150000</f>
        <v>24351845</v>
      </c>
      <c r="Q195" s="169">
        <v>150000</v>
      </c>
    </row>
    <row r="196" spans="9:17">
      <c r="I196" s="2"/>
      <c r="J196" s="3">
        <f t="shared" si="16"/>
        <v>32160045</v>
      </c>
      <c r="K196" s="2" t="s">
        <v>5025</v>
      </c>
      <c r="L196" s="71">
        <v>951178852</v>
      </c>
      <c r="M196" s="71">
        <v>603949839</v>
      </c>
      <c r="N196" s="163">
        <f t="shared" si="15"/>
        <v>1555128691</v>
      </c>
      <c r="O196" s="3">
        <f t="shared" si="19"/>
        <v>14092679</v>
      </c>
      <c r="P196" s="3">
        <f t="shared" si="20"/>
        <v>46252724</v>
      </c>
      <c r="Q196" s="169">
        <v>0</v>
      </c>
    </row>
    <row r="197" spans="9:17">
      <c r="I197" s="2"/>
      <c r="J197" s="3">
        <f t="shared" si="16"/>
        <v>9807002</v>
      </c>
      <c r="K197" s="2" t="s">
        <v>5026</v>
      </c>
      <c r="L197" s="71">
        <v>960985854</v>
      </c>
      <c r="M197" s="71">
        <v>620237864</v>
      </c>
      <c r="N197" s="163">
        <f t="shared" si="15"/>
        <v>1581223718</v>
      </c>
      <c r="O197" s="3">
        <f t="shared" si="19"/>
        <v>16288025</v>
      </c>
      <c r="P197" s="3">
        <f t="shared" si="20"/>
        <v>26095027</v>
      </c>
      <c r="Q197" s="169">
        <v>0</v>
      </c>
    </row>
    <row r="198" spans="9:17">
      <c r="I198" s="2"/>
      <c r="J198" s="3">
        <f t="shared" si="16"/>
        <v>19013006</v>
      </c>
      <c r="K198" s="2" t="s">
        <v>5029</v>
      </c>
      <c r="L198" s="71">
        <v>979998860</v>
      </c>
      <c r="M198" s="71">
        <v>637744664</v>
      </c>
      <c r="N198" s="163">
        <f t="shared" si="15"/>
        <v>1617743524</v>
      </c>
      <c r="O198" s="3">
        <f t="shared" si="19"/>
        <v>17506800</v>
      </c>
      <c r="P198" s="3">
        <f t="shared" si="20"/>
        <v>36519806</v>
      </c>
      <c r="Q198" s="169">
        <v>0</v>
      </c>
    </row>
    <row r="199" spans="9:17">
      <c r="I199" s="2"/>
      <c r="J199" s="3">
        <f t="shared" si="16"/>
        <v>12077451</v>
      </c>
      <c r="K199" s="2" t="s">
        <v>5054</v>
      </c>
      <c r="L199" s="71">
        <v>992076311</v>
      </c>
      <c r="M199" s="71">
        <v>638214788</v>
      </c>
      <c r="N199" s="163">
        <f t="shared" si="15"/>
        <v>1630291099</v>
      </c>
      <c r="O199" s="3">
        <f t="shared" si="19"/>
        <v>470124</v>
      </c>
      <c r="P199" s="3">
        <f t="shared" si="20"/>
        <v>12547575</v>
      </c>
      <c r="Q199" s="169">
        <v>0</v>
      </c>
    </row>
    <row r="200" spans="9:17">
      <c r="I200" s="145" t="s">
        <v>5057</v>
      </c>
      <c r="J200" s="144">
        <f>L200-L199-400000</f>
        <v>-7612896</v>
      </c>
      <c r="K200" s="145" t="s">
        <v>5055</v>
      </c>
      <c r="L200" s="173">
        <v>984863415</v>
      </c>
      <c r="M200" s="173">
        <v>632226484</v>
      </c>
      <c r="N200" s="144">
        <f t="shared" si="15"/>
        <v>1617089899</v>
      </c>
      <c r="O200" s="144">
        <f t="shared" si="19"/>
        <v>-5988304</v>
      </c>
      <c r="P200" s="144">
        <f>N200-N199-400000</f>
        <v>-13601200</v>
      </c>
      <c r="Q200" s="169">
        <v>400000</v>
      </c>
    </row>
    <row r="201" spans="9:17">
      <c r="I201" s="161" t="s">
        <v>5060</v>
      </c>
      <c r="J201" s="179">
        <f>L201-L200+100000</f>
        <v>12509920</v>
      </c>
      <c r="K201" s="161" t="s">
        <v>5058</v>
      </c>
      <c r="L201" s="180">
        <v>997273335</v>
      </c>
      <c r="M201" s="180">
        <v>639479822</v>
      </c>
      <c r="N201" s="163">
        <f t="shared" si="15"/>
        <v>1636753157</v>
      </c>
      <c r="O201" s="179">
        <f t="shared" si="19"/>
        <v>7253338</v>
      </c>
      <c r="P201" s="179">
        <f>N201-N200+100000</f>
        <v>19763258</v>
      </c>
      <c r="Q201" s="169">
        <v>-100000</v>
      </c>
    </row>
    <row r="202" spans="9:17">
      <c r="I202" s="145" t="s">
        <v>5063</v>
      </c>
      <c r="J202" s="144">
        <f>L202-L201-10000000</f>
        <v>-2265988</v>
      </c>
      <c r="K202" s="145" t="s">
        <v>5062</v>
      </c>
      <c r="L202" s="173">
        <v>1005007347</v>
      </c>
      <c r="M202" s="173">
        <v>636084938</v>
      </c>
      <c r="N202" s="144">
        <f t="shared" si="15"/>
        <v>1641092285</v>
      </c>
      <c r="O202" s="144">
        <f t="shared" si="19"/>
        <v>-3394884</v>
      </c>
      <c r="P202" s="144">
        <f>N202-N201-10000000</f>
        <v>-5660872</v>
      </c>
      <c r="Q202" s="169">
        <v>10000000</v>
      </c>
    </row>
    <row r="203" spans="9:17">
      <c r="I203" s="161" t="s">
        <v>5068</v>
      </c>
      <c r="J203" s="179">
        <f>L203-L202+400000</f>
        <v>8061336</v>
      </c>
      <c r="K203" s="161" t="s">
        <v>5067</v>
      </c>
      <c r="L203" s="180">
        <v>1012668683</v>
      </c>
      <c r="M203" s="180">
        <v>641491326</v>
      </c>
      <c r="N203" s="163">
        <f t="shared" si="15"/>
        <v>1654160009</v>
      </c>
      <c r="O203" s="179">
        <f t="shared" si="19"/>
        <v>5406388</v>
      </c>
      <c r="P203" s="179">
        <f>N203-N202+400000</f>
        <v>13467724</v>
      </c>
      <c r="Q203" s="169">
        <v>-400000</v>
      </c>
    </row>
    <row r="204" spans="9:17">
      <c r="I204" s="161" t="s">
        <v>5069</v>
      </c>
      <c r="J204" s="179">
        <f t="shared" ref="J204:J237" si="21">L204-L203</f>
        <v>-21392180</v>
      </c>
      <c r="K204" s="161" t="s">
        <v>938</v>
      </c>
      <c r="L204" s="180">
        <v>991276503</v>
      </c>
      <c r="M204" s="180">
        <v>624698003</v>
      </c>
      <c r="N204" s="179">
        <f t="shared" ref="N204:N213" si="22">L204+M204</f>
        <v>1615974506</v>
      </c>
      <c r="O204" s="179">
        <f>M204-M203+3960043</f>
        <v>-12833280</v>
      </c>
      <c r="P204" s="179">
        <f>N204-N203+3960043</f>
        <v>-34225460</v>
      </c>
      <c r="Q204" s="169">
        <v>-3960043</v>
      </c>
    </row>
    <row r="205" spans="9:17">
      <c r="I205" s="2"/>
      <c r="J205" s="3">
        <f t="shared" si="21"/>
        <v>3426714</v>
      </c>
      <c r="K205" s="2" t="s">
        <v>5070</v>
      </c>
      <c r="L205" s="71">
        <v>994703217</v>
      </c>
      <c r="M205" s="71">
        <v>626521958</v>
      </c>
      <c r="N205" s="3">
        <f t="shared" si="22"/>
        <v>1621225175</v>
      </c>
      <c r="O205" s="3">
        <f>M205-M204</f>
        <v>1823955</v>
      </c>
      <c r="P205" s="3">
        <f>N205-N204</f>
        <v>5250669</v>
      </c>
      <c r="Q205" s="169">
        <v>0</v>
      </c>
    </row>
    <row r="206" spans="9:17">
      <c r="I206" s="2"/>
      <c r="J206" s="3">
        <f t="shared" si="21"/>
        <v>-3600500</v>
      </c>
      <c r="K206" s="2" t="s">
        <v>5073</v>
      </c>
      <c r="L206" s="71">
        <v>991102717</v>
      </c>
      <c r="M206" s="71">
        <v>623731041</v>
      </c>
      <c r="N206" s="3">
        <f t="shared" si="22"/>
        <v>1614833758</v>
      </c>
      <c r="O206" s="3">
        <f>M206-M205</f>
        <v>-2790917</v>
      </c>
      <c r="P206" s="3">
        <f>N206-N205</f>
        <v>-6391417</v>
      </c>
      <c r="Q206" s="169">
        <v>0</v>
      </c>
    </row>
    <row r="207" spans="9:17">
      <c r="I207" s="145" t="s">
        <v>5076</v>
      </c>
      <c r="J207" s="144">
        <f>L207-L206-1300000</f>
        <v>-17889835</v>
      </c>
      <c r="K207" s="145" t="s">
        <v>5074</v>
      </c>
      <c r="L207" s="173">
        <v>974512882</v>
      </c>
      <c r="M207" s="173">
        <v>611227725</v>
      </c>
      <c r="N207" s="144">
        <f t="shared" si="22"/>
        <v>1585740607</v>
      </c>
      <c r="O207" s="144">
        <f>M207-M206-230000</f>
        <v>-12733316</v>
      </c>
      <c r="P207" s="144">
        <f>N207-N206-1530000</f>
        <v>-30623151</v>
      </c>
      <c r="Q207" s="169">
        <v>1530000</v>
      </c>
    </row>
    <row r="208" spans="9:17">
      <c r="I208" s="161" t="s">
        <v>5078</v>
      </c>
      <c r="J208" s="179">
        <f>L208-L207-230000</f>
        <v>26666770</v>
      </c>
      <c r="K208" s="161" t="s">
        <v>5077</v>
      </c>
      <c r="L208" s="180">
        <v>1001409652</v>
      </c>
      <c r="M208" s="180">
        <v>627313031</v>
      </c>
      <c r="N208" s="179">
        <f t="shared" si="22"/>
        <v>1628722683</v>
      </c>
      <c r="O208" s="179">
        <f>M208-M207+880000</f>
        <v>16965306</v>
      </c>
      <c r="P208" s="179">
        <f>N208-N207</f>
        <v>42982076</v>
      </c>
      <c r="Q208" s="169">
        <v>-650000</v>
      </c>
    </row>
    <row r="209" spans="9:19">
      <c r="I209" s="145" t="s">
        <v>5079</v>
      </c>
      <c r="J209" s="144">
        <f>L209-L208-880000</f>
        <v>38363123</v>
      </c>
      <c r="K209" s="145" t="s">
        <v>5080</v>
      </c>
      <c r="L209" s="173">
        <v>1040652775</v>
      </c>
      <c r="M209" s="173">
        <v>653526288</v>
      </c>
      <c r="N209" s="163">
        <f t="shared" si="22"/>
        <v>1694179063</v>
      </c>
      <c r="O209" s="144">
        <f>M209-M208</f>
        <v>26213257</v>
      </c>
      <c r="P209" s="144">
        <f>N209-N208-880000</f>
        <v>64576380</v>
      </c>
      <c r="Q209" s="169">
        <v>880000</v>
      </c>
    </row>
    <row r="210" spans="9:19">
      <c r="I210" s="161" t="s">
        <v>5082</v>
      </c>
      <c r="J210" s="179">
        <f>L210-L209+900000</f>
        <v>20298534</v>
      </c>
      <c r="K210" s="161" t="s">
        <v>5081</v>
      </c>
      <c r="L210" s="180">
        <v>1060051309</v>
      </c>
      <c r="M210" s="180">
        <v>663872836</v>
      </c>
      <c r="N210" s="163">
        <f t="shared" si="22"/>
        <v>1723924145</v>
      </c>
      <c r="O210" s="179">
        <f>M210-M209-200000</f>
        <v>10146548</v>
      </c>
      <c r="P210" s="179">
        <f>N210-N209+700000</f>
        <v>30445082</v>
      </c>
      <c r="Q210" s="169">
        <v>-700000</v>
      </c>
    </row>
    <row r="211" spans="9:19">
      <c r="I211" s="145" t="s">
        <v>5083</v>
      </c>
      <c r="J211" s="144">
        <f>L211-L210+3500000</f>
        <v>4965285</v>
      </c>
      <c r="K211" s="145" t="s">
        <v>955</v>
      </c>
      <c r="L211" s="173">
        <v>1061516594</v>
      </c>
      <c r="M211" s="173">
        <v>663100475</v>
      </c>
      <c r="N211" s="144">
        <f t="shared" si="22"/>
        <v>1724617069</v>
      </c>
      <c r="O211" s="144">
        <f>M211-M210-4300000</f>
        <v>-5072361</v>
      </c>
      <c r="P211" s="144">
        <f>N211-N210-800000</f>
        <v>-107076</v>
      </c>
      <c r="Q211" s="169">
        <v>800000</v>
      </c>
    </row>
    <row r="212" spans="9:19">
      <c r="I212" s="2" t="s">
        <v>5084</v>
      </c>
      <c r="J212" s="3">
        <f>L212-L211+1600000</f>
        <v>-56870795</v>
      </c>
      <c r="K212" s="2" t="s">
        <v>4229</v>
      </c>
      <c r="L212" s="71">
        <v>1003045799</v>
      </c>
      <c r="M212" s="71">
        <v>634655771</v>
      </c>
      <c r="N212" s="3">
        <f t="shared" si="22"/>
        <v>1637701570</v>
      </c>
      <c r="O212" s="3">
        <f>M212-M211-1600000</f>
        <v>-30044704</v>
      </c>
      <c r="P212" s="3">
        <f>N212-N211</f>
        <v>-86915499</v>
      </c>
      <c r="Q212" s="169">
        <v>0</v>
      </c>
    </row>
    <row r="213" spans="9:19">
      <c r="I213" s="2" t="s">
        <v>5085</v>
      </c>
      <c r="J213" s="3">
        <f>L213-L212+800000</f>
        <v>15351721</v>
      </c>
      <c r="K213" s="2" t="s">
        <v>5086</v>
      </c>
      <c r="L213" s="71">
        <v>1017597520</v>
      </c>
      <c r="M213" s="71">
        <v>638870084</v>
      </c>
      <c r="N213" s="3">
        <f t="shared" si="22"/>
        <v>1656467604</v>
      </c>
      <c r="O213" s="3">
        <f>M213-M212+10000000</f>
        <v>14214313</v>
      </c>
      <c r="P213" s="3">
        <f>N213-N212+10800000</f>
        <v>29566034</v>
      </c>
      <c r="Q213" s="169">
        <v>-10800000</v>
      </c>
    </row>
    <row r="214" spans="9:19">
      <c r="I214" s="161" t="s">
        <v>5092</v>
      </c>
      <c r="J214" s="179">
        <f t="shared" si="21"/>
        <v>-18127600</v>
      </c>
      <c r="K214" s="161" t="s">
        <v>5088</v>
      </c>
      <c r="L214" s="180">
        <v>999469920</v>
      </c>
      <c r="M214" s="180">
        <v>621895248</v>
      </c>
      <c r="N214" s="179">
        <f t="shared" ref="N214:N239" si="23">L214+M214</f>
        <v>1621365168</v>
      </c>
      <c r="O214" s="179">
        <f>M214-M213-771000</f>
        <v>-17745836</v>
      </c>
      <c r="P214" s="179">
        <f>N214-N213-771000</f>
        <v>-35873436</v>
      </c>
      <c r="Q214" s="169">
        <v>771000</v>
      </c>
    </row>
    <row r="215" spans="9:19">
      <c r="I215" s="2"/>
      <c r="J215" s="3">
        <f t="shared" si="21"/>
        <v>11344596</v>
      </c>
      <c r="K215" s="2" t="s">
        <v>5093</v>
      </c>
      <c r="L215" s="71">
        <v>1010814516</v>
      </c>
      <c r="M215" s="71">
        <v>632227289</v>
      </c>
      <c r="N215" s="3">
        <f t="shared" si="23"/>
        <v>1643041805</v>
      </c>
      <c r="O215" s="3">
        <f t="shared" ref="O215:O239" si="24">M215-M214</f>
        <v>10332041</v>
      </c>
      <c r="P215" s="3">
        <f t="shared" ref="P215:P237" si="25">N215-N214</f>
        <v>21676637</v>
      </c>
      <c r="Q215" s="169">
        <v>0</v>
      </c>
    </row>
    <row r="216" spans="9:19">
      <c r="I216" s="2"/>
      <c r="J216" s="3">
        <f t="shared" si="21"/>
        <v>3409742</v>
      </c>
      <c r="K216" s="2" t="s">
        <v>939</v>
      </c>
      <c r="L216" s="71">
        <v>1014224258</v>
      </c>
      <c r="M216" s="71">
        <v>635501882</v>
      </c>
      <c r="N216" s="3">
        <f t="shared" si="23"/>
        <v>1649726140</v>
      </c>
      <c r="O216" s="3">
        <f t="shared" si="24"/>
        <v>3274593</v>
      </c>
      <c r="P216" s="3">
        <f t="shared" si="25"/>
        <v>6684335</v>
      </c>
      <c r="Q216" s="169">
        <v>0</v>
      </c>
    </row>
    <row r="217" spans="9:19">
      <c r="I217" s="161" t="s">
        <v>5095</v>
      </c>
      <c r="J217" s="179">
        <f>L217-L216-50000</f>
        <v>-3947893</v>
      </c>
      <c r="K217" s="161" t="s">
        <v>5094</v>
      </c>
      <c r="L217" s="180">
        <v>1010326365</v>
      </c>
      <c r="M217" s="180">
        <v>632690003</v>
      </c>
      <c r="N217" s="179">
        <f t="shared" si="23"/>
        <v>1643016368</v>
      </c>
      <c r="O217" s="179">
        <f t="shared" si="24"/>
        <v>-2811879</v>
      </c>
      <c r="P217" s="179">
        <f>N217-N216-50000</f>
        <v>-6759772</v>
      </c>
      <c r="Q217" s="169">
        <v>50000</v>
      </c>
    </row>
    <row r="218" spans="9:19">
      <c r="I218" s="161" t="s">
        <v>5097</v>
      </c>
      <c r="J218" s="179">
        <f>L218-L217-400000</f>
        <v>-7352281</v>
      </c>
      <c r="K218" s="161" t="s">
        <v>5099</v>
      </c>
      <c r="L218" s="180">
        <v>1003374084</v>
      </c>
      <c r="M218" s="180">
        <v>629402570</v>
      </c>
      <c r="N218" s="179">
        <f t="shared" si="23"/>
        <v>1632776654</v>
      </c>
      <c r="O218" s="179">
        <f t="shared" si="24"/>
        <v>-3287433</v>
      </c>
      <c r="P218" s="179">
        <f>N218-N217-400000</f>
        <v>-10639714</v>
      </c>
      <c r="Q218" s="169">
        <v>400000</v>
      </c>
      <c r="S218" t="s">
        <v>25</v>
      </c>
    </row>
    <row r="219" spans="9:19">
      <c r="I219" s="2"/>
      <c r="J219" s="3">
        <f t="shared" si="21"/>
        <v>-3856402</v>
      </c>
      <c r="K219" s="2" t="s">
        <v>5101</v>
      </c>
      <c r="L219" s="71">
        <v>999517682</v>
      </c>
      <c r="M219" s="71">
        <v>627640361</v>
      </c>
      <c r="N219" s="3">
        <f t="shared" si="23"/>
        <v>1627158043</v>
      </c>
      <c r="O219" s="3">
        <f t="shared" si="24"/>
        <v>-1762209</v>
      </c>
      <c r="P219" s="3">
        <f t="shared" si="25"/>
        <v>-5618611</v>
      </c>
      <c r="Q219" s="169">
        <v>0</v>
      </c>
    </row>
    <row r="220" spans="9:19">
      <c r="I220" s="145" t="s">
        <v>5103</v>
      </c>
      <c r="J220" s="144">
        <f t="shared" si="21"/>
        <v>30762624</v>
      </c>
      <c r="K220" s="145" t="s">
        <v>5102</v>
      </c>
      <c r="L220" s="173">
        <v>1030280306</v>
      </c>
      <c r="M220" s="173">
        <v>645538230</v>
      </c>
      <c r="N220" s="144">
        <f t="shared" si="23"/>
        <v>1675818536</v>
      </c>
      <c r="O220" s="144">
        <f>M220-M219+500000</f>
        <v>18397869</v>
      </c>
      <c r="P220" s="144">
        <f>N220-N219+500000</f>
        <v>49160493</v>
      </c>
      <c r="Q220" s="169">
        <v>-500000</v>
      </c>
    </row>
    <row r="221" spans="9:19">
      <c r="I221" s="2"/>
      <c r="J221" s="3">
        <f t="shared" si="21"/>
        <v>-16347657</v>
      </c>
      <c r="K221" s="2" t="s">
        <v>5072</v>
      </c>
      <c r="L221" s="71">
        <v>1013932649</v>
      </c>
      <c r="M221" s="71">
        <v>635152182</v>
      </c>
      <c r="N221" s="3">
        <f t="shared" si="23"/>
        <v>1649084831</v>
      </c>
      <c r="O221" s="3">
        <f t="shared" si="24"/>
        <v>-10386048</v>
      </c>
      <c r="P221" s="3">
        <f t="shared" si="25"/>
        <v>-26733705</v>
      </c>
      <c r="Q221" s="169">
        <v>0</v>
      </c>
    </row>
    <row r="222" spans="9:19">
      <c r="I222" s="200" t="s">
        <v>5107</v>
      </c>
      <c r="J222" s="201">
        <f>L222-L221+7000000</f>
        <v>4431891</v>
      </c>
      <c r="K222" s="200" t="s">
        <v>5108</v>
      </c>
      <c r="L222" s="202">
        <v>1011364540</v>
      </c>
      <c r="M222" s="202">
        <v>634014280</v>
      </c>
      <c r="N222" s="201">
        <f t="shared" si="23"/>
        <v>1645378820</v>
      </c>
      <c r="O222" s="201">
        <f t="shared" si="24"/>
        <v>-1137902</v>
      </c>
      <c r="P222" s="201">
        <f>N222-N221+7000000</f>
        <v>3293989</v>
      </c>
      <c r="Q222" s="169">
        <v>-7000000</v>
      </c>
    </row>
    <row r="223" spans="9:19">
      <c r="I223" s="161" t="s">
        <v>5110</v>
      </c>
      <c r="J223" s="179">
        <f t="shared" si="21"/>
        <v>-12364540</v>
      </c>
      <c r="K223" s="161" t="s">
        <v>5109</v>
      </c>
      <c r="L223" s="180">
        <v>999000000</v>
      </c>
      <c r="M223" s="180">
        <v>628000000</v>
      </c>
      <c r="N223" s="179">
        <f t="shared" si="23"/>
        <v>1627000000</v>
      </c>
      <c r="O223" s="179">
        <f>M223-M222-300000</f>
        <v>-6314280</v>
      </c>
      <c r="P223" s="179">
        <f>N223-N222-300000</f>
        <v>-18678820</v>
      </c>
      <c r="Q223" s="169">
        <v>300000</v>
      </c>
    </row>
    <row r="224" spans="9:19">
      <c r="I224" s="2"/>
      <c r="J224" s="3">
        <f t="shared" si="21"/>
        <v>1428495</v>
      </c>
      <c r="K224" s="2" t="s">
        <v>5111</v>
      </c>
      <c r="L224" s="71">
        <v>1000428495</v>
      </c>
      <c r="M224" s="71">
        <v>629000000</v>
      </c>
      <c r="N224" s="3">
        <f t="shared" si="23"/>
        <v>1629428495</v>
      </c>
      <c r="O224" s="3">
        <f t="shared" si="24"/>
        <v>1000000</v>
      </c>
      <c r="P224" s="3">
        <f t="shared" si="25"/>
        <v>2428495</v>
      </c>
      <c r="Q224" s="169">
        <v>0</v>
      </c>
    </row>
    <row r="225" spans="9:19">
      <c r="I225" s="2"/>
      <c r="J225" s="3">
        <f t="shared" si="21"/>
        <v>211881</v>
      </c>
      <c r="K225" s="2" t="s">
        <v>5112</v>
      </c>
      <c r="L225" s="71">
        <v>1000640376</v>
      </c>
      <c r="M225" s="71">
        <v>627621912</v>
      </c>
      <c r="N225" s="3">
        <f t="shared" si="23"/>
        <v>1628262288</v>
      </c>
      <c r="O225" s="3">
        <f t="shared" si="24"/>
        <v>-1378088</v>
      </c>
      <c r="P225" s="3">
        <f t="shared" si="25"/>
        <v>-1166207</v>
      </c>
      <c r="Q225" s="169">
        <v>0</v>
      </c>
    </row>
    <row r="226" spans="9:19">
      <c r="I226" s="2"/>
      <c r="J226" s="3">
        <f t="shared" si="21"/>
        <v>-5640376</v>
      </c>
      <c r="K226" s="2" t="s">
        <v>5113</v>
      </c>
      <c r="L226" s="71">
        <v>995000000</v>
      </c>
      <c r="M226" s="71">
        <v>625000000</v>
      </c>
      <c r="N226" s="3">
        <f t="shared" si="23"/>
        <v>1620000000</v>
      </c>
      <c r="O226" s="3">
        <f t="shared" si="24"/>
        <v>-2621912</v>
      </c>
      <c r="P226" s="3">
        <f t="shared" si="25"/>
        <v>-8262288</v>
      </c>
      <c r="Q226" s="169">
        <v>0</v>
      </c>
    </row>
    <row r="227" spans="9:19">
      <c r="I227" s="145" t="s">
        <v>5114</v>
      </c>
      <c r="J227" s="144">
        <f t="shared" si="21"/>
        <v>-3000000</v>
      </c>
      <c r="K227" s="145" t="s">
        <v>954</v>
      </c>
      <c r="L227" s="173">
        <v>992000000</v>
      </c>
      <c r="M227" s="173">
        <v>624000000</v>
      </c>
      <c r="N227" s="144">
        <f t="shared" si="23"/>
        <v>1616000000</v>
      </c>
      <c r="O227" s="144">
        <f>M227-M226+50000</f>
        <v>-950000</v>
      </c>
      <c r="P227" s="144">
        <f>N227-N226+50000</f>
        <v>-3950000</v>
      </c>
      <c r="Q227" s="169">
        <v>-50000</v>
      </c>
    </row>
    <row r="228" spans="9:19">
      <c r="I228" s="2"/>
      <c r="J228" s="3">
        <f t="shared" si="21"/>
        <v>-5000000</v>
      </c>
      <c r="K228" s="2" t="s">
        <v>5116</v>
      </c>
      <c r="L228" s="71">
        <v>987000000</v>
      </c>
      <c r="M228" s="71">
        <v>621000000</v>
      </c>
      <c r="N228" s="3">
        <f t="shared" si="23"/>
        <v>1608000000</v>
      </c>
      <c r="O228" s="3">
        <f t="shared" si="24"/>
        <v>-3000000</v>
      </c>
      <c r="P228" s="3">
        <f t="shared" si="25"/>
        <v>-8000000</v>
      </c>
      <c r="Q228" s="169">
        <v>0</v>
      </c>
    </row>
    <row r="229" spans="9:19">
      <c r="I229" s="2"/>
      <c r="J229" s="3">
        <f t="shared" si="21"/>
        <v>-3300000</v>
      </c>
      <c r="K229" s="2" t="s">
        <v>5117</v>
      </c>
      <c r="L229" s="71">
        <v>983700000</v>
      </c>
      <c r="M229" s="71">
        <v>617000000</v>
      </c>
      <c r="N229" s="3">
        <f t="shared" si="23"/>
        <v>1600700000</v>
      </c>
      <c r="O229" s="3">
        <f t="shared" si="24"/>
        <v>-4000000</v>
      </c>
      <c r="P229" s="3">
        <f t="shared" si="25"/>
        <v>-7300000</v>
      </c>
      <c r="Q229" s="169">
        <v>0</v>
      </c>
    </row>
    <row r="230" spans="9:19">
      <c r="I230" s="2"/>
      <c r="J230" s="3">
        <f t="shared" si="21"/>
        <v>-2353171</v>
      </c>
      <c r="K230" s="2" t="s">
        <v>5118</v>
      </c>
      <c r="L230" s="71">
        <v>981346829</v>
      </c>
      <c r="M230" s="71">
        <v>616768631</v>
      </c>
      <c r="N230" s="3">
        <f>L230+M230</f>
        <v>1598115460</v>
      </c>
      <c r="O230" s="3">
        <f t="shared" si="24"/>
        <v>-231369</v>
      </c>
      <c r="P230" s="3">
        <f t="shared" si="25"/>
        <v>-2584540</v>
      </c>
      <c r="Q230" s="169">
        <v>0</v>
      </c>
    </row>
    <row r="231" spans="9:19">
      <c r="I231" s="145" t="s">
        <v>5120</v>
      </c>
      <c r="J231" s="144">
        <f t="shared" si="21"/>
        <v>-16599065</v>
      </c>
      <c r="K231" s="145" t="s">
        <v>4338</v>
      </c>
      <c r="L231" s="173">
        <v>964747764</v>
      </c>
      <c r="M231" s="173">
        <v>608415190</v>
      </c>
      <c r="N231" s="144">
        <f t="shared" si="23"/>
        <v>1573162954</v>
      </c>
      <c r="O231" s="144">
        <f t="shared" si="24"/>
        <v>-8353441</v>
      </c>
      <c r="P231" s="144">
        <f t="shared" si="25"/>
        <v>-24952506</v>
      </c>
      <c r="Q231" s="169">
        <v>-268952</v>
      </c>
      <c r="S231" t="s">
        <v>25</v>
      </c>
    </row>
    <row r="232" spans="9:19">
      <c r="I232" s="2"/>
      <c r="J232" s="3">
        <f t="shared" si="21"/>
        <v>18016509</v>
      </c>
      <c r="K232" s="2" t="s">
        <v>5119</v>
      </c>
      <c r="L232" s="71">
        <v>982764273</v>
      </c>
      <c r="M232" s="71">
        <v>618232370</v>
      </c>
      <c r="N232" s="3">
        <f t="shared" si="23"/>
        <v>1600996643</v>
      </c>
      <c r="O232" s="3">
        <f t="shared" si="24"/>
        <v>9817180</v>
      </c>
      <c r="P232" s="3">
        <f t="shared" si="25"/>
        <v>27833689</v>
      </c>
      <c r="Q232" s="169">
        <v>0</v>
      </c>
    </row>
    <row r="233" spans="9:19">
      <c r="I233" s="145" t="s">
        <v>5122</v>
      </c>
      <c r="J233" s="144">
        <f>L233-L232+990760</f>
        <v>270597</v>
      </c>
      <c r="K233" s="145" t="s">
        <v>5121</v>
      </c>
      <c r="L233" s="173">
        <v>982044110</v>
      </c>
      <c r="M233" s="173">
        <v>618201286</v>
      </c>
      <c r="N233" s="144">
        <f t="shared" si="23"/>
        <v>1600245396</v>
      </c>
      <c r="O233" s="144">
        <f t="shared" si="24"/>
        <v>-31084</v>
      </c>
      <c r="P233" s="144">
        <f>N233-N232+990760</f>
        <v>239513</v>
      </c>
      <c r="Q233" s="169">
        <v>-990760</v>
      </c>
    </row>
    <row r="234" spans="9:19">
      <c r="I234" s="2"/>
      <c r="J234" s="3">
        <f t="shared" si="21"/>
        <v>5089506</v>
      </c>
      <c r="K234" s="2" t="s">
        <v>5123</v>
      </c>
      <c r="L234" s="71">
        <v>987133616</v>
      </c>
      <c r="M234" s="71">
        <v>620624722</v>
      </c>
      <c r="N234" s="3">
        <f t="shared" si="23"/>
        <v>1607758338</v>
      </c>
      <c r="O234" s="3">
        <f t="shared" si="24"/>
        <v>2423436</v>
      </c>
      <c r="P234" s="3">
        <f t="shared" si="25"/>
        <v>7512942</v>
      </c>
      <c r="Q234" s="169">
        <v>0</v>
      </c>
    </row>
    <row r="235" spans="9:19">
      <c r="I235" s="2"/>
      <c r="J235" s="3">
        <f t="shared" si="21"/>
        <v>4922472</v>
      </c>
      <c r="K235" s="2" t="s">
        <v>5124</v>
      </c>
      <c r="L235" s="71">
        <v>992056088</v>
      </c>
      <c r="M235" s="71">
        <v>622612430</v>
      </c>
      <c r="N235" s="3">
        <f t="shared" si="23"/>
        <v>1614668518</v>
      </c>
      <c r="O235" s="3">
        <f t="shared" si="24"/>
        <v>1987708</v>
      </c>
      <c r="P235" s="3">
        <f t="shared" si="25"/>
        <v>6910180</v>
      </c>
      <c r="Q235" s="169">
        <v>0</v>
      </c>
    </row>
    <row r="236" spans="9:19">
      <c r="I236" s="2"/>
      <c r="J236" s="3">
        <f t="shared" si="21"/>
        <v>-8549283</v>
      </c>
      <c r="K236" s="2" t="s">
        <v>5127</v>
      </c>
      <c r="L236" s="71">
        <v>983506805</v>
      </c>
      <c r="M236" s="71">
        <v>617484940</v>
      </c>
      <c r="N236" s="3">
        <f t="shared" si="23"/>
        <v>1600991745</v>
      </c>
      <c r="O236" s="3">
        <f t="shared" si="24"/>
        <v>-5127490</v>
      </c>
      <c r="P236" s="3">
        <f t="shared" si="25"/>
        <v>-13676773</v>
      </c>
      <c r="Q236" s="169">
        <v>0</v>
      </c>
    </row>
    <row r="237" spans="9:19">
      <c r="I237" s="2"/>
      <c r="J237" s="3">
        <f t="shared" si="21"/>
        <v>-9570969</v>
      </c>
      <c r="K237" s="2" t="s">
        <v>5128</v>
      </c>
      <c r="L237" s="71">
        <v>973935836</v>
      </c>
      <c r="M237" s="71">
        <v>612781866</v>
      </c>
      <c r="N237" s="3">
        <f t="shared" si="23"/>
        <v>1586717702</v>
      </c>
      <c r="O237" s="3">
        <f t="shared" si="24"/>
        <v>-4703074</v>
      </c>
      <c r="P237" s="3">
        <f t="shared" si="25"/>
        <v>-14274043</v>
      </c>
      <c r="Q237" s="169">
        <v>0</v>
      </c>
    </row>
    <row r="238" spans="9:19">
      <c r="I238" s="161" t="s">
        <v>5130</v>
      </c>
      <c r="J238" s="179">
        <f>L238-L237-101268</f>
        <v>10034013</v>
      </c>
      <c r="K238" s="161" t="s">
        <v>5129</v>
      </c>
      <c r="L238" s="180">
        <v>984071117</v>
      </c>
      <c r="M238" s="180">
        <v>619527192</v>
      </c>
      <c r="N238" s="179">
        <f t="shared" si="23"/>
        <v>1603598309</v>
      </c>
      <c r="O238" s="179">
        <f t="shared" si="24"/>
        <v>6745326</v>
      </c>
      <c r="P238" s="179">
        <f>N238-N237-101268</f>
        <v>16779339</v>
      </c>
      <c r="Q238" s="169">
        <v>101268</v>
      </c>
    </row>
    <row r="239" spans="9:19">
      <c r="I239" s="203" t="s">
        <v>5131</v>
      </c>
      <c r="J239" s="80">
        <f>L239-L238-101000</f>
        <v>-5512506</v>
      </c>
      <c r="K239" s="203" t="s">
        <v>5132</v>
      </c>
      <c r="L239" s="204">
        <v>978659611</v>
      </c>
      <c r="M239" s="204">
        <v>617623197</v>
      </c>
      <c r="N239" s="80">
        <f t="shared" si="23"/>
        <v>1596282808</v>
      </c>
      <c r="O239" s="80">
        <f t="shared" si="24"/>
        <v>-1903995</v>
      </c>
      <c r="P239" s="80">
        <f>N239-N238-101000</f>
        <v>-7416501</v>
      </c>
      <c r="Q239" s="169">
        <v>101000</v>
      </c>
    </row>
    <row r="240" spans="9:19">
      <c r="I240" s="2"/>
      <c r="J240" s="3">
        <f t="shared" ref="J240:J252" si="26">L240-L239</f>
        <v>-3538077</v>
      </c>
      <c r="K240" s="2" t="s">
        <v>5133</v>
      </c>
      <c r="L240" s="71">
        <v>975121534</v>
      </c>
      <c r="M240" s="71">
        <v>616980448</v>
      </c>
      <c r="N240" s="3">
        <f t="shared" ref="N240:N252" si="27">L240+M240</f>
        <v>1592101982</v>
      </c>
      <c r="O240" s="3">
        <f t="shared" ref="O240:P246" si="28">M240-M239</f>
        <v>-642749</v>
      </c>
      <c r="P240" s="3">
        <f t="shared" si="28"/>
        <v>-4180826</v>
      </c>
      <c r="Q240" s="169">
        <v>0</v>
      </c>
    </row>
    <row r="241" spans="9:19">
      <c r="I241" s="2"/>
      <c r="J241" s="3">
        <f t="shared" si="26"/>
        <v>8213727</v>
      </c>
      <c r="K241" s="2" t="s">
        <v>5135</v>
      </c>
      <c r="L241" s="71">
        <v>983335261</v>
      </c>
      <c r="M241" s="71">
        <v>621742615</v>
      </c>
      <c r="N241" s="3">
        <f t="shared" si="27"/>
        <v>1605077876</v>
      </c>
      <c r="O241" s="3">
        <f t="shared" si="28"/>
        <v>4762167</v>
      </c>
      <c r="P241" s="3">
        <f t="shared" si="28"/>
        <v>12975894</v>
      </c>
      <c r="Q241" s="169">
        <v>0</v>
      </c>
    </row>
    <row r="242" spans="9:19">
      <c r="I242" s="2"/>
      <c r="J242" s="3">
        <f t="shared" si="26"/>
        <v>-102557</v>
      </c>
      <c r="K242" s="2" t="s">
        <v>960</v>
      </c>
      <c r="L242" s="71">
        <v>983232704</v>
      </c>
      <c r="M242" s="71">
        <v>621149949</v>
      </c>
      <c r="N242" s="3">
        <f t="shared" si="27"/>
        <v>1604382653</v>
      </c>
      <c r="O242" s="3">
        <f t="shared" si="28"/>
        <v>-592666</v>
      </c>
      <c r="P242" s="3">
        <f t="shared" si="28"/>
        <v>-695223</v>
      </c>
      <c r="Q242" s="169">
        <v>0</v>
      </c>
    </row>
    <row r="243" spans="9:19">
      <c r="I243" s="2"/>
      <c r="J243" s="3">
        <f t="shared" si="26"/>
        <v>27014</v>
      </c>
      <c r="K243" s="2" t="s">
        <v>5137</v>
      </c>
      <c r="L243" s="71">
        <v>983259718</v>
      </c>
      <c r="M243" s="71">
        <v>621468793</v>
      </c>
      <c r="N243" s="3">
        <f t="shared" si="27"/>
        <v>1604728511</v>
      </c>
      <c r="O243" s="3">
        <f t="shared" si="28"/>
        <v>318844</v>
      </c>
      <c r="P243" s="3">
        <f t="shared" si="28"/>
        <v>345858</v>
      </c>
      <c r="Q243" s="169">
        <v>0</v>
      </c>
    </row>
    <row r="244" spans="9:19">
      <c r="I244" s="2"/>
      <c r="J244" s="3">
        <f t="shared" si="26"/>
        <v>19769</v>
      </c>
      <c r="K244" s="2" t="s">
        <v>5138</v>
      </c>
      <c r="L244" s="71">
        <v>983279487</v>
      </c>
      <c r="M244" s="71">
        <v>620877319</v>
      </c>
      <c r="N244" s="3">
        <f t="shared" si="27"/>
        <v>1604156806</v>
      </c>
      <c r="O244" s="3">
        <f t="shared" si="28"/>
        <v>-591474</v>
      </c>
      <c r="P244" s="3">
        <f t="shared" si="28"/>
        <v>-571705</v>
      </c>
      <c r="Q244" s="169">
        <v>0</v>
      </c>
    </row>
    <row r="245" spans="9:19">
      <c r="I245" s="2"/>
      <c r="J245" s="3">
        <f t="shared" si="26"/>
        <v>15299717</v>
      </c>
      <c r="K245" s="2" t="s">
        <v>5139</v>
      </c>
      <c r="L245" s="71">
        <v>998579204</v>
      </c>
      <c r="M245" s="71">
        <v>629376264</v>
      </c>
      <c r="N245" s="3">
        <f t="shared" si="27"/>
        <v>1627955468</v>
      </c>
      <c r="O245" s="3">
        <f t="shared" si="28"/>
        <v>8498945</v>
      </c>
      <c r="P245" s="3">
        <f t="shared" si="28"/>
        <v>23798662</v>
      </c>
      <c r="Q245" s="169">
        <v>0</v>
      </c>
    </row>
    <row r="246" spans="9:19">
      <c r="I246" s="2"/>
      <c r="J246" s="3">
        <f t="shared" si="26"/>
        <v>8005</v>
      </c>
      <c r="K246" s="2" t="s">
        <v>5142</v>
      </c>
      <c r="L246" s="71">
        <v>998587209</v>
      </c>
      <c r="M246" s="71">
        <v>628989460</v>
      </c>
      <c r="N246" s="3">
        <f t="shared" si="27"/>
        <v>1627576669</v>
      </c>
      <c r="O246" s="3">
        <f t="shared" si="28"/>
        <v>-386804</v>
      </c>
      <c r="P246" s="3">
        <f t="shared" si="28"/>
        <v>-378799</v>
      </c>
      <c r="Q246" s="169">
        <v>0</v>
      </c>
    </row>
    <row r="247" spans="9:19">
      <c r="I247" s="145" t="s">
        <v>5144</v>
      </c>
      <c r="J247" s="144">
        <f t="shared" si="26"/>
        <v>57939414</v>
      </c>
      <c r="K247" s="145" t="s">
        <v>5143</v>
      </c>
      <c r="L247" s="173">
        <v>1056526623</v>
      </c>
      <c r="M247" s="173">
        <v>660656770</v>
      </c>
      <c r="N247" s="163">
        <f t="shared" si="27"/>
        <v>1717183393</v>
      </c>
      <c r="O247" s="144">
        <f>M247-M246+3020635</f>
        <v>34687945</v>
      </c>
      <c r="P247" s="144">
        <f>N247-N246+3020635</f>
        <v>92627359</v>
      </c>
      <c r="Q247" s="169">
        <v>-3020635</v>
      </c>
    </row>
    <row r="248" spans="9:19">
      <c r="I248" s="2"/>
      <c r="J248" s="3">
        <f t="shared" si="26"/>
        <v>8473377</v>
      </c>
      <c r="K248" s="2" t="s">
        <v>5145</v>
      </c>
      <c r="L248" s="71">
        <v>1065000000</v>
      </c>
      <c r="M248" s="71">
        <v>666000000</v>
      </c>
      <c r="N248" s="163">
        <f t="shared" si="27"/>
        <v>1731000000</v>
      </c>
      <c r="O248" s="3">
        <f t="shared" ref="O248:P252" si="29">M248-M247</f>
        <v>5343230</v>
      </c>
      <c r="P248" s="3">
        <f t="shared" si="29"/>
        <v>13816607</v>
      </c>
      <c r="Q248" s="169">
        <v>0</v>
      </c>
    </row>
    <row r="249" spans="9:19">
      <c r="I249" s="2"/>
      <c r="J249" s="3">
        <f t="shared" si="26"/>
        <v>10753986</v>
      </c>
      <c r="K249" s="2" t="s">
        <v>5146</v>
      </c>
      <c r="L249" s="71">
        <v>1075753986</v>
      </c>
      <c r="M249" s="71">
        <v>672067588</v>
      </c>
      <c r="N249" s="163">
        <f t="shared" si="27"/>
        <v>1747821574</v>
      </c>
      <c r="O249" s="3">
        <f t="shared" si="29"/>
        <v>6067588</v>
      </c>
      <c r="P249" s="3">
        <f t="shared" si="29"/>
        <v>16821574</v>
      </c>
      <c r="Q249" s="169">
        <v>0</v>
      </c>
      <c r="S249" t="s">
        <v>25</v>
      </c>
    </row>
    <row r="250" spans="9:19">
      <c r="I250" s="2"/>
      <c r="J250" s="3">
        <f t="shared" si="26"/>
        <v>15270785</v>
      </c>
      <c r="K250" s="2" t="s">
        <v>5147</v>
      </c>
      <c r="L250" s="71">
        <v>1091024771</v>
      </c>
      <c r="M250" s="71">
        <v>681049309</v>
      </c>
      <c r="N250" s="163">
        <f t="shared" si="27"/>
        <v>1772074080</v>
      </c>
      <c r="O250" s="3">
        <f t="shared" si="29"/>
        <v>8981721</v>
      </c>
      <c r="P250" s="3">
        <f t="shared" si="29"/>
        <v>24252506</v>
      </c>
      <c r="Q250" s="169">
        <v>0</v>
      </c>
    </row>
    <row r="251" spans="9:19">
      <c r="I251" s="2"/>
      <c r="J251" s="3">
        <f t="shared" si="26"/>
        <v>1705015</v>
      </c>
      <c r="K251" s="2" t="s">
        <v>5148</v>
      </c>
      <c r="L251" s="71">
        <v>1092729786</v>
      </c>
      <c r="M251" s="71">
        <v>682978385</v>
      </c>
      <c r="N251" s="163">
        <f t="shared" si="27"/>
        <v>1775708171</v>
      </c>
      <c r="O251" s="3">
        <f t="shared" si="29"/>
        <v>1929076</v>
      </c>
      <c r="P251" s="3">
        <f t="shared" si="29"/>
        <v>3634091</v>
      </c>
      <c r="Q251" s="169">
        <v>0</v>
      </c>
    </row>
    <row r="252" spans="9:19">
      <c r="I252" s="2"/>
      <c r="J252" s="3">
        <f t="shared" si="26"/>
        <v>14159318</v>
      </c>
      <c r="K252" s="2" t="s">
        <v>4461</v>
      </c>
      <c r="L252" s="71">
        <v>1106889104</v>
      </c>
      <c r="M252" s="71">
        <v>692405112</v>
      </c>
      <c r="N252" s="163">
        <f t="shared" si="27"/>
        <v>1799294216</v>
      </c>
      <c r="O252" s="3">
        <f t="shared" si="29"/>
        <v>9426727</v>
      </c>
      <c r="P252" s="3">
        <f t="shared" si="29"/>
        <v>23586045</v>
      </c>
      <c r="Q252" s="169">
        <v>0</v>
      </c>
    </row>
    <row r="253" spans="9:19">
      <c r="I253" s="2"/>
      <c r="J253" s="3">
        <f t="shared" ref="J253:J266" si="30">L253-L252</f>
        <v>6991706</v>
      </c>
      <c r="K253" s="2" t="s">
        <v>5149</v>
      </c>
      <c r="L253" s="71">
        <v>1113880810</v>
      </c>
      <c r="M253" s="71">
        <v>698734609</v>
      </c>
      <c r="N253" s="163">
        <f t="shared" ref="N253:N266" si="31">L253+M253</f>
        <v>1812615419</v>
      </c>
      <c r="O253" s="3">
        <f t="shared" ref="O253:O266" si="32">M253-M252</f>
        <v>6329497</v>
      </c>
      <c r="P253" s="3">
        <f t="shared" ref="P253:P266" si="33">N253-N252</f>
        <v>13321203</v>
      </c>
      <c r="Q253" s="169">
        <v>0</v>
      </c>
    </row>
    <row r="254" spans="9:19">
      <c r="I254" s="2"/>
      <c r="J254" s="3">
        <f t="shared" si="30"/>
        <v>35275510</v>
      </c>
      <c r="K254" s="2" t="s">
        <v>5150</v>
      </c>
      <c r="L254" s="71">
        <v>1149156320</v>
      </c>
      <c r="M254" s="71">
        <v>720722148</v>
      </c>
      <c r="N254" s="163">
        <f t="shared" si="31"/>
        <v>1869878468</v>
      </c>
      <c r="O254" s="3">
        <f t="shared" si="32"/>
        <v>21987539</v>
      </c>
      <c r="P254" s="3">
        <f t="shared" si="33"/>
        <v>57263049</v>
      </c>
      <c r="Q254" s="169">
        <v>0</v>
      </c>
    </row>
    <row r="255" spans="9:19">
      <c r="I255" s="2"/>
      <c r="J255" s="3">
        <f t="shared" si="30"/>
        <v>5790605</v>
      </c>
      <c r="K255" s="2" t="s">
        <v>5151</v>
      </c>
      <c r="L255" s="71">
        <v>1154946925</v>
      </c>
      <c r="M255" s="71">
        <v>724493233</v>
      </c>
      <c r="N255" s="163">
        <f t="shared" si="31"/>
        <v>1879440158</v>
      </c>
      <c r="O255" s="3">
        <f t="shared" si="32"/>
        <v>3771085</v>
      </c>
      <c r="P255" s="3">
        <f t="shared" si="33"/>
        <v>9561690</v>
      </c>
      <c r="Q255" s="169">
        <v>0</v>
      </c>
    </row>
    <row r="256" spans="9:19">
      <c r="I256" s="2" t="s">
        <v>5152</v>
      </c>
      <c r="J256" s="3">
        <f t="shared" si="30"/>
        <v>40761008</v>
      </c>
      <c r="K256" s="2" t="s">
        <v>5153</v>
      </c>
      <c r="L256" s="71">
        <v>1195707933</v>
      </c>
      <c r="M256" s="71">
        <v>764225161</v>
      </c>
      <c r="N256" s="163">
        <f t="shared" si="31"/>
        <v>1959933094</v>
      </c>
      <c r="O256" s="3">
        <f>M256-M255-18000000</f>
        <v>21731928</v>
      </c>
      <c r="P256" s="3">
        <f>N256-N255-18000000</f>
        <v>62492936</v>
      </c>
      <c r="Q256" s="169">
        <v>18000000</v>
      </c>
    </row>
    <row r="257" spans="9:19">
      <c r="I257" s="2"/>
      <c r="J257" s="3">
        <f t="shared" si="30"/>
        <v>8689599</v>
      </c>
      <c r="K257" s="2" t="s">
        <v>5155</v>
      </c>
      <c r="L257" s="71">
        <v>1204397532</v>
      </c>
      <c r="M257" s="71">
        <v>768290500</v>
      </c>
      <c r="N257" s="163">
        <f t="shared" si="31"/>
        <v>1972688032</v>
      </c>
      <c r="O257" s="3">
        <f t="shared" si="32"/>
        <v>4065339</v>
      </c>
      <c r="P257" s="3">
        <f t="shared" si="33"/>
        <v>12754938</v>
      </c>
      <c r="Q257" s="169">
        <v>0</v>
      </c>
    </row>
    <row r="258" spans="9:19">
      <c r="I258" s="145" t="s">
        <v>5158</v>
      </c>
      <c r="J258" s="144">
        <f>L258-L257+488602</f>
        <v>5275127</v>
      </c>
      <c r="K258" s="145" t="s">
        <v>5156</v>
      </c>
      <c r="L258" s="173">
        <v>1209184057</v>
      </c>
      <c r="M258" s="173">
        <v>771944660</v>
      </c>
      <c r="N258" s="163">
        <f t="shared" si="31"/>
        <v>1981128717</v>
      </c>
      <c r="O258" s="144">
        <f t="shared" si="32"/>
        <v>3654160</v>
      </c>
      <c r="P258" s="144">
        <f>N258-N257+488602</f>
        <v>8929287</v>
      </c>
      <c r="Q258" s="169">
        <v>-488602</v>
      </c>
    </row>
    <row r="259" spans="9:19">
      <c r="I259" s="2"/>
      <c r="J259" s="3">
        <f t="shared" si="30"/>
        <v>-1457235</v>
      </c>
      <c r="K259" s="2" t="s">
        <v>5157</v>
      </c>
      <c r="L259" s="71">
        <v>1207726822</v>
      </c>
      <c r="M259" s="71">
        <v>769784297</v>
      </c>
      <c r="N259" s="3">
        <f t="shared" si="31"/>
        <v>1977511119</v>
      </c>
      <c r="O259" s="3">
        <f t="shared" si="32"/>
        <v>-2160363</v>
      </c>
      <c r="P259" s="3">
        <f t="shared" si="33"/>
        <v>-3617598</v>
      </c>
      <c r="Q259" s="169">
        <v>0</v>
      </c>
      <c r="S259" t="s">
        <v>25</v>
      </c>
    </row>
    <row r="260" spans="9:19">
      <c r="I260" s="2"/>
      <c r="J260" s="3">
        <f t="shared" si="30"/>
        <v>8817225</v>
      </c>
      <c r="K260" s="2" t="s">
        <v>5160</v>
      </c>
      <c r="L260" s="71">
        <v>1216544047</v>
      </c>
      <c r="M260" s="71">
        <v>776626854</v>
      </c>
      <c r="N260" s="163">
        <f t="shared" si="31"/>
        <v>1993170901</v>
      </c>
      <c r="O260" s="3">
        <f t="shared" si="32"/>
        <v>6842557</v>
      </c>
      <c r="P260" s="3">
        <f t="shared" si="33"/>
        <v>15659782</v>
      </c>
      <c r="Q260" s="169">
        <v>0</v>
      </c>
    </row>
    <row r="261" spans="9:19">
      <c r="I261" s="2"/>
      <c r="J261" s="3">
        <f t="shared" si="30"/>
        <v>-36544047</v>
      </c>
      <c r="K261" s="2" t="s">
        <v>5165</v>
      </c>
      <c r="L261" s="71">
        <v>1180000000</v>
      </c>
      <c r="M261" s="71">
        <v>756000000</v>
      </c>
      <c r="N261" s="3">
        <f t="shared" si="31"/>
        <v>1936000000</v>
      </c>
      <c r="O261" s="3">
        <f t="shared" si="32"/>
        <v>-20626854</v>
      </c>
      <c r="P261" s="3">
        <f t="shared" si="33"/>
        <v>-57170901</v>
      </c>
      <c r="Q261" s="169">
        <v>0</v>
      </c>
    </row>
    <row r="262" spans="9:19">
      <c r="I262" s="2"/>
      <c r="J262" s="3">
        <f t="shared" si="30"/>
        <v>-26566965</v>
      </c>
      <c r="K262" s="2" t="s">
        <v>5171</v>
      </c>
      <c r="L262" s="71">
        <v>1153433035</v>
      </c>
      <c r="M262" s="71">
        <v>736240181</v>
      </c>
      <c r="N262" s="3">
        <f t="shared" si="31"/>
        <v>1889673216</v>
      </c>
      <c r="O262" s="3">
        <f t="shared" si="32"/>
        <v>-19759819</v>
      </c>
      <c r="P262" s="3">
        <f t="shared" si="33"/>
        <v>-46326784</v>
      </c>
      <c r="Q262" s="169">
        <v>0</v>
      </c>
    </row>
    <row r="263" spans="9:19">
      <c r="I263" s="161" t="s">
        <v>5173</v>
      </c>
      <c r="J263" s="179">
        <f>L263-L262-360000</f>
        <v>-33793035</v>
      </c>
      <c r="K263" s="161" t="s">
        <v>5172</v>
      </c>
      <c r="L263" s="180">
        <v>1120000000</v>
      </c>
      <c r="M263" s="180">
        <v>718000000</v>
      </c>
      <c r="N263" s="179">
        <f t="shared" si="31"/>
        <v>1838000000</v>
      </c>
      <c r="O263" s="179">
        <f t="shared" si="32"/>
        <v>-18240181</v>
      </c>
      <c r="P263" s="179">
        <f>N263-N262-360000</f>
        <v>-52033216</v>
      </c>
      <c r="Q263" s="169">
        <v>360000</v>
      </c>
      <c r="S263" t="s">
        <v>25</v>
      </c>
    </row>
    <row r="264" spans="9:19">
      <c r="I264" s="2"/>
      <c r="J264" s="3">
        <f t="shared" si="30"/>
        <v>-23994521</v>
      </c>
      <c r="K264" s="2" t="s">
        <v>5174</v>
      </c>
      <c r="L264" s="71">
        <v>1096005479</v>
      </c>
      <c r="M264" s="71">
        <v>699253755</v>
      </c>
      <c r="N264" s="3">
        <f t="shared" si="31"/>
        <v>1795259234</v>
      </c>
      <c r="O264" s="3">
        <f t="shared" si="32"/>
        <v>-18746245</v>
      </c>
      <c r="P264" s="3">
        <f t="shared" si="33"/>
        <v>-42740766</v>
      </c>
      <c r="Q264" s="169">
        <v>0</v>
      </c>
    </row>
    <row r="265" spans="9:19">
      <c r="I265" s="2"/>
      <c r="J265" s="3">
        <f t="shared" si="30"/>
        <v>20648865</v>
      </c>
      <c r="K265" s="2" t="s">
        <v>5177</v>
      </c>
      <c r="L265" s="71">
        <v>1116654344</v>
      </c>
      <c r="M265" s="71">
        <v>712202921</v>
      </c>
      <c r="N265" s="3">
        <f t="shared" si="31"/>
        <v>1828857265</v>
      </c>
      <c r="O265" s="3">
        <f t="shared" si="32"/>
        <v>12949166</v>
      </c>
      <c r="P265" s="3">
        <f t="shared" si="33"/>
        <v>33598031</v>
      </c>
      <c r="Q265" s="169">
        <v>0</v>
      </c>
    </row>
    <row r="266" spans="9:19">
      <c r="I266" s="2"/>
      <c r="J266" s="3">
        <f t="shared" si="30"/>
        <v>54939743</v>
      </c>
      <c r="K266" s="2" t="s">
        <v>5178</v>
      </c>
      <c r="L266" s="71">
        <v>1171594087</v>
      </c>
      <c r="M266" s="71">
        <v>747327095</v>
      </c>
      <c r="N266" s="3">
        <f t="shared" si="31"/>
        <v>1918921182</v>
      </c>
      <c r="O266" s="3">
        <f t="shared" si="32"/>
        <v>35124174</v>
      </c>
      <c r="P266" s="3">
        <f t="shared" si="33"/>
        <v>90063917</v>
      </c>
      <c r="Q266" s="169">
        <v>0</v>
      </c>
      <c r="S266" t="s">
        <v>25</v>
      </c>
    </row>
    <row r="267" spans="9:19">
      <c r="I267" s="2"/>
      <c r="J267" s="3">
        <f t="shared" ref="J267:J281" si="34">L267-L266</f>
        <v>52738541</v>
      </c>
      <c r="K267" s="2" t="s">
        <v>5179</v>
      </c>
      <c r="L267" s="71">
        <v>1224332628</v>
      </c>
      <c r="M267" s="71">
        <v>781297921</v>
      </c>
      <c r="N267" s="163">
        <f t="shared" ref="N267:N281" si="35">L267+M267</f>
        <v>2005630549</v>
      </c>
      <c r="O267" s="3">
        <f t="shared" ref="O267:O281" si="36">M267-M266</f>
        <v>33970826</v>
      </c>
      <c r="P267" s="3">
        <f>N267-N266</f>
        <v>86709367</v>
      </c>
      <c r="Q267" s="169">
        <v>0</v>
      </c>
    </row>
    <row r="268" spans="9:19">
      <c r="I268" s="145" t="s">
        <v>5182</v>
      </c>
      <c r="J268" s="144">
        <f>L268-L267+3600000</f>
        <v>6784521</v>
      </c>
      <c r="K268" s="145" t="s">
        <v>5180</v>
      </c>
      <c r="L268" s="173">
        <v>1227517149</v>
      </c>
      <c r="M268" s="173">
        <v>781946723</v>
      </c>
      <c r="N268" s="163">
        <f>L268+M268</f>
        <v>2009463872</v>
      </c>
      <c r="O268" s="144">
        <f t="shared" si="36"/>
        <v>648802</v>
      </c>
      <c r="P268" s="144">
        <f>N268-N267+3600000</f>
        <v>7433323</v>
      </c>
      <c r="Q268" s="169">
        <v>-3600000</v>
      </c>
    </row>
    <row r="269" spans="9:19">
      <c r="I269" s="161" t="s">
        <v>5184</v>
      </c>
      <c r="J269" s="179">
        <f t="shared" si="34"/>
        <v>8668842</v>
      </c>
      <c r="K269" s="161" t="s">
        <v>5181</v>
      </c>
      <c r="L269" s="180">
        <v>1236185991</v>
      </c>
      <c r="M269" s="180">
        <v>790935464</v>
      </c>
      <c r="N269" s="163">
        <f t="shared" si="35"/>
        <v>2027121455</v>
      </c>
      <c r="O269" s="179">
        <f>M269-M268-2000000</f>
        <v>6988741</v>
      </c>
      <c r="P269" s="179">
        <f>N269-N268-2000000</f>
        <v>15657583</v>
      </c>
      <c r="Q269" s="169">
        <v>2000000</v>
      </c>
    </row>
    <row r="270" spans="9:19">
      <c r="I270" s="2"/>
      <c r="J270" s="3">
        <f t="shared" si="34"/>
        <v>59400386</v>
      </c>
      <c r="K270" s="2" t="s">
        <v>5186</v>
      </c>
      <c r="L270" s="71">
        <v>1295586377</v>
      </c>
      <c r="M270" s="71">
        <v>830602955</v>
      </c>
      <c r="N270" s="163">
        <f t="shared" si="35"/>
        <v>2126189332</v>
      </c>
      <c r="O270" s="3">
        <f t="shared" si="36"/>
        <v>39667491</v>
      </c>
      <c r="P270" s="3">
        <f>N270-N269</f>
        <v>99067877</v>
      </c>
      <c r="Q270" s="169">
        <v>0</v>
      </c>
    </row>
    <row r="271" spans="9:19">
      <c r="I271" s="145" t="s">
        <v>5188</v>
      </c>
      <c r="J271" s="144">
        <f>L271-L270+1000000</f>
        <v>21062163</v>
      </c>
      <c r="K271" s="145" t="s">
        <v>5187</v>
      </c>
      <c r="L271" s="173">
        <v>1315648540</v>
      </c>
      <c r="M271" s="173">
        <v>837889920</v>
      </c>
      <c r="N271" s="163">
        <f t="shared" si="35"/>
        <v>2153538460</v>
      </c>
      <c r="O271" s="144">
        <f t="shared" si="36"/>
        <v>7286965</v>
      </c>
      <c r="P271" s="144">
        <f>N271-N270+1000000</f>
        <v>28349128</v>
      </c>
      <c r="Q271" s="169">
        <v>-1000000</v>
      </c>
    </row>
    <row r="272" spans="9:19">
      <c r="I272" s="2"/>
      <c r="J272" s="3">
        <f t="shared" si="34"/>
        <v>-25648540</v>
      </c>
      <c r="K272" s="2" t="s">
        <v>5190</v>
      </c>
      <c r="L272" s="71">
        <v>1290000000</v>
      </c>
      <c r="M272" s="71">
        <v>830000000</v>
      </c>
      <c r="N272" s="3">
        <f t="shared" si="35"/>
        <v>2120000000</v>
      </c>
      <c r="O272" s="3">
        <f t="shared" si="36"/>
        <v>-7889920</v>
      </c>
      <c r="P272" s="3">
        <f>N272-N271</f>
        <v>-33538460</v>
      </c>
    </row>
    <row r="273" spans="4:23">
      <c r="I273" s="2"/>
      <c r="J273" s="3">
        <f t="shared" si="34"/>
        <v>5173477</v>
      </c>
      <c r="K273" s="2" t="s">
        <v>5193</v>
      </c>
      <c r="L273" s="71">
        <v>1295173477</v>
      </c>
      <c r="M273" s="71">
        <v>832119130</v>
      </c>
      <c r="N273" s="3">
        <f t="shared" si="35"/>
        <v>2127292607</v>
      </c>
      <c r="O273" s="3">
        <f t="shared" si="36"/>
        <v>2119130</v>
      </c>
      <c r="P273" s="3">
        <f>N273-N272</f>
        <v>7292607</v>
      </c>
    </row>
    <row r="274" spans="4:23">
      <c r="D274" t="s">
        <v>25</v>
      </c>
      <c r="I274" s="161" t="s">
        <v>5173</v>
      </c>
      <c r="J274" s="179">
        <f>L274-L273-360000</f>
        <v>-3379409</v>
      </c>
      <c r="K274" s="161" t="s">
        <v>5194</v>
      </c>
      <c r="L274" s="180">
        <v>1292154068</v>
      </c>
      <c r="M274" s="180">
        <v>833033746</v>
      </c>
      <c r="N274" s="179">
        <f t="shared" si="35"/>
        <v>2125187814</v>
      </c>
      <c r="O274" s="179">
        <f t="shared" si="36"/>
        <v>914616</v>
      </c>
      <c r="P274" s="179">
        <f>N274-N273-360000</f>
        <v>-2464793</v>
      </c>
      <c r="Q274" s="169">
        <v>360000</v>
      </c>
    </row>
    <row r="275" spans="4:23">
      <c r="I275" s="161" t="s">
        <v>5198</v>
      </c>
      <c r="J275" s="179">
        <f>L275-L274-2000000</f>
        <v>-22946012</v>
      </c>
      <c r="K275" s="161" t="s">
        <v>5197</v>
      </c>
      <c r="L275" s="180">
        <v>1271208056</v>
      </c>
      <c r="M275" s="180">
        <v>825161254</v>
      </c>
      <c r="N275" s="179">
        <f t="shared" si="35"/>
        <v>2096369310</v>
      </c>
      <c r="O275" s="179">
        <f t="shared" si="36"/>
        <v>-7872492</v>
      </c>
      <c r="P275" s="179">
        <f>N275-N274-2000000</f>
        <v>-30818504</v>
      </c>
      <c r="Q275" s="169">
        <v>2000000</v>
      </c>
    </row>
    <row r="276" spans="4:23">
      <c r="I276" s="161" t="s">
        <v>5200</v>
      </c>
      <c r="J276" s="179">
        <f>L276-L275-15300000</f>
        <v>32802006</v>
      </c>
      <c r="K276" s="161" t="s">
        <v>5199</v>
      </c>
      <c r="L276" s="180">
        <v>1319310062</v>
      </c>
      <c r="M276" s="180">
        <v>846171439</v>
      </c>
      <c r="N276" s="179">
        <f t="shared" si="35"/>
        <v>2165481501</v>
      </c>
      <c r="O276" s="179">
        <f>M276-M275-200000</f>
        <v>20810185</v>
      </c>
      <c r="P276" s="179">
        <f>N276-N275-15500000</f>
        <v>53612191</v>
      </c>
      <c r="Q276" s="169">
        <v>15500000</v>
      </c>
    </row>
    <row r="277" spans="4:23">
      <c r="I277" s="161" t="s">
        <v>5203</v>
      </c>
      <c r="J277" s="179">
        <f>L277-L276-3000000</f>
        <v>12429762</v>
      </c>
      <c r="K277" s="161" t="s">
        <v>5202</v>
      </c>
      <c r="L277" s="180">
        <v>1334739824</v>
      </c>
      <c r="M277" s="180">
        <v>848815156</v>
      </c>
      <c r="N277" s="163">
        <f t="shared" si="35"/>
        <v>2183554980</v>
      </c>
      <c r="O277" s="179">
        <f>M277-M276-50000</f>
        <v>2593717</v>
      </c>
      <c r="P277" s="179">
        <f>N277-N276-3050000</f>
        <v>15023479</v>
      </c>
      <c r="Q277" s="169">
        <v>3050000</v>
      </c>
    </row>
    <row r="278" spans="4:23">
      <c r="I278" s="161" t="s">
        <v>5205</v>
      </c>
      <c r="J278" s="179">
        <f>L278-L277-1680000</f>
        <v>-15903030</v>
      </c>
      <c r="K278" s="161" t="s">
        <v>5204</v>
      </c>
      <c r="L278" s="180">
        <v>1320516794</v>
      </c>
      <c r="M278" s="180">
        <v>834312363</v>
      </c>
      <c r="N278" s="179">
        <f t="shared" si="35"/>
        <v>2154829157</v>
      </c>
      <c r="O278" s="179">
        <f>M278-M277-100000</f>
        <v>-14602793</v>
      </c>
      <c r="P278" s="179">
        <f>N278-N277-1600000</f>
        <v>-30325823</v>
      </c>
      <c r="Q278" s="169">
        <v>1780000</v>
      </c>
      <c r="S278" t="s">
        <v>25</v>
      </c>
    </row>
    <row r="279" spans="4:23">
      <c r="I279" s="161" t="s">
        <v>5207</v>
      </c>
      <c r="J279" s="179">
        <f>L279-L278-30000000</f>
        <v>3387493</v>
      </c>
      <c r="K279" s="161" t="s">
        <v>5206</v>
      </c>
      <c r="L279" s="180">
        <v>1353904287</v>
      </c>
      <c r="M279" s="180">
        <v>836074409</v>
      </c>
      <c r="N279" s="179">
        <f t="shared" si="35"/>
        <v>2189978696</v>
      </c>
      <c r="O279" s="179">
        <f t="shared" si="36"/>
        <v>1762046</v>
      </c>
      <c r="P279" s="179">
        <f>N279-N278-30000000</f>
        <v>5149539</v>
      </c>
      <c r="Q279" s="169">
        <v>30000000</v>
      </c>
      <c r="S279" t="s">
        <v>25</v>
      </c>
    </row>
    <row r="280" spans="4:23">
      <c r="I280" s="2"/>
      <c r="J280" s="3">
        <f t="shared" si="34"/>
        <v>21498999</v>
      </c>
      <c r="K280" s="2" t="s">
        <v>961</v>
      </c>
      <c r="L280" s="71">
        <v>1375403286</v>
      </c>
      <c r="M280" s="71">
        <v>844014315</v>
      </c>
      <c r="N280" s="163">
        <f t="shared" si="35"/>
        <v>2219417601</v>
      </c>
      <c r="O280" s="3">
        <f t="shared" si="36"/>
        <v>7939906</v>
      </c>
      <c r="P280" s="3">
        <f>N280-N279</f>
        <v>29438905</v>
      </c>
      <c r="Q280" s="169">
        <v>0</v>
      </c>
    </row>
    <row r="281" spans="4:23">
      <c r="G281" s="61" t="s">
        <v>25</v>
      </c>
      <c r="I281" s="2"/>
      <c r="J281" s="3">
        <f t="shared" si="34"/>
        <v>4332272</v>
      </c>
      <c r="K281" s="2" t="s">
        <v>5212</v>
      </c>
      <c r="L281" s="71">
        <v>1379735558</v>
      </c>
      <c r="M281" s="71">
        <v>848557580</v>
      </c>
      <c r="N281" s="163">
        <f t="shared" si="35"/>
        <v>2228293138</v>
      </c>
      <c r="O281" s="3">
        <f t="shared" si="36"/>
        <v>4543265</v>
      </c>
      <c r="P281" s="3">
        <f>N281-N280</f>
        <v>8875537</v>
      </c>
      <c r="Q281" s="169">
        <v>0</v>
      </c>
    </row>
    <row r="282" spans="4:23">
      <c r="I282" s="2"/>
      <c r="J282" s="3">
        <f t="shared" ref="J282:J415" si="37">L282-L281</f>
        <v>29783485</v>
      </c>
      <c r="K282" s="2" t="s">
        <v>5213</v>
      </c>
      <c r="L282" s="71">
        <v>1409519043</v>
      </c>
      <c r="M282" s="71">
        <v>865379346</v>
      </c>
      <c r="N282" s="163">
        <f t="shared" ref="N282:N309" si="38">L282+M282</f>
        <v>2274898389</v>
      </c>
      <c r="O282" s="3">
        <f t="shared" ref="O282:O309" si="39">M282-M281</f>
        <v>16821766</v>
      </c>
      <c r="P282" s="3">
        <f t="shared" ref="P282:P309" si="40">N282-N281</f>
        <v>46605251</v>
      </c>
      <c r="Q282" s="169">
        <v>0</v>
      </c>
    </row>
    <row r="283" spans="4:23">
      <c r="I283" s="2"/>
      <c r="J283" s="3">
        <f t="shared" si="37"/>
        <v>46239300</v>
      </c>
      <c r="K283" s="2" t="s">
        <v>5216</v>
      </c>
      <c r="L283" s="71">
        <v>1455758343</v>
      </c>
      <c r="M283" s="71">
        <v>892393185</v>
      </c>
      <c r="N283" s="163">
        <f t="shared" si="38"/>
        <v>2348151528</v>
      </c>
      <c r="O283" s="3">
        <f t="shared" si="39"/>
        <v>27013839</v>
      </c>
      <c r="P283" s="3">
        <f t="shared" si="40"/>
        <v>73253139</v>
      </c>
      <c r="Q283" s="169">
        <v>0</v>
      </c>
      <c r="W283" t="s">
        <v>25</v>
      </c>
    </row>
    <row r="284" spans="4:23">
      <c r="I284" s="2"/>
      <c r="J284" s="3">
        <f t="shared" si="37"/>
        <v>17681036</v>
      </c>
      <c r="K284" s="2" t="s">
        <v>5219</v>
      </c>
      <c r="L284" s="71">
        <v>1473439379</v>
      </c>
      <c r="M284" s="71">
        <v>906774030</v>
      </c>
      <c r="N284" s="163">
        <f t="shared" si="38"/>
        <v>2380213409</v>
      </c>
      <c r="O284" s="3">
        <f t="shared" si="39"/>
        <v>14380845</v>
      </c>
      <c r="P284" s="3">
        <f t="shared" si="40"/>
        <v>32061881</v>
      </c>
      <c r="Q284" s="169">
        <v>0</v>
      </c>
    </row>
    <row r="285" spans="4:23">
      <c r="I285" s="145" t="s">
        <v>5222</v>
      </c>
      <c r="J285" s="144">
        <f t="shared" si="37"/>
        <v>4331396</v>
      </c>
      <c r="K285" s="145" t="s">
        <v>5220</v>
      </c>
      <c r="L285" s="173">
        <v>1477770775</v>
      </c>
      <c r="M285" s="173">
        <v>915475851</v>
      </c>
      <c r="N285" s="163">
        <f t="shared" si="38"/>
        <v>2393246626</v>
      </c>
      <c r="O285" s="144">
        <f>M285-M284+550000</f>
        <v>9251821</v>
      </c>
      <c r="P285" s="144">
        <f>N285-N284+550000</f>
        <v>13583217</v>
      </c>
      <c r="Q285" s="169">
        <v>-550000</v>
      </c>
    </row>
    <row r="286" spans="4:23">
      <c r="I286" s="145" t="s">
        <v>5226</v>
      </c>
      <c r="J286" s="144">
        <f t="shared" si="37"/>
        <v>39081054</v>
      </c>
      <c r="K286" s="145" t="s">
        <v>5224</v>
      </c>
      <c r="L286" s="173">
        <v>1516851829</v>
      </c>
      <c r="M286" s="173">
        <v>905126712</v>
      </c>
      <c r="N286" s="163">
        <f t="shared" si="38"/>
        <v>2421978541</v>
      </c>
      <c r="O286" s="144">
        <f>M286-M285+29686490</f>
        <v>19337351</v>
      </c>
      <c r="P286" s="144">
        <f>N286-N285+29686490</f>
        <v>58418405</v>
      </c>
      <c r="Q286" s="169">
        <v>-29686490</v>
      </c>
    </row>
    <row r="287" spans="4:23">
      <c r="I287" s="2"/>
      <c r="J287" s="3">
        <f t="shared" si="37"/>
        <v>43584276</v>
      </c>
      <c r="K287" s="2" t="s">
        <v>5225</v>
      </c>
      <c r="L287" s="71">
        <v>1560436105</v>
      </c>
      <c r="M287" s="71">
        <v>940791901</v>
      </c>
      <c r="N287" s="163">
        <f t="shared" si="38"/>
        <v>2501228006</v>
      </c>
      <c r="O287" s="3">
        <f t="shared" si="39"/>
        <v>35665189</v>
      </c>
      <c r="P287" s="3">
        <f t="shared" si="40"/>
        <v>79249465</v>
      </c>
      <c r="Q287" s="169">
        <v>0</v>
      </c>
    </row>
    <row r="288" spans="4:23">
      <c r="I288" s="145" t="s">
        <v>5234</v>
      </c>
      <c r="J288" s="144">
        <f t="shared" si="37"/>
        <v>83455296</v>
      </c>
      <c r="K288" s="145" t="s">
        <v>5233</v>
      </c>
      <c r="L288" s="173">
        <v>1643891401</v>
      </c>
      <c r="M288" s="173">
        <v>982283411</v>
      </c>
      <c r="N288" s="163">
        <f t="shared" si="38"/>
        <v>2626174812</v>
      </c>
      <c r="O288" s="144">
        <f>M288-M287+9000000</f>
        <v>50491510</v>
      </c>
      <c r="P288" s="144">
        <f>N288-N287+9000000</f>
        <v>133946806</v>
      </c>
      <c r="Q288" s="169">
        <v>-9000000</v>
      </c>
      <c r="V288" t="s">
        <v>25</v>
      </c>
    </row>
    <row r="289" spans="9:21">
      <c r="I289" s="2"/>
      <c r="J289" s="3">
        <f t="shared" si="37"/>
        <v>-564040</v>
      </c>
      <c r="K289" s="2" t="s">
        <v>5236</v>
      </c>
      <c r="L289" s="71">
        <v>1643327361</v>
      </c>
      <c r="M289" s="71">
        <v>994154099</v>
      </c>
      <c r="N289" s="163">
        <f t="shared" si="38"/>
        <v>2637481460</v>
      </c>
      <c r="O289" s="3">
        <f t="shared" si="39"/>
        <v>11870688</v>
      </c>
      <c r="P289" s="3">
        <f t="shared" si="40"/>
        <v>11306648</v>
      </c>
      <c r="Q289" s="169">
        <v>0</v>
      </c>
    </row>
    <row r="290" spans="9:21">
      <c r="I290" s="2"/>
      <c r="J290" s="3">
        <f t="shared" si="37"/>
        <v>36636239</v>
      </c>
      <c r="K290" s="2" t="s">
        <v>5240</v>
      </c>
      <c r="L290" s="71">
        <v>1679963600</v>
      </c>
      <c r="M290" s="71">
        <v>1007339950</v>
      </c>
      <c r="N290" s="163">
        <f t="shared" si="38"/>
        <v>2687303550</v>
      </c>
      <c r="O290" s="3">
        <f>M290-M289</f>
        <v>13185851</v>
      </c>
      <c r="P290" s="3">
        <f t="shared" si="40"/>
        <v>49822090</v>
      </c>
      <c r="Q290" s="169">
        <v>0</v>
      </c>
    </row>
    <row r="291" spans="9:21">
      <c r="I291" s="2"/>
      <c r="J291" s="3">
        <f t="shared" si="37"/>
        <v>53600320</v>
      </c>
      <c r="K291" s="2" t="s">
        <v>5245</v>
      </c>
      <c r="L291" s="71">
        <v>1733563920</v>
      </c>
      <c r="M291" s="71">
        <v>1028479912</v>
      </c>
      <c r="N291" s="163">
        <f t="shared" si="38"/>
        <v>2762043832</v>
      </c>
      <c r="O291" s="3">
        <f t="shared" si="39"/>
        <v>21139962</v>
      </c>
      <c r="P291" s="3">
        <f t="shared" si="40"/>
        <v>74740282</v>
      </c>
      <c r="Q291" s="169">
        <v>0</v>
      </c>
    </row>
    <row r="292" spans="9:21">
      <c r="I292" s="2"/>
      <c r="J292" s="3">
        <f t="shared" si="37"/>
        <v>16436080</v>
      </c>
      <c r="K292" s="2" t="s">
        <v>5254</v>
      </c>
      <c r="L292" s="71">
        <v>1750000000</v>
      </c>
      <c r="M292" s="71">
        <v>1035000000</v>
      </c>
      <c r="N292" s="163">
        <f t="shared" si="38"/>
        <v>2785000000</v>
      </c>
      <c r="O292" s="3">
        <f t="shared" si="39"/>
        <v>6520088</v>
      </c>
      <c r="P292" s="3">
        <f t="shared" si="40"/>
        <v>22956168</v>
      </c>
      <c r="Q292" s="169">
        <v>0</v>
      </c>
      <c r="U292" t="s">
        <v>25</v>
      </c>
    </row>
    <row r="293" spans="9:21">
      <c r="I293" s="2"/>
      <c r="J293" s="3">
        <f t="shared" si="37"/>
        <v>10000000</v>
      </c>
      <c r="K293" s="2" t="s">
        <v>5277</v>
      </c>
      <c r="L293" s="71">
        <v>1760000000</v>
      </c>
      <c r="M293" s="71">
        <v>1045000000</v>
      </c>
      <c r="N293" s="163">
        <f t="shared" si="38"/>
        <v>2805000000</v>
      </c>
      <c r="O293" s="3">
        <f t="shared" si="39"/>
        <v>10000000</v>
      </c>
      <c r="P293" s="3">
        <f t="shared" si="40"/>
        <v>20000000</v>
      </c>
      <c r="Q293" s="169">
        <v>0</v>
      </c>
    </row>
    <row r="294" spans="9:21">
      <c r="I294" s="2"/>
      <c r="J294" s="3">
        <f t="shared" si="37"/>
        <v>15456973</v>
      </c>
      <c r="K294" s="2" t="s">
        <v>5276</v>
      </c>
      <c r="L294" s="71">
        <v>1775456973</v>
      </c>
      <c r="M294" s="71">
        <v>1056375788</v>
      </c>
      <c r="N294" s="163">
        <f t="shared" si="38"/>
        <v>2831832761</v>
      </c>
      <c r="O294" s="3">
        <f t="shared" si="39"/>
        <v>11375788</v>
      </c>
      <c r="P294" s="3">
        <f t="shared" si="40"/>
        <v>26832761</v>
      </c>
      <c r="Q294" s="169">
        <v>0</v>
      </c>
    </row>
    <row r="295" spans="9:21">
      <c r="I295" s="2" t="s">
        <v>5282</v>
      </c>
      <c r="J295" s="3">
        <f>L295-L294-3000000</f>
        <v>19422686</v>
      </c>
      <c r="K295" s="2" t="s">
        <v>5280</v>
      </c>
      <c r="L295" s="71">
        <v>1797879659</v>
      </c>
      <c r="M295" s="71">
        <v>1054864328</v>
      </c>
      <c r="N295" s="163">
        <f t="shared" si="38"/>
        <v>2852743987</v>
      </c>
      <c r="O295" s="3">
        <f t="shared" si="39"/>
        <v>-1511460</v>
      </c>
      <c r="P295" s="3">
        <f>N295-N294-3000000</f>
        <v>17911226</v>
      </c>
      <c r="Q295" s="169">
        <v>3000000</v>
      </c>
    </row>
    <row r="296" spans="9:21">
      <c r="I296" s="161" t="s">
        <v>5283</v>
      </c>
      <c r="J296" s="179">
        <f>L296-L295-7000000</f>
        <v>-47124934</v>
      </c>
      <c r="K296" s="161" t="s">
        <v>5281</v>
      </c>
      <c r="L296" s="180">
        <v>1757754725</v>
      </c>
      <c r="M296" s="180">
        <v>1037677810</v>
      </c>
      <c r="N296" s="179">
        <f t="shared" si="38"/>
        <v>2795432535</v>
      </c>
      <c r="O296" s="179">
        <f>M296-M295+4190000</f>
        <v>-12996518</v>
      </c>
      <c r="P296" s="179">
        <f>N296-N295+4190000-7000000</f>
        <v>-60121452</v>
      </c>
      <c r="Q296" s="169">
        <v>2810000</v>
      </c>
    </row>
    <row r="297" spans="9:21">
      <c r="I297" s="161" t="s">
        <v>5291</v>
      </c>
      <c r="J297" s="179">
        <f t="shared" si="37"/>
        <v>-53501669</v>
      </c>
      <c r="K297" s="161" t="s">
        <v>5285</v>
      </c>
      <c r="L297" s="180">
        <v>1704253056</v>
      </c>
      <c r="M297" s="180">
        <v>973497834</v>
      </c>
      <c r="N297" s="179">
        <f t="shared" si="38"/>
        <v>2677750890</v>
      </c>
      <c r="O297" s="179">
        <f>M297-M296+26000000</f>
        <v>-38179976</v>
      </c>
      <c r="P297" s="179">
        <f>N297-N296+26000000</f>
        <v>-91681645</v>
      </c>
      <c r="Q297" s="169">
        <v>-26000000</v>
      </c>
    </row>
    <row r="298" spans="9:21">
      <c r="I298" s="161" t="s">
        <v>5293</v>
      </c>
      <c r="J298" s="179">
        <f>L298-L297-8800000</f>
        <v>26691445</v>
      </c>
      <c r="K298" s="161" t="s">
        <v>5289</v>
      </c>
      <c r="L298" s="180">
        <v>1739744501</v>
      </c>
      <c r="M298" s="180">
        <v>914540569</v>
      </c>
      <c r="N298" s="179">
        <f t="shared" si="38"/>
        <v>2654285070</v>
      </c>
      <c r="O298" s="179">
        <f>M298-M297+81800000</f>
        <v>22842735</v>
      </c>
      <c r="P298" s="179">
        <f>N298-N297+73000000</f>
        <v>49534180</v>
      </c>
      <c r="Q298" s="169">
        <v>-73000000</v>
      </c>
    </row>
    <row r="299" spans="9:21">
      <c r="I299" s="161" t="s">
        <v>5296</v>
      </c>
      <c r="J299" s="179">
        <f t="shared" si="37"/>
        <v>32696702</v>
      </c>
      <c r="K299" s="161" t="s">
        <v>5290</v>
      </c>
      <c r="L299" s="180">
        <v>1772441203</v>
      </c>
      <c r="M299" s="180">
        <v>900025831</v>
      </c>
      <c r="N299" s="179">
        <f t="shared" si="38"/>
        <v>2672467034</v>
      </c>
      <c r="O299" s="179">
        <f>M299-M298+34000000</f>
        <v>19485262</v>
      </c>
      <c r="P299" s="179">
        <f>N299-N298+34000000</f>
        <v>52181964</v>
      </c>
      <c r="Q299" s="169">
        <v>-34000000</v>
      </c>
    </row>
    <row r="300" spans="9:21">
      <c r="I300" s="145" t="s">
        <v>5298</v>
      </c>
      <c r="J300" s="144">
        <f>L300-L299-40000000</f>
        <v>74215198</v>
      </c>
      <c r="K300" s="145" t="s">
        <v>5294</v>
      </c>
      <c r="L300" s="173">
        <v>1886656401</v>
      </c>
      <c r="M300" s="173">
        <v>937495623</v>
      </c>
      <c r="N300" s="163">
        <f t="shared" si="38"/>
        <v>2824152024</v>
      </c>
      <c r="O300" s="144">
        <f t="shared" si="39"/>
        <v>37469792</v>
      </c>
      <c r="P300" s="144">
        <f>N300-N299-40000000</f>
        <v>111684990</v>
      </c>
      <c r="Q300" s="169">
        <v>40000000</v>
      </c>
      <c r="S300" t="s">
        <v>25</v>
      </c>
      <c r="T300" t="s">
        <v>25</v>
      </c>
    </row>
    <row r="301" spans="9:21">
      <c r="I301" s="145" t="s">
        <v>5110</v>
      </c>
      <c r="J301" s="144">
        <f t="shared" si="37"/>
        <v>39912599</v>
      </c>
      <c r="K301" s="145" t="s">
        <v>5295</v>
      </c>
      <c r="L301" s="173">
        <v>1926569000</v>
      </c>
      <c r="M301" s="173">
        <v>959442000</v>
      </c>
      <c r="N301" s="163">
        <f t="shared" si="38"/>
        <v>2886011000</v>
      </c>
      <c r="O301" s="144">
        <f>M301-M300-300000</f>
        <v>21646377</v>
      </c>
      <c r="P301" s="144">
        <f>N301-N300-300000</f>
        <v>61558976</v>
      </c>
      <c r="Q301" s="169">
        <v>300000</v>
      </c>
    </row>
    <row r="302" spans="9:21">
      <c r="I302" s="145" t="s">
        <v>5304</v>
      </c>
      <c r="J302" s="144">
        <f t="shared" si="37"/>
        <v>-55865388</v>
      </c>
      <c r="K302" s="145" t="s">
        <v>5303</v>
      </c>
      <c r="L302" s="173">
        <v>1870703612</v>
      </c>
      <c r="M302" s="173">
        <v>925667252</v>
      </c>
      <c r="N302" s="144">
        <f t="shared" si="38"/>
        <v>2796370864</v>
      </c>
      <c r="O302" s="144">
        <f>M302-M301-1000000</f>
        <v>-34774748</v>
      </c>
      <c r="P302" s="144">
        <f>N302-N301-1000000</f>
        <v>-90640136</v>
      </c>
      <c r="Q302" s="169">
        <v>1000000</v>
      </c>
    </row>
    <row r="303" spans="9:21">
      <c r="I303" s="2"/>
      <c r="J303" s="3">
        <f t="shared" si="37"/>
        <v>-97273791</v>
      </c>
      <c r="K303" s="2" t="s">
        <v>5305</v>
      </c>
      <c r="L303" s="71">
        <v>1773429821</v>
      </c>
      <c r="M303" s="71">
        <v>878782830</v>
      </c>
      <c r="N303" s="3">
        <f t="shared" si="38"/>
        <v>2652212651</v>
      </c>
      <c r="O303" s="3">
        <f t="shared" si="39"/>
        <v>-46884422</v>
      </c>
      <c r="P303" s="3">
        <f t="shared" si="40"/>
        <v>-144158213</v>
      </c>
      <c r="Q303" s="169">
        <v>0</v>
      </c>
    </row>
    <row r="304" spans="9:21">
      <c r="I304" s="2" t="s">
        <v>25</v>
      </c>
      <c r="J304" s="3">
        <f t="shared" si="37"/>
        <v>-429821</v>
      </c>
      <c r="K304" s="2" t="s">
        <v>5306</v>
      </c>
      <c r="L304" s="71">
        <v>1773000000</v>
      </c>
      <c r="M304" s="71">
        <v>879000000</v>
      </c>
      <c r="N304" s="3">
        <f t="shared" si="38"/>
        <v>2652000000</v>
      </c>
      <c r="O304" s="3">
        <f t="shared" si="39"/>
        <v>217170</v>
      </c>
      <c r="P304" s="3">
        <f t="shared" si="40"/>
        <v>-212651</v>
      </c>
      <c r="Q304" s="169">
        <v>0</v>
      </c>
    </row>
    <row r="305" spans="9:17">
      <c r="I305" s="2" t="s">
        <v>5308</v>
      </c>
      <c r="J305" s="3">
        <f>L305-L304-400000</f>
        <v>-400000</v>
      </c>
      <c r="K305" s="2" t="s">
        <v>5307</v>
      </c>
      <c r="L305" s="71">
        <v>1773000000</v>
      </c>
      <c r="M305" s="71">
        <v>879000000</v>
      </c>
      <c r="N305" s="3">
        <f t="shared" si="38"/>
        <v>2652000000</v>
      </c>
      <c r="O305" s="3">
        <f>M305-M304-400000</f>
        <v>-400000</v>
      </c>
      <c r="P305" s="3">
        <f>N305-N304-800000</f>
        <v>-800000</v>
      </c>
      <c r="Q305" s="169">
        <v>800000</v>
      </c>
    </row>
    <row r="306" spans="9:17">
      <c r="I306" s="2"/>
      <c r="J306" s="3">
        <f t="shared" si="37"/>
        <v>-186924808</v>
      </c>
      <c r="K306" s="2" t="s">
        <v>5314</v>
      </c>
      <c r="L306" s="71">
        <v>1586075192</v>
      </c>
      <c r="M306" s="71">
        <v>781102872</v>
      </c>
      <c r="N306" s="3">
        <f t="shared" si="38"/>
        <v>2367178064</v>
      </c>
      <c r="O306" s="3">
        <f t="shared" si="39"/>
        <v>-97897128</v>
      </c>
      <c r="P306" s="3">
        <f t="shared" si="40"/>
        <v>-284821936</v>
      </c>
      <c r="Q306" s="169">
        <v>0</v>
      </c>
    </row>
    <row r="307" spans="9:17">
      <c r="I307" s="2"/>
      <c r="J307" s="3">
        <f t="shared" si="37"/>
        <v>41531186</v>
      </c>
      <c r="K307" s="2" t="s">
        <v>5327</v>
      </c>
      <c r="L307" s="71">
        <v>1627606378</v>
      </c>
      <c r="M307" s="71">
        <v>802901457</v>
      </c>
      <c r="N307" s="3">
        <f t="shared" si="38"/>
        <v>2430507835</v>
      </c>
      <c r="O307" s="3">
        <f t="shared" si="39"/>
        <v>21798585</v>
      </c>
      <c r="P307" s="3">
        <f t="shared" si="40"/>
        <v>63329771</v>
      </c>
      <c r="Q307" s="169">
        <v>0</v>
      </c>
    </row>
    <row r="308" spans="9:17">
      <c r="I308" s="2" t="s">
        <v>5329</v>
      </c>
      <c r="J308" s="3">
        <f>L308-L307+968000</f>
        <v>30858637</v>
      </c>
      <c r="K308" s="2" t="s">
        <v>5328</v>
      </c>
      <c r="L308" s="71">
        <v>1657497015</v>
      </c>
      <c r="M308" s="71">
        <v>821645954</v>
      </c>
      <c r="N308" s="3">
        <f t="shared" si="38"/>
        <v>2479142969</v>
      </c>
      <c r="O308" s="3">
        <f t="shared" si="39"/>
        <v>18744497</v>
      </c>
      <c r="P308" s="3">
        <f>N308-N307+968000</f>
        <v>49603134</v>
      </c>
      <c r="Q308" s="169">
        <v>-968000</v>
      </c>
    </row>
    <row r="309" spans="9:17">
      <c r="I309" s="2"/>
      <c r="J309" s="3">
        <f t="shared" si="37"/>
        <v>48059361</v>
      </c>
      <c r="K309" s="2" t="s">
        <v>5330</v>
      </c>
      <c r="L309" s="71">
        <v>1705556376</v>
      </c>
      <c r="M309" s="71">
        <v>850233025</v>
      </c>
      <c r="N309" s="3">
        <f t="shared" si="38"/>
        <v>2555789401</v>
      </c>
      <c r="O309" s="3">
        <f t="shared" si="39"/>
        <v>28587071</v>
      </c>
      <c r="P309" s="3">
        <f t="shared" si="40"/>
        <v>76646432</v>
      </c>
      <c r="Q309" s="169">
        <v>0</v>
      </c>
    </row>
    <row r="310" spans="9:17">
      <c r="I310" s="2"/>
      <c r="J310" s="3">
        <f t="shared" si="37"/>
        <v>59443624</v>
      </c>
      <c r="K310" s="2" t="s">
        <v>5331</v>
      </c>
      <c r="L310" s="71">
        <v>1765000000</v>
      </c>
      <c r="M310" s="71">
        <v>874000000</v>
      </c>
      <c r="N310" s="3">
        <f t="shared" ref="N310:N329" si="41">L310+M310</f>
        <v>2639000000</v>
      </c>
      <c r="O310" s="3">
        <f t="shared" ref="O310:O329" si="42">M310-M309</f>
        <v>23766975</v>
      </c>
      <c r="P310" s="3">
        <f t="shared" ref="P310:P329" si="43">N310-N309</f>
        <v>83210599</v>
      </c>
      <c r="Q310" s="169">
        <v>0</v>
      </c>
    </row>
    <row r="311" spans="9:17">
      <c r="I311" s="2"/>
      <c r="J311" s="3">
        <f t="shared" si="37"/>
        <v>5000000</v>
      </c>
      <c r="K311" s="2" t="s">
        <v>5333</v>
      </c>
      <c r="L311" s="71">
        <v>1770000000</v>
      </c>
      <c r="M311" s="71">
        <v>883000000</v>
      </c>
      <c r="N311" s="3">
        <f t="shared" si="41"/>
        <v>2653000000</v>
      </c>
      <c r="O311" s="3">
        <f t="shared" si="42"/>
        <v>9000000</v>
      </c>
      <c r="P311" s="3">
        <f t="shared" si="43"/>
        <v>14000000</v>
      </c>
      <c r="Q311" s="169">
        <v>0</v>
      </c>
    </row>
    <row r="312" spans="9:17">
      <c r="I312" s="2"/>
      <c r="J312" s="3">
        <f t="shared" si="37"/>
        <v>-23705382</v>
      </c>
      <c r="K312" s="2" t="s">
        <v>5334</v>
      </c>
      <c r="L312" s="71">
        <v>1746294618</v>
      </c>
      <c r="M312" s="71">
        <v>870404179</v>
      </c>
      <c r="N312" s="3">
        <f t="shared" si="41"/>
        <v>2616698797</v>
      </c>
      <c r="O312" s="3">
        <f t="shared" si="42"/>
        <v>-12595821</v>
      </c>
      <c r="P312" s="3">
        <f t="shared" si="43"/>
        <v>-36301203</v>
      </c>
      <c r="Q312" s="169">
        <v>0</v>
      </c>
    </row>
    <row r="313" spans="9:17">
      <c r="I313" s="2"/>
      <c r="J313" s="3">
        <f t="shared" si="37"/>
        <v>52843587</v>
      </c>
      <c r="K313" s="2" t="s">
        <v>5335</v>
      </c>
      <c r="L313" s="71">
        <v>1799138205</v>
      </c>
      <c r="M313" s="71">
        <v>895075872</v>
      </c>
      <c r="N313" s="3">
        <f t="shared" si="41"/>
        <v>2694214077</v>
      </c>
      <c r="O313" s="3">
        <f t="shared" si="42"/>
        <v>24671693</v>
      </c>
      <c r="P313" s="3">
        <f t="shared" si="43"/>
        <v>77515280</v>
      </c>
      <c r="Q313" s="169">
        <v>0</v>
      </c>
    </row>
    <row r="314" spans="9:17">
      <c r="I314" s="2"/>
      <c r="J314" s="3">
        <f t="shared" si="37"/>
        <v>61989536</v>
      </c>
      <c r="K314" s="2" t="s">
        <v>5336</v>
      </c>
      <c r="L314" s="71">
        <v>1861127741</v>
      </c>
      <c r="M314" s="71">
        <v>925114188</v>
      </c>
      <c r="N314" s="3">
        <f t="shared" si="41"/>
        <v>2786241929</v>
      </c>
      <c r="O314" s="3">
        <f t="shared" si="42"/>
        <v>30038316</v>
      </c>
      <c r="P314" s="3">
        <f t="shared" si="43"/>
        <v>92027852</v>
      </c>
      <c r="Q314" s="169">
        <v>0</v>
      </c>
    </row>
    <row r="315" spans="9:17">
      <c r="I315" s="2"/>
      <c r="J315" s="3">
        <f t="shared" si="37"/>
        <v>187816102</v>
      </c>
      <c r="K315" s="2" t="s">
        <v>5337</v>
      </c>
      <c r="L315" s="71">
        <v>2048943843</v>
      </c>
      <c r="M315" s="71">
        <v>1018477929</v>
      </c>
      <c r="N315" s="163">
        <f t="shared" si="41"/>
        <v>3067421772</v>
      </c>
      <c r="O315" s="3">
        <f t="shared" si="42"/>
        <v>93363741</v>
      </c>
      <c r="P315" s="3">
        <f t="shared" si="43"/>
        <v>281179843</v>
      </c>
      <c r="Q315" s="169">
        <v>0</v>
      </c>
    </row>
    <row r="316" spans="9:17">
      <c r="I316" s="2"/>
      <c r="J316" s="3">
        <f t="shared" si="37"/>
        <v>90607204</v>
      </c>
      <c r="K316" s="2" t="s">
        <v>5338</v>
      </c>
      <c r="L316" s="71">
        <v>2139551047</v>
      </c>
      <c r="M316" s="71">
        <v>1063366113</v>
      </c>
      <c r="N316" s="163">
        <f t="shared" si="41"/>
        <v>3202917160</v>
      </c>
      <c r="O316" s="3">
        <f t="shared" si="42"/>
        <v>44888184</v>
      </c>
      <c r="P316" s="3">
        <f t="shared" si="43"/>
        <v>135495388</v>
      </c>
      <c r="Q316" s="169">
        <v>0</v>
      </c>
    </row>
    <row r="317" spans="9:17">
      <c r="I317" s="2"/>
      <c r="J317" s="3">
        <f t="shared" si="37"/>
        <v>-20242572</v>
      </c>
      <c r="K317" s="2" t="s">
        <v>5339</v>
      </c>
      <c r="L317" s="71">
        <v>2119308475</v>
      </c>
      <c r="M317" s="71">
        <v>1053047454</v>
      </c>
      <c r="N317" s="3">
        <f t="shared" si="41"/>
        <v>3172355929</v>
      </c>
      <c r="O317" s="3">
        <f t="shared" si="42"/>
        <v>-10318659</v>
      </c>
      <c r="P317" s="3">
        <f t="shared" si="43"/>
        <v>-30561231</v>
      </c>
      <c r="Q317" s="169">
        <v>0</v>
      </c>
    </row>
    <row r="318" spans="9:17">
      <c r="I318" s="2"/>
      <c r="J318" s="3">
        <f t="shared" si="37"/>
        <v>141276059</v>
      </c>
      <c r="K318" s="2" t="s">
        <v>5340</v>
      </c>
      <c r="L318" s="71">
        <v>2260584534</v>
      </c>
      <c r="M318" s="71">
        <v>1120314374</v>
      </c>
      <c r="N318" s="163">
        <f t="shared" si="41"/>
        <v>3380898908</v>
      </c>
      <c r="O318" s="3">
        <f t="shared" si="42"/>
        <v>67266920</v>
      </c>
      <c r="P318" s="3">
        <f t="shared" si="43"/>
        <v>208542979</v>
      </c>
      <c r="Q318" s="169">
        <v>0</v>
      </c>
    </row>
    <row r="319" spans="9:17">
      <c r="I319" s="2" t="s">
        <v>5342</v>
      </c>
      <c r="J319" s="3">
        <f>L319-L318-3006000</f>
        <v>32865631</v>
      </c>
      <c r="K319" s="2" t="s">
        <v>5341</v>
      </c>
      <c r="L319" s="71">
        <v>2296456165</v>
      </c>
      <c r="M319" s="71">
        <v>1139689638</v>
      </c>
      <c r="N319" s="163">
        <f t="shared" si="41"/>
        <v>3436145803</v>
      </c>
      <c r="O319" s="3">
        <f>M319-M318-3000000</f>
        <v>16375264</v>
      </c>
      <c r="P319" s="3">
        <f>N319-N318-6006000</f>
        <v>49240895</v>
      </c>
      <c r="Q319" s="169">
        <v>6006000</v>
      </c>
    </row>
    <row r="320" spans="9:17">
      <c r="I320" s="2"/>
      <c r="J320" s="3">
        <f t="shared" si="37"/>
        <v>106300248</v>
      </c>
      <c r="K320" s="2" t="s">
        <v>5346</v>
      </c>
      <c r="L320" s="71">
        <v>2402756413</v>
      </c>
      <c r="M320" s="71">
        <v>1193225866</v>
      </c>
      <c r="N320" s="163">
        <f t="shared" si="41"/>
        <v>3595982279</v>
      </c>
      <c r="O320" s="3">
        <f t="shared" si="42"/>
        <v>53536228</v>
      </c>
      <c r="P320" s="3">
        <f t="shared" si="43"/>
        <v>159836476</v>
      </c>
      <c r="Q320" s="169">
        <v>0</v>
      </c>
    </row>
    <row r="321" spans="9:22">
      <c r="I321" s="2"/>
      <c r="J321" s="3">
        <f t="shared" si="37"/>
        <v>26044736</v>
      </c>
      <c r="K321" s="2" t="s">
        <v>5347</v>
      </c>
      <c r="L321" s="71">
        <v>2428801149</v>
      </c>
      <c r="M321" s="71">
        <v>1206365805</v>
      </c>
      <c r="N321" s="163">
        <f t="shared" si="41"/>
        <v>3635166954</v>
      </c>
      <c r="O321" s="3">
        <f t="shared" si="42"/>
        <v>13139939</v>
      </c>
      <c r="P321" s="3">
        <f t="shared" si="43"/>
        <v>39184675</v>
      </c>
      <c r="Q321" s="169">
        <v>0</v>
      </c>
    </row>
    <row r="322" spans="9:22">
      <c r="I322" s="2"/>
      <c r="J322" s="3">
        <f t="shared" si="37"/>
        <v>171198851</v>
      </c>
      <c r="K322" s="2" t="s">
        <v>5348</v>
      </c>
      <c r="L322" s="71">
        <v>2600000000</v>
      </c>
      <c r="M322" s="71">
        <v>1292000000</v>
      </c>
      <c r="N322" s="163">
        <f t="shared" si="41"/>
        <v>3892000000</v>
      </c>
      <c r="O322" s="3">
        <f t="shared" si="42"/>
        <v>85634195</v>
      </c>
      <c r="P322" s="3">
        <f t="shared" si="43"/>
        <v>256833046</v>
      </c>
      <c r="Q322" s="169">
        <v>0</v>
      </c>
    </row>
    <row r="323" spans="9:22">
      <c r="I323" s="2"/>
      <c r="J323" s="3">
        <f t="shared" si="37"/>
        <v>84150663</v>
      </c>
      <c r="K323" s="2" t="s">
        <v>5349</v>
      </c>
      <c r="L323" s="71">
        <v>2684150663</v>
      </c>
      <c r="M323" s="71">
        <v>1332846782</v>
      </c>
      <c r="N323" s="163">
        <f t="shared" si="41"/>
        <v>4016997445</v>
      </c>
      <c r="O323" s="3">
        <f t="shared" si="42"/>
        <v>40846782</v>
      </c>
      <c r="P323" s="3">
        <f t="shared" si="43"/>
        <v>124997445</v>
      </c>
      <c r="Q323" s="169">
        <v>0</v>
      </c>
    </row>
    <row r="324" spans="9:22">
      <c r="I324" s="2"/>
      <c r="J324" s="3">
        <f t="shared" si="37"/>
        <v>82028611</v>
      </c>
      <c r="K324" s="2" t="s">
        <v>5350</v>
      </c>
      <c r="L324" s="71">
        <v>2766179274</v>
      </c>
      <c r="M324" s="71">
        <v>1375672179</v>
      </c>
      <c r="N324" s="163">
        <f t="shared" si="41"/>
        <v>4141851453</v>
      </c>
      <c r="O324" s="3">
        <f t="shared" si="42"/>
        <v>42825397</v>
      </c>
      <c r="P324" s="3">
        <f t="shared" si="43"/>
        <v>124854008</v>
      </c>
      <c r="Q324" s="169">
        <v>0</v>
      </c>
      <c r="V324" t="s">
        <v>25</v>
      </c>
    </row>
    <row r="325" spans="9:22">
      <c r="I325" s="2"/>
      <c r="J325" s="3">
        <f t="shared" si="37"/>
        <v>27803935</v>
      </c>
      <c r="K325" s="2" t="s">
        <v>5356</v>
      </c>
      <c r="L325" s="71">
        <v>2793983209</v>
      </c>
      <c r="M325" s="71">
        <v>1388455108</v>
      </c>
      <c r="N325" s="163">
        <f t="shared" si="41"/>
        <v>4182438317</v>
      </c>
      <c r="O325" s="3">
        <f t="shared" si="42"/>
        <v>12782929</v>
      </c>
      <c r="P325" s="3">
        <f t="shared" si="43"/>
        <v>40586864</v>
      </c>
      <c r="Q325" s="169">
        <v>0</v>
      </c>
    </row>
    <row r="326" spans="9:22">
      <c r="I326" s="2"/>
      <c r="J326" s="3">
        <f t="shared" si="37"/>
        <v>25995929</v>
      </c>
      <c r="K326" s="2" t="s">
        <v>5357</v>
      </c>
      <c r="L326" s="71">
        <v>2819979138</v>
      </c>
      <c r="M326" s="71">
        <v>1401539279</v>
      </c>
      <c r="N326" s="163">
        <f t="shared" si="41"/>
        <v>4221518417</v>
      </c>
      <c r="O326" s="3">
        <f t="shared" si="42"/>
        <v>13084171</v>
      </c>
      <c r="P326" s="3">
        <f t="shared" si="43"/>
        <v>39080100</v>
      </c>
      <c r="Q326" s="169">
        <v>0</v>
      </c>
    </row>
    <row r="327" spans="9:22">
      <c r="I327" s="2" t="s">
        <v>5360</v>
      </c>
      <c r="J327" s="3">
        <f>L327-L326+130382924</f>
        <v>36685298</v>
      </c>
      <c r="K327" s="2" t="s">
        <v>5359</v>
      </c>
      <c r="L327" s="71">
        <v>2726281512</v>
      </c>
      <c r="M327" s="71">
        <v>1352767212</v>
      </c>
      <c r="N327" s="163">
        <f t="shared" si="41"/>
        <v>4079048724</v>
      </c>
      <c r="O327" s="3">
        <f>M327-M326+65461942</f>
        <v>16689875</v>
      </c>
      <c r="P327" s="3">
        <f>N327-N326+195844866</f>
        <v>53375173</v>
      </c>
      <c r="Q327" s="169">
        <v>-195844866</v>
      </c>
    </row>
    <row r="328" spans="9:22">
      <c r="I328" s="2"/>
      <c r="J328" s="3">
        <f t="shared" si="37"/>
        <v>423693862</v>
      </c>
      <c r="K328" s="2" t="s">
        <v>5358</v>
      </c>
      <c r="L328" s="71">
        <v>3149975374</v>
      </c>
      <c r="M328" s="71">
        <v>1567387310</v>
      </c>
      <c r="N328" s="163">
        <f t="shared" si="41"/>
        <v>4717362684</v>
      </c>
      <c r="O328" s="3">
        <f t="shared" si="42"/>
        <v>214620098</v>
      </c>
      <c r="P328" s="3">
        <f t="shared" si="43"/>
        <v>638313960</v>
      </c>
      <c r="Q328" s="169">
        <v>0</v>
      </c>
    </row>
    <row r="329" spans="9:22">
      <c r="I329" s="2"/>
      <c r="J329" s="3">
        <f t="shared" si="37"/>
        <v>138024626</v>
      </c>
      <c r="K329" s="2" t="s">
        <v>5361</v>
      </c>
      <c r="L329" s="71">
        <v>3288000000</v>
      </c>
      <c r="M329" s="71">
        <v>1636000000</v>
      </c>
      <c r="N329" s="163">
        <f t="shared" si="41"/>
        <v>4924000000</v>
      </c>
      <c r="O329" s="3">
        <f t="shared" si="42"/>
        <v>68612690</v>
      </c>
      <c r="P329" s="3">
        <f t="shared" si="43"/>
        <v>206637316</v>
      </c>
      <c r="Q329" s="169">
        <v>0</v>
      </c>
    </row>
    <row r="330" spans="9:22">
      <c r="I330" s="2"/>
      <c r="J330" s="3">
        <f t="shared" si="37"/>
        <v>139431734</v>
      </c>
      <c r="K330" s="2" t="s">
        <v>5362</v>
      </c>
      <c r="L330" s="71">
        <v>3427431734</v>
      </c>
      <c r="M330" s="71">
        <v>1705312175</v>
      </c>
      <c r="N330" s="163">
        <f t="shared" ref="N330:N415" si="44">L330+M330</f>
        <v>5132743909</v>
      </c>
      <c r="O330" s="3">
        <f t="shared" ref="O330:O364" si="45">M330-M329</f>
        <v>69312175</v>
      </c>
      <c r="P330" s="3">
        <f t="shared" ref="P330:P364" si="46">N330-N329</f>
        <v>208743909</v>
      </c>
      <c r="Q330" s="169">
        <v>0</v>
      </c>
    </row>
    <row r="331" spans="9:22">
      <c r="I331" s="2"/>
      <c r="J331" s="3">
        <f t="shared" si="37"/>
        <v>171263819</v>
      </c>
      <c r="K331" s="2" t="s">
        <v>959</v>
      </c>
      <c r="L331" s="71">
        <v>3598695553</v>
      </c>
      <c r="M331" s="71">
        <v>1790521534</v>
      </c>
      <c r="N331" s="163">
        <f t="shared" si="44"/>
        <v>5389217087</v>
      </c>
      <c r="O331" s="3">
        <f t="shared" si="45"/>
        <v>85209359</v>
      </c>
      <c r="P331" s="3">
        <f t="shared" si="46"/>
        <v>256473178</v>
      </c>
      <c r="Q331" s="169">
        <v>0</v>
      </c>
    </row>
    <row r="332" spans="9:22">
      <c r="I332" s="145" t="s">
        <v>5366</v>
      </c>
      <c r="J332" s="144">
        <f>L332-L331-125000000</f>
        <v>154015802</v>
      </c>
      <c r="K332" s="145" t="s">
        <v>5242</v>
      </c>
      <c r="L332" s="173">
        <v>3877711355</v>
      </c>
      <c r="M332" s="173">
        <v>1868422520</v>
      </c>
      <c r="N332" s="163">
        <f t="shared" si="44"/>
        <v>5746133875</v>
      </c>
      <c r="O332" s="144">
        <f t="shared" si="45"/>
        <v>77900986</v>
      </c>
      <c r="P332" s="144">
        <f>N332-N331-125000000</f>
        <v>231916788</v>
      </c>
      <c r="Q332" s="169">
        <v>125000000</v>
      </c>
    </row>
    <row r="333" spans="9:22">
      <c r="I333" s="145" t="s">
        <v>5367</v>
      </c>
      <c r="J333" s="144">
        <f>L333-L332-7200000</f>
        <v>-108573535</v>
      </c>
      <c r="K333" s="145" t="s">
        <v>5363</v>
      </c>
      <c r="L333" s="173">
        <v>3776337820</v>
      </c>
      <c r="M333" s="173">
        <v>1839777065</v>
      </c>
      <c r="N333" s="144">
        <f t="shared" si="44"/>
        <v>5616114885</v>
      </c>
      <c r="O333" s="144">
        <f>M333-M332-35000000</f>
        <v>-63645455</v>
      </c>
      <c r="P333" s="144">
        <f>N333-N332-42200000</f>
        <v>-172218990</v>
      </c>
      <c r="Q333" s="169">
        <v>42200000</v>
      </c>
    </row>
    <row r="334" spans="9:22">
      <c r="I334" s="2"/>
      <c r="J334" s="3">
        <f t="shared" si="37"/>
        <v>-22190531</v>
      </c>
      <c r="K334" s="2" t="s">
        <v>5369</v>
      </c>
      <c r="L334" s="71">
        <v>3754147289</v>
      </c>
      <c r="M334" s="71">
        <v>1829218494</v>
      </c>
      <c r="N334" s="3">
        <f t="shared" si="44"/>
        <v>5583365783</v>
      </c>
      <c r="O334" s="3">
        <f t="shared" si="45"/>
        <v>-10558571</v>
      </c>
      <c r="P334" s="3">
        <f t="shared" si="46"/>
        <v>-32749102</v>
      </c>
      <c r="Q334" s="169">
        <v>0</v>
      </c>
    </row>
    <row r="335" spans="9:22">
      <c r="I335" s="2"/>
      <c r="J335" s="3">
        <f t="shared" si="37"/>
        <v>128294991</v>
      </c>
      <c r="K335" s="2" t="s">
        <v>5370</v>
      </c>
      <c r="L335" s="71">
        <v>3882442280</v>
      </c>
      <c r="M335" s="71">
        <v>1904290333</v>
      </c>
      <c r="N335" s="163">
        <f t="shared" si="44"/>
        <v>5786732613</v>
      </c>
      <c r="O335" s="3">
        <f t="shared" si="45"/>
        <v>75071839</v>
      </c>
      <c r="P335" s="3">
        <f t="shared" si="46"/>
        <v>203366830</v>
      </c>
      <c r="Q335" s="169">
        <v>0</v>
      </c>
    </row>
    <row r="336" spans="9:22">
      <c r="I336" s="2"/>
      <c r="J336" s="3">
        <f t="shared" si="37"/>
        <v>-19277835</v>
      </c>
      <c r="K336" s="2" t="s">
        <v>5371</v>
      </c>
      <c r="L336" s="71">
        <v>3863164445</v>
      </c>
      <c r="M336" s="71">
        <v>1883839042</v>
      </c>
      <c r="N336" s="3">
        <f t="shared" si="44"/>
        <v>5747003487</v>
      </c>
      <c r="O336" s="3">
        <f t="shared" si="45"/>
        <v>-20451291</v>
      </c>
      <c r="P336" s="3">
        <f t="shared" si="46"/>
        <v>-39729126</v>
      </c>
      <c r="Q336" s="169">
        <v>0</v>
      </c>
    </row>
    <row r="337" spans="9:19">
      <c r="I337" s="2"/>
      <c r="J337" s="3">
        <f t="shared" si="37"/>
        <v>-144610106</v>
      </c>
      <c r="K337" s="2" t="s">
        <v>5372</v>
      </c>
      <c r="L337" s="71">
        <v>3718554339</v>
      </c>
      <c r="M337" s="71">
        <v>1811827994</v>
      </c>
      <c r="N337" s="3">
        <f t="shared" si="44"/>
        <v>5530382333</v>
      </c>
      <c r="O337" s="3">
        <f t="shared" si="45"/>
        <v>-72011048</v>
      </c>
      <c r="P337" s="3">
        <f t="shared" si="46"/>
        <v>-216621154</v>
      </c>
      <c r="Q337" s="169">
        <v>0</v>
      </c>
    </row>
    <row r="338" spans="9:19">
      <c r="I338" s="2"/>
      <c r="J338" s="3">
        <f t="shared" si="37"/>
        <v>-168554339</v>
      </c>
      <c r="K338" s="2" t="s">
        <v>5373</v>
      </c>
      <c r="L338" s="71">
        <v>3550000000</v>
      </c>
      <c r="M338" s="71">
        <v>1730000000</v>
      </c>
      <c r="N338" s="3">
        <f t="shared" si="44"/>
        <v>5280000000</v>
      </c>
      <c r="O338" s="3">
        <f t="shared" si="45"/>
        <v>-81827994</v>
      </c>
      <c r="P338" s="3">
        <f t="shared" si="46"/>
        <v>-250382333</v>
      </c>
      <c r="Q338" s="169">
        <v>0</v>
      </c>
    </row>
    <row r="339" spans="9:19">
      <c r="I339" s="2"/>
      <c r="J339" s="3">
        <f t="shared" si="37"/>
        <v>-162698423</v>
      </c>
      <c r="K339" s="2" t="s">
        <v>5375</v>
      </c>
      <c r="L339" s="71">
        <v>3387301577</v>
      </c>
      <c r="M339" s="71">
        <v>1650000000</v>
      </c>
      <c r="N339" s="3">
        <f t="shared" si="44"/>
        <v>5037301577</v>
      </c>
      <c r="O339" s="3">
        <f t="shared" si="45"/>
        <v>-80000000</v>
      </c>
      <c r="P339" s="3">
        <f t="shared" si="46"/>
        <v>-242698423</v>
      </c>
      <c r="Q339" s="169">
        <v>0</v>
      </c>
    </row>
    <row r="340" spans="9:19">
      <c r="I340" s="2"/>
      <c r="J340" s="3">
        <f t="shared" si="37"/>
        <v>-137426039</v>
      </c>
      <c r="K340" s="2" t="s">
        <v>5376</v>
      </c>
      <c r="L340" s="71">
        <v>3249875538</v>
      </c>
      <c r="M340" s="71">
        <v>1583444686</v>
      </c>
      <c r="N340" s="3">
        <f t="shared" si="44"/>
        <v>4833320224</v>
      </c>
      <c r="O340" s="3">
        <f t="shared" si="45"/>
        <v>-66555314</v>
      </c>
      <c r="P340" s="3">
        <f t="shared" si="46"/>
        <v>-203981353</v>
      </c>
      <c r="Q340" s="169">
        <v>0</v>
      </c>
    </row>
    <row r="341" spans="9:19">
      <c r="I341" s="2"/>
      <c r="J341" s="3">
        <f t="shared" si="37"/>
        <v>-8795174</v>
      </c>
      <c r="K341" s="2" t="s">
        <v>5377</v>
      </c>
      <c r="L341" s="71">
        <v>3241080364</v>
      </c>
      <c r="M341" s="71">
        <v>1578556448</v>
      </c>
      <c r="N341" s="3">
        <f t="shared" si="44"/>
        <v>4819636812</v>
      </c>
      <c r="O341" s="3">
        <f t="shared" si="45"/>
        <v>-4888238</v>
      </c>
      <c r="P341" s="3">
        <f t="shared" si="46"/>
        <v>-13683412</v>
      </c>
      <c r="Q341" s="169">
        <v>0</v>
      </c>
    </row>
    <row r="342" spans="9:19">
      <c r="I342" s="2"/>
      <c r="J342" s="3">
        <f t="shared" si="37"/>
        <v>138483558</v>
      </c>
      <c r="K342" s="2" t="s">
        <v>5378</v>
      </c>
      <c r="L342" s="71">
        <v>3379563922</v>
      </c>
      <c r="M342" s="71">
        <v>1645808930</v>
      </c>
      <c r="N342" s="3">
        <f t="shared" si="44"/>
        <v>5025372852</v>
      </c>
      <c r="O342" s="3">
        <f t="shared" si="45"/>
        <v>67252482</v>
      </c>
      <c r="P342" s="3">
        <f t="shared" si="46"/>
        <v>205736040</v>
      </c>
      <c r="Q342" s="169">
        <v>0</v>
      </c>
      <c r="S342" t="s">
        <v>25</v>
      </c>
    </row>
    <row r="343" spans="9:19">
      <c r="I343" s="2"/>
      <c r="J343" s="3">
        <f t="shared" si="37"/>
        <v>-113569577</v>
      </c>
      <c r="K343" s="2" t="s">
        <v>5379</v>
      </c>
      <c r="L343" s="71">
        <v>3265994345</v>
      </c>
      <c r="M343" s="71">
        <v>1604890418</v>
      </c>
      <c r="N343" s="3">
        <f t="shared" si="44"/>
        <v>4870884763</v>
      </c>
      <c r="O343" s="3">
        <f t="shared" si="45"/>
        <v>-40918512</v>
      </c>
      <c r="P343" s="3">
        <f t="shared" si="46"/>
        <v>-154488089</v>
      </c>
      <c r="Q343" s="169">
        <v>0</v>
      </c>
    </row>
    <row r="344" spans="9:19">
      <c r="I344" s="2"/>
      <c r="J344" s="3">
        <f t="shared" si="37"/>
        <v>89973185</v>
      </c>
      <c r="K344" s="2" t="s">
        <v>5380</v>
      </c>
      <c r="L344" s="71">
        <v>3355967530</v>
      </c>
      <c r="M344" s="71">
        <v>1637972294</v>
      </c>
      <c r="N344" s="3">
        <f t="shared" si="44"/>
        <v>4993939824</v>
      </c>
      <c r="O344" s="3">
        <f t="shared" si="45"/>
        <v>33081876</v>
      </c>
      <c r="P344" s="3">
        <f t="shared" si="46"/>
        <v>123055061</v>
      </c>
      <c r="Q344" s="169">
        <v>0</v>
      </c>
    </row>
    <row r="345" spans="9:19">
      <c r="I345" s="2"/>
      <c r="J345" s="3">
        <f t="shared" si="37"/>
        <v>-151470245</v>
      </c>
      <c r="K345" s="2" t="s">
        <v>5384</v>
      </c>
      <c r="L345" s="71">
        <v>3204497285</v>
      </c>
      <c r="M345" s="71">
        <v>1563005571</v>
      </c>
      <c r="N345" s="3">
        <f t="shared" si="44"/>
        <v>4767502856</v>
      </c>
      <c r="O345" s="3">
        <f t="shared" si="45"/>
        <v>-74966723</v>
      </c>
      <c r="P345" s="3">
        <f t="shared" si="46"/>
        <v>-226436968</v>
      </c>
      <c r="Q345" s="169">
        <v>0</v>
      </c>
    </row>
    <row r="346" spans="9:19">
      <c r="I346" s="2"/>
      <c r="J346" s="3">
        <f t="shared" si="37"/>
        <v>15502715</v>
      </c>
      <c r="K346" s="2" t="s">
        <v>5389</v>
      </c>
      <c r="L346" s="71">
        <v>3220000000</v>
      </c>
      <c r="M346" s="71">
        <v>1580000000</v>
      </c>
      <c r="N346" s="3">
        <f t="shared" si="44"/>
        <v>4800000000</v>
      </c>
      <c r="O346" s="3">
        <f t="shared" si="45"/>
        <v>16994429</v>
      </c>
      <c r="P346" s="3">
        <f t="shared" si="46"/>
        <v>32497144</v>
      </c>
      <c r="Q346" s="169">
        <v>0</v>
      </c>
    </row>
    <row r="347" spans="9:19">
      <c r="I347" s="145" t="s">
        <v>5402</v>
      </c>
      <c r="J347" s="144">
        <f>L347-L346-50000000</f>
        <v>30000000</v>
      </c>
      <c r="K347" s="145" t="s">
        <v>5390</v>
      </c>
      <c r="L347" s="173">
        <v>3300000000</v>
      </c>
      <c r="M347" s="173">
        <v>1600000000</v>
      </c>
      <c r="N347" s="144">
        <f t="shared" si="44"/>
        <v>4900000000</v>
      </c>
      <c r="O347" s="144">
        <f t="shared" si="45"/>
        <v>20000000</v>
      </c>
      <c r="P347" s="144">
        <f>N347-N346-50000000</f>
        <v>50000000</v>
      </c>
      <c r="Q347" s="169">
        <v>50000000</v>
      </c>
    </row>
    <row r="348" spans="9:19">
      <c r="I348" s="145" t="s">
        <v>5403</v>
      </c>
      <c r="J348" s="144">
        <f t="shared" si="37"/>
        <v>79324490</v>
      </c>
      <c r="K348" s="145" t="s">
        <v>5391</v>
      </c>
      <c r="L348" s="173">
        <v>3379324490</v>
      </c>
      <c r="M348" s="173">
        <v>1643511084</v>
      </c>
      <c r="N348" s="144">
        <f>L348+M348</f>
        <v>5022835574</v>
      </c>
      <c r="O348" s="144">
        <f>M348-M347-20000000</f>
        <v>23511084</v>
      </c>
      <c r="P348" s="144">
        <f>N348-N347-20000000</f>
        <v>102835574</v>
      </c>
      <c r="Q348" s="169">
        <v>20000000</v>
      </c>
    </row>
    <row r="349" spans="9:19">
      <c r="I349" s="2"/>
      <c r="J349" s="3">
        <f t="shared" si="37"/>
        <v>103488135</v>
      </c>
      <c r="K349" s="2" t="s">
        <v>5406</v>
      </c>
      <c r="L349" s="71">
        <v>3482812625</v>
      </c>
      <c r="M349" s="71">
        <v>1687800619</v>
      </c>
      <c r="N349" s="3">
        <f t="shared" si="44"/>
        <v>5170613244</v>
      </c>
      <c r="O349" s="3">
        <f t="shared" si="45"/>
        <v>44289535</v>
      </c>
      <c r="P349" s="3">
        <f t="shared" si="46"/>
        <v>147777670</v>
      </c>
      <c r="Q349" s="169">
        <v>0</v>
      </c>
    </row>
    <row r="350" spans="9:19">
      <c r="I350" s="2"/>
      <c r="J350" s="3">
        <f t="shared" si="37"/>
        <v>158859553</v>
      </c>
      <c r="K350" s="2" t="s">
        <v>5407</v>
      </c>
      <c r="L350" s="71">
        <v>3641672178</v>
      </c>
      <c r="M350" s="71">
        <v>1761048225</v>
      </c>
      <c r="N350" s="3">
        <f t="shared" si="44"/>
        <v>5402720403</v>
      </c>
      <c r="O350" s="3">
        <f t="shared" si="45"/>
        <v>73247606</v>
      </c>
      <c r="P350" s="3">
        <f t="shared" si="46"/>
        <v>232107159</v>
      </c>
      <c r="Q350" s="169">
        <v>0</v>
      </c>
    </row>
    <row r="351" spans="9:19">
      <c r="I351" s="2"/>
      <c r="J351" s="3">
        <f t="shared" si="37"/>
        <v>148972135</v>
      </c>
      <c r="K351" s="2" t="s">
        <v>5408</v>
      </c>
      <c r="L351" s="71">
        <v>3790644313</v>
      </c>
      <c r="M351" s="71">
        <v>1833071944</v>
      </c>
      <c r="N351" s="3">
        <f t="shared" si="44"/>
        <v>5623716257</v>
      </c>
      <c r="O351" s="3">
        <f t="shared" si="45"/>
        <v>72023719</v>
      </c>
      <c r="P351" s="3">
        <f t="shared" si="46"/>
        <v>220995854</v>
      </c>
      <c r="Q351" s="169">
        <v>0</v>
      </c>
    </row>
    <row r="352" spans="9:19">
      <c r="I352" s="2"/>
      <c r="J352" s="3">
        <f t="shared" si="37"/>
        <v>173385305</v>
      </c>
      <c r="K352" s="2" t="s">
        <v>5410</v>
      </c>
      <c r="L352" s="71">
        <v>3964029618</v>
      </c>
      <c r="M352" s="71">
        <v>1918994990</v>
      </c>
      <c r="N352" s="217">
        <f t="shared" si="44"/>
        <v>5883024608</v>
      </c>
      <c r="O352" s="3">
        <f t="shared" si="45"/>
        <v>85923046</v>
      </c>
      <c r="P352" s="3">
        <f t="shared" si="46"/>
        <v>259308351</v>
      </c>
      <c r="Q352" s="169">
        <v>0</v>
      </c>
    </row>
    <row r="353" spans="9:21">
      <c r="I353" s="2"/>
      <c r="J353" s="3">
        <f t="shared" si="37"/>
        <v>197999356</v>
      </c>
      <c r="K353" s="2" t="s">
        <v>5411</v>
      </c>
      <c r="L353" s="71">
        <v>4162028974</v>
      </c>
      <c r="M353" s="71">
        <v>2014922470</v>
      </c>
      <c r="N353" s="217">
        <f t="shared" si="44"/>
        <v>6176951444</v>
      </c>
      <c r="O353" s="3">
        <f t="shared" si="45"/>
        <v>95927480</v>
      </c>
      <c r="P353" s="3">
        <f t="shared" si="46"/>
        <v>293926836</v>
      </c>
      <c r="Q353" s="169">
        <v>0</v>
      </c>
      <c r="U353" t="s">
        <v>25</v>
      </c>
    </row>
    <row r="354" spans="9:21">
      <c r="I354" s="2"/>
      <c r="J354" s="3">
        <f t="shared" si="37"/>
        <v>75948917</v>
      </c>
      <c r="K354" s="2" t="s">
        <v>5412</v>
      </c>
      <c r="L354" s="71">
        <v>4237977891</v>
      </c>
      <c r="M354" s="71">
        <v>2058362540</v>
      </c>
      <c r="N354" s="217">
        <f t="shared" si="44"/>
        <v>6296340431</v>
      </c>
      <c r="O354" s="3">
        <f t="shared" si="45"/>
        <v>43440070</v>
      </c>
      <c r="P354" s="3">
        <f t="shared" si="46"/>
        <v>119388987</v>
      </c>
      <c r="Q354" s="169">
        <v>0</v>
      </c>
    </row>
    <row r="355" spans="9:21">
      <c r="I355" s="2"/>
      <c r="J355" s="3">
        <f t="shared" si="37"/>
        <v>272316683</v>
      </c>
      <c r="K355" s="2" t="s">
        <v>5413</v>
      </c>
      <c r="L355" s="71">
        <v>4510294574</v>
      </c>
      <c r="M355" s="71">
        <v>2190854889</v>
      </c>
      <c r="N355" s="217">
        <f t="shared" si="44"/>
        <v>6701149463</v>
      </c>
      <c r="O355" s="3">
        <f t="shared" si="45"/>
        <v>132492349</v>
      </c>
      <c r="P355" s="3">
        <f t="shared" si="46"/>
        <v>404809032</v>
      </c>
      <c r="Q355" s="169">
        <v>0</v>
      </c>
    </row>
    <row r="356" spans="9:21">
      <c r="I356" s="2"/>
      <c r="J356" s="3">
        <f t="shared" si="37"/>
        <v>20447233</v>
      </c>
      <c r="K356" s="2" t="s">
        <v>5414</v>
      </c>
      <c r="L356" s="71">
        <v>4530741807</v>
      </c>
      <c r="M356" s="71">
        <v>2183355146</v>
      </c>
      <c r="N356" s="217">
        <f t="shared" si="44"/>
        <v>6714096953</v>
      </c>
      <c r="O356" s="3">
        <f t="shared" si="45"/>
        <v>-7499743</v>
      </c>
      <c r="P356" s="3">
        <f t="shared" si="46"/>
        <v>12947490</v>
      </c>
      <c r="Q356" s="169">
        <v>0</v>
      </c>
    </row>
    <row r="357" spans="9:21">
      <c r="I357" s="2"/>
      <c r="J357" s="3">
        <f t="shared" si="37"/>
        <v>44659872</v>
      </c>
      <c r="K357" s="2" t="s">
        <v>5415</v>
      </c>
      <c r="L357" s="71">
        <v>4575401679</v>
      </c>
      <c r="M357" s="71">
        <v>2205686125</v>
      </c>
      <c r="N357" s="217">
        <f t="shared" si="44"/>
        <v>6781087804</v>
      </c>
      <c r="O357" s="3">
        <f t="shared" si="45"/>
        <v>22330979</v>
      </c>
      <c r="P357" s="3">
        <f t="shared" si="46"/>
        <v>66990851</v>
      </c>
      <c r="Q357" s="169">
        <v>0</v>
      </c>
    </row>
    <row r="358" spans="9:21">
      <c r="I358" s="2"/>
      <c r="J358" s="3">
        <f t="shared" si="37"/>
        <v>-97728047</v>
      </c>
      <c r="K358" s="2" t="s">
        <v>5416</v>
      </c>
      <c r="L358" s="71">
        <v>4477673632</v>
      </c>
      <c r="M358" s="71">
        <v>2158000000</v>
      </c>
      <c r="N358" s="3">
        <f t="shared" si="44"/>
        <v>6635673632</v>
      </c>
      <c r="O358" s="3">
        <f t="shared" si="45"/>
        <v>-47686125</v>
      </c>
      <c r="P358" s="3">
        <f t="shared" si="46"/>
        <v>-145414172</v>
      </c>
      <c r="Q358" s="169">
        <v>0</v>
      </c>
    </row>
    <row r="359" spans="9:21">
      <c r="I359" s="2"/>
      <c r="J359" s="3">
        <f t="shared" si="37"/>
        <v>127023161</v>
      </c>
      <c r="K359" s="2" t="s">
        <v>5417</v>
      </c>
      <c r="L359" s="71">
        <v>4604696793</v>
      </c>
      <c r="M359" s="71">
        <f>M358*L359/L358</f>
        <v>2219218392.3989034</v>
      </c>
      <c r="N359" s="217">
        <f t="shared" si="44"/>
        <v>6823915185.3989029</v>
      </c>
      <c r="O359" s="3">
        <f t="shared" si="45"/>
        <v>61218392.39890337</v>
      </c>
      <c r="P359" s="3">
        <f t="shared" si="46"/>
        <v>188241553.39890289</v>
      </c>
      <c r="Q359" s="169">
        <v>0</v>
      </c>
    </row>
    <row r="360" spans="9:21">
      <c r="I360" s="2"/>
      <c r="J360" s="3">
        <f t="shared" si="37"/>
        <v>97899358</v>
      </c>
      <c r="K360" s="2" t="s">
        <v>5418</v>
      </c>
      <c r="L360" s="71">
        <v>4702596151</v>
      </c>
      <c r="M360" s="71">
        <f>M359*L360/L359</f>
        <v>2266400664.2496624</v>
      </c>
      <c r="N360" s="217">
        <f t="shared" si="44"/>
        <v>6968996815.2496624</v>
      </c>
      <c r="O360" s="3">
        <f t="shared" si="45"/>
        <v>47182271.850759029</v>
      </c>
      <c r="P360" s="3">
        <f t="shared" si="46"/>
        <v>145081629.85075951</v>
      </c>
      <c r="Q360" s="169">
        <v>0</v>
      </c>
    </row>
    <row r="361" spans="9:21">
      <c r="I361" s="2"/>
      <c r="J361" s="3">
        <f t="shared" si="37"/>
        <v>27403849</v>
      </c>
      <c r="K361" s="2" t="s">
        <v>5421</v>
      </c>
      <c r="L361" s="71">
        <v>4730000000</v>
      </c>
      <c r="M361" s="71">
        <v>2276000000</v>
      </c>
      <c r="N361" s="217">
        <f t="shared" si="44"/>
        <v>7006000000</v>
      </c>
      <c r="O361" s="3">
        <f t="shared" si="45"/>
        <v>9599335.7503376007</v>
      </c>
      <c r="P361" s="3">
        <f t="shared" si="46"/>
        <v>37003184.750337601</v>
      </c>
      <c r="Q361" s="169">
        <v>0</v>
      </c>
    </row>
    <row r="362" spans="9:21">
      <c r="I362" s="161" t="s">
        <v>5423</v>
      </c>
      <c r="J362" s="179">
        <f>L362-L361+58196600</f>
        <v>79816926</v>
      </c>
      <c r="K362" s="161" t="s">
        <v>5422</v>
      </c>
      <c r="L362" s="180">
        <v>4751620326</v>
      </c>
      <c r="M362" s="180">
        <v>2286535574</v>
      </c>
      <c r="N362" s="179">
        <f t="shared" si="44"/>
        <v>7038155900</v>
      </c>
      <c r="O362" s="179">
        <f>M362-M361+46183500</f>
        <v>56719074</v>
      </c>
      <c r="P362" s="179">
        <f>N362-N361+58196600+46183500</f>
        <v>136536000</v>
      </c>
      <c r="Q362" s="169">
        <v>-104380100</v>
      </c>
    </row>
    <row r="363" spans="9:21">
      <c r="I363" s="2"/>
      <c r="J363" s="3">
        <f t="shared" si="37"/>
        <v>240267176</v>
      </c>
      <c r="K363" s="2" t="s">
        <v>5424</v>
      </c>
      <c r="L363" s="71">
        <v>4991887502</v>
      </c>
      <c r="M363" s="71">
        <v>2397577212</v>
      </c>
      <c r="N363" s="217">
        <f t="shared" si="44"/>
        <v>7389464714</v>
      </c>
      <c r="O363" s="3">
        <f t="shared" si="45"/>
        <v>111041638</v>
      </c>
      <c r="P363" s="3">
        <f t="shared" si="46"/>
        <v>351308814</v>
      </c>
      <c r="Q363" s="169">
        <v>0</v>
      </c>
    </row>
    <row r="364" spans="9:21">
      <c r="I364" s="2"/>
      <c r="J364" s="3">
        <f t="shared" si="37"/>
        <v>228141203</v>
      </c>
      <c r="K364" s="2" t="s">
        <v>5426</v>
      </c>
      <c r="L364" s="71">
        <v>5220028705</v>
      </c>
      <c r="M364" s="71">
        <v>2501264745</v>
      </c>
      <c r="N364" s="217">
        <f t="shared" si="44"/>
        <v>7721293450</v>
      </c>
      <c r="O364" s="3">
        <f t="shared" si="45"/>
        <v>103687533</v>
      </c>
      <c r="P364" s="3">
        <f t="shared" si="46"/>
        <v>331828736</v>
      </c>
      <c r="Q364" s="169">
        <v>0</v>
      </c>
    </row>
    <row r="365" spans="9:21">
      <c r="I365" s="2"/>
      <c r="J365" s="3">
        <f t="shared" si="37"/>
        <v>246697634</v>
      </c>
      <c r="K365" s="2" t="s">
        <v>5428</v>
      </c>
      <c r="L365" s="71">
        <v>5466726339</v>
      </c>
      <c r="M365" s="71">
        <v>2611141264</v>
      </c>
      <c r="N365" s="217">
        <f t="shared" si="44"/>
        <v>8077867603</v>
      </c>
      <c r="O365" s="3">
        <f t="shared" ref="O365:O373" si="47">M365-M364</f>
        <v>109876519</v>
      </c>
      <c r="P365" s="3">
        <f t="shared" ref="P365:P373" si="48">N365-N364</f>
        <v>356574153</v>
      </c>
      <c r="Q365" s="169">
        <v>0</v>
      </c>
      <c r="U365" t="s">
        <v>25</v>
      </c>
    </row>
    <row r="366" spans="9:21">
      <c r="I366" s="2"/>
      <c r="J366" s="3">
        <f t="shared" si="37"/>
        <v>197105230</v>
      </c>
      <c r="K366" s="2" t="s">
        <v>5429</v>
      </c>
      <c r="L366" s="71">
        <v>5663831569</v>
      </c>
      <c r="M366" s="71">
        <v>2689938073</v>
      </c>
      <c r="N366" s="217">
        <f t="shared" si="44"/>
        <v>8353769642</v>
      </c>
      <c r="O366" s="3">
        <f t="shared" si="47"/>
        <v>78796809</v>
      </c>
      <c r="P366" s="3">
        <f t="shared" si="48"/>
        <v>275902039</v>
      </c>
      <c r="Q366" s="169">
        <v>0</v>
      </c>
    </row>
    <row r="367" spans="9:21">
      <c r="I367" s="2"/>
      <c r="J367" s="3">
        <f t="shared" si="37"/>
        <v>-43831569</v>
      </c>
      <c r="K367" s="2" t="s">
        <v>5432</v>
      </c>
      <c r="L367" s="71">
        <v>5620000000</v>
      </c>
      <c r="M367" s="71">
        <v>2670000000</v>
      </c>
      <c r="N367" s="3">
        <f t="shared" si="44"/>
        <v>8290000000</v>
      </c>
      <c r="O367" s="3">
        <f t="shared" si="47"/>
        <v>-19938073</v>
      </c>
      <c r="P367" s="3">
        <f t="shared" si="48"/>
        <v>-63769642</v>
      </c>
      <c r="S367" t="s">
        <v>25</v>
      </c>
    </row>
    <row r="368" spans="9:21">
      <c r="I368" s="145" t="s">
        <v>5434</v>
      </c>
      <c r="J368" s="144">
        <f t="shared" si="37"/>
        <v>-39749235</v>
      </c>
      <c r="K368" s="145" t="s">
        <v>5433</v>
      </c>
      <c r="L368" s="173">
        <v>5580250765</v>
      </c>
      <c r="M368" s="173">
        <v>2682359720</v>
      </c>
      <c r="N368" s="144">
        <f t="shared" si="44"/>
        <v>8262610485</v>
      </c>
      <c r="O368" s="144">
        <f>M368-M367-50000000</f>
        <v>-37640280</v>
      </c>
      <c r="P368" s="144">
        <f>N368-N367-50000000</f>
        <v>-77389515</v>
      </c>
      <c r="Q368" s="169">
        <v>50000000</v>
      </c>
    </row>
    <row r="369" spans="9:20">
      <c r="I369" s="2"/>
      <c r="J369" s="3">
        <f t="shared" si="37"/>
        <v>174576498</v>
      </c>
      <c r="K369" s="2" t="s">
        <v>5438</v>
      </c>
      <c r="L369" s="71">
        <v>5754827263</v>
      </c>
      <c r="M369" s="71">
        <v>2766301410</v>
      </c>
      <c r="N369" s="217">
        <f t="shared" si="44"/>
        <v>8521128673</v>
      </c>
      <c r="O369" s="3">
        <f t="shared" si="47"/>
        <v>83941690</v>
      </c>
      <c r="P369" s="3">
        <f t="shared" si="48"/>
        <v>258518188</v>
      </c>
      <c r="Q369" s="169">
        <v>0</v>
      </c>
    </row>
    <row r="370" spans="9:20">
      <c r="I370" s="2"/>
      <c r="J370" s="3">
        <f t="shared" si="37"/>
        <v>282226898</v>
      </c>
      <c r="K370" s="2" t="s">
        <v>5439</v>
      </c>
      <c r="L370" s="71">
        <v>6037054161</v>
      </c>
      <c r="M370" s="71">
        <v>2358541132</v>
      </c>
      <c r="N370" s="3">
        <f t="shared" si="44"/>
        <v>8395595293</v>
      </c>
      <c r="O370" s="3">
        <f t="shared" si="47"/>
        <v>-407760278</v>
      </c>
      <c r="P370" s="3">
        <f t="shared" si="48"/>
        <v>-125533380</v>
      </c>
      <c r="Q370" s="169">
        <v>0</v>
      </c>
    </row>
    <row r="371" spans="9:20">
      <c r="I371" s="2"/>
      <c r="J371" s="3">
        <f t="shared" si="37"/>
        <v>-192374033</v>
      </c>
      <c r="K371" s="2" t="s">
        <v>5440</v>
      </c>
      <c r="L371" s="71">
        <v>5844680128</v>
      </c>
      <c r="M371" s="71">
        <v>2825703655</v>
      </c>
      <c r="N371" s="217">
        <f t="shared" si="44"/>
        <v>8670383783</v>
      </c>
      <c r="O371" s="3">
        <f t="shared" si="47"/>
        <v>467162523</v>
      </c>
      <c r="P371" s="3">
        <f t="shared" si="48"/>
        <v>274788490</v>
      </c>
      <c r="Q371" s="169">
        <v>0</v>
      </c>
    </row>
    <row r="372" spans="9:20">
      <c r="I372" s="2"/>
      <c r="J372" s="3">
        <f t="shared" si="37"/>
        <v>454779250</v>
      </c>
      <c r="K372" s="2" t="s">
        <v>5441</v>
      </c>
      <c r="L372" s="71">
        <v>6299459378</v>
      </c>
      <c r="M372" s="71">
        <v>3030827103</v>
      </c>
      <c r="N372" s="217">
        <f t="shared" si="44"/>
        <v>9330286481</v>
      </c>
      <c r="O372" s="3">
        <f t="shared" si="47"/>
        <v>205123448</v>
      </c>
      <c r="P372" s="3">
        <f t="shared" si="48"/>
        <v>659902698</v>
      </c>
      <c r="Q372" s="169">
        <v>0</v>
      </c>
      <c r="S372" t="s">
        <v>25</v>
      </c>
    </row>
    <row r="373" spans="9:20">
      <c r="I373" s="2"/>
      <c r="J373" s="3">
        <f t="shared" si="37"/>
        <v>243541031</v>
      </c>
      <c r="K373" s="2" t="s">
        <v>5442</v>
      </c>
      <c r="L373" s="71">
        <v>6543000409</v>
      </c>
      <c r="M373" s="71">
        <v>3149206053</v>
      </c>
      <c r="N373" s="217">
        <f t="shared" si="44"/>
        <v>9692206462</v>
      </c>
      <c r="O373" s="3">
        <f t="shared" si="47"/>
        <v>118378950</v>
      </c>
      <c r="P373" s="3">
        <f t="shared" si="48"/>
        <v>361919981</v>
      </c>
      <c r="Q373" s="169">
        <v>0</v>
      </c>
    </row>
    <row r="374" spans="9:20">
      <c r="I374" s="2"/>
      <c r="J374" s="3">
        <f t="shared" si="37"/>
        <v>269667120</v>
      </c>
      <c r="K374" s="2" t="s">
        <v>5443</v>
      </c>
      <c r="L374" s="71">
        <v>6812667529</v>
      </c>
      <c r="M374" s="71">
        <v>3304835300</v>
      </c>
      <c r="N374" s="217">
        <f t="shared" si="44"/>
        <v>10117502829</v>
      </c>
      <c r="O374" s="3">
        <f t="shared" ref="O374:O415" si="49">M374-M373</f>
        <v>155629247</v>
      </c>
      <c r="P374" s="3">
        <f t="shared" ref="P374:P415" si="50">N374-N373</f>
        <v>425296367</v>
      </c>
      <c r="Q374" s="169">
        <v>0</v>
      </c>
      <c r="T374" t="s">
        <v>25</v>
      </c>
    </row>
    <row r="375" spans="9:20">
      <c r="I375" s="2"/>
      <c r="J375" s="3">
        <f t="shared" si="37"/>
        <v>-331071826</v>
      </c>
      <c r="K375" s="2" t="s">
        <v>5446</v>
      </c>
      <c r="L375" s="71">
        <v>6481595703</v>
      </c>
      <c r="M375" s="71">
        <v>3132578581</v>
      </c>
      <c r="N375" s="3">
        <f t="shared" si="44"/>
        <v>9614174284</v>
      </c>
      <c r="O375" s="3">
        <f t="shared" si="49"/>
        <v>-172256719</v>
      </c>
      <c r="P375" s="3">
        <f t="shared" si="50"/>
        <v>-503328545</v>
      </c>
      <c r="Q375" s="169">
        <v>0</v>
      </c>
    </row>
    <row r="376" spans="9:20">
      <c r="I376" s="2"/>
      <c r="J376" s="3">
        <f t="shared" si="37"/>
        <v>132706158</v>
      </c>
      <c r="K376" s="2" t="s">
        <v>5447</v>
      </c>
      <c r="L376" s="71">
        <v>6614301861</v>
      </c>
      <c r="M376" s="71">
        <v>3249650660</v>
      </c>
      <c r="N376" s="3">
        <f t="shared" si="44"/>
        <v>9863952521</v>
      </c>
      <c r="O376" s="3">
        <f t="shared" si="49"/>
        <v>117072079</v>
      </c>
      <c r="P376" s="3">
        <f t="shared" si="50"/>
        <v>249778237</v>
      </c>
      <c r="Q376" s="169">
        <v>0</v>
      </c>
    </row>
    <row r="377" spans="9:20">
      <c r="I377" s="2"/>
      <c r="J377" s="3">
        <f t="shared" si="37"/>
        <v>-107606296</v>
      </c>
      <c r="K377" s="2" t="s">
        <v>5456</v>
      </c>
      <c r="L377" s="71">
        <v>6506695565</v>
      </c>
      <c r="M377" s="71">
        <v>3224950981</v>
      </c>
      <c r="N377" s="3">
        <f t="shared" si="44"/>
        <v>9731646546</v>
      </c>
      <c r="O377" s="3">
        <f t="shared" si="49"/>
        <v>-24699679</v>
      </c>
      <c r="P377" s="3">
        <f t="shared" si="50"/>
        <v>-132305975</v>
      </c>
      <c r="Q377" s="169">
        <v>0</v>
      </c>
      <c r="S377" t="s">
        <v>25</v>
      </c>
    </row>
    <row r="378" spans="9:20">
      <c r="I378" s="2"/>
      <c r="J378" s="3">
        <f t="shared" si="37"/>
        <v>-109123444</v>
      </c>
      <c r="K378" s="2" t="s">
        <v>4185</v>
      </c>
      <c r="L378" s="71">
        <v>6397572121</v>
      </c>
      <c r="M378" s="71">
        <v>3157901382</v>
      </c>
      <c r="N378" s="3">
        <f t="shared" si="44"/>
        <v>9555473503</v>
      </c>
      <c r="O378" s="3">
        <f t="shared" si="49"/>
        <v>-67049599</v>
      </c>
      <c r="P378" s="3">
        <f t="shared" si="50"/>
        <v>-176173043</v>
      </c>
      <c r="Q378" s="169">
        <v>0</v>
      </c>
    </row>
    <row r="379" spans="9:20">
      <c r="I379" s="2"/>
      <c r="J379" s="3">
        <f t="shared" si="37"/>
        <v>-167747443</v>
      </c>
      <c r="K379" s="2" t="s">
        <v>5462</v>
      </c>
      <c r="L379" s="71">
        <v>6229824678</v>
      </c>
      <c r="M379" s="71">
        <v>3099029650</v>
      </c>
      <c r="N379" s="3">
        <f t="shared" si="44"/>
        <v>9328854328</v>
      </c>
      <c r="O379" s="3">
        <f t="shared" si="49"/>
        <v>-58871732</v>
      </c>
      <c r="P379" s="3">
        <f t="shared" si="50"/>
        <v>-226619175</v>
      </c>
      <c r="Q379" s="169">
        <v>0</v>
      </c>
    </row>
    <row r="380" spans="9:20">
      <c r="I380" s="2"/>
      <c r="J380" s="3">
        <f t="shared" si="37"/>
        <v>-120830327</v>
      </c>
      <c r="K380" s="2" t="s">
        <v>5463</v>
      </c>
      <c r="L380" s="71">
        <v>6108994351</v>
      </c>
      <c r="M380" s="71">
        <v>3027070745</v>
      </c>
      <c r="N380" s="3">
        <f t="shared" si="44"/>
        <v>9136065096</v>
      </c>
      <c r="O380" s="3">
        <f t="shared" si="49"/>
        <v>-71958905</v>
      </c>
      <c r="P380" s="3">
        <f t="shared" si="50"/>
        <v>-192789232</v>
      </c>
      <c r="Q380" s="169">
        <v>0</v>
      </c>
    </row>
    <row r="381" spans="9:20">
      <c r="I381" s="2"/>
      <c r="J381" s="3">
        <f t="shared" si="37"/>
        <v>-16401758</v>
      </c>
      <c r="K381" s="2" t="s">
        <v>5469</v>
      </c>
      <c r="L381" s="71">
        <v>6092592593</v>
      </c>
      <c r="M381" s="71">
        <v>2974864809</v>
      </c>
      <c r="N381" s="3">
        <f t="shared" si="44"/>
        <v>9067457402</v>
      </c>
      <c r="O381" s="3">
        <f t="shared" si="49"/>
        <v>-52205936</v>
      </c>
      <c r="P381" s="3">
        <f t="shared" si="50"/>
        <v>-68607694</v>
      </c>
      <c r="Q381" s="169">
        <v>0</v>
      </c>
    </row>
    <row r="382" spans="9:20">
      <c r="I382" s="2"/>
      <c r="J382" s="3">
        <f t="shared" si="37"/>
        <v>207407407</v>
      </c>
      <c r="K382" s="2" t="s">
        <v>5472</v>
      </c>
      <c r="L382" s="71">
        <v>6300000000</v>
      </c>
      <c r="M382" s="71">
        <v>3050000000</v>
      </c>
      <c r="N382" s="3">
        <f t="shared" si="44"/>
        <v>9350000000</v>
      </c>
      <c r="O382" s="3">
        <f t="shared" si="49"/>
        <v>75135191</v>
      </c>
      <c r="P382" s="3">
        <f t="shared" si="50"/>
        <v>282542598</v>
      </c>
      <c r="Q382" s="169">
        <v>0</v>
      </c>
    </row>
    <row r="383" spans="9:20">
      <c r="I383" s="2"/>
      <c r="J383" s="3">
        <f t="shared" si="37"/>
        <v>202537855</v>
      </c>
      <c r="K383" s="2" t="s">
        <v>5473</v>
      </c>
      <c r="L383" s="71">
        <v>6502537855</v>
      </c>
      <c r="M383" s="71">
        <v>3154215771</v>
      </c>
      <c r="N383" s="3">
        <f t="shared" si="44"/>
        <v>9656753626</v>
      </c>
      <c r="O383" s="3">
        <f t="shared" si="49"/>
        <v>104215771</v>
      </c>
      <c r="P383" s="3">
        <f t="shared" si="50"/>
        <v>306753626</v>
      </c>
      <c r="Q383" s="169">
        <v>0</v>
      </c>
    </row>
    <row r="384" spans="9:20">
      <c r="I384" s="2"/>
      <c r="J384" s="3">
        <f t="shared" si="37"/>
        <v>-202537855</v>
      </c>
      <c r="K384" s="2" t="s">
        <v>5477</v>
      </c>
      <c r="L384" s="71">
        <v>6300000000</v>
      </c>
      <c r="M384" s="71">
        <v>3050000000</v>
      </c>
      <c r="N384" s="3">
        <f t="shared" si="44"/>
        <v>9350000000</v>
      </c>
      <c r="O384" s="3">
        <f t="shared" si="49"/>
        <v>-104215771</v>
      </c>
      <c r="P384" s="3">
        <f t="shared" si="50"/>
        <v>-306753626</v>
      </c>
      <c r="Q384" s="169">
        <v>0</v>
      </c>
    </row>
    <row r="385" spans="9:21">
      <c r="I385" s="2"/>
      <c r="J385" s="3">
        <f t="shared" si="37"/>
        <v>-183005183</v>
      </c>
      <c r="K385" s="2" t="s">
        <v>5481</v>
      </c>
      <c r="L385" s="71">
        <v>6116994817</v>
      </c>
      <c r="M385" s="71">
        <v>2980615807</v>
      </c>
      <c r="N385" s="3">
        <f t="shared" si="44"/>
        <v>9097610624</v>
      </c>
      <c r="O385" s="3">
        <f t="shared" si="49"/>
        <v>-69384193</v>
      </c>
      <c r="P385" s="3">
        <f t="shared" si="50"/>
        <v>-252389376</v>
      </c>
      <c r="Q385" s="169">
        <v>0</v>
      </c>
      <c r="T385" t="s">
        <v>25</v>
      </c>
      <c r="U385" t="s">
        <v>25</v>
      </c>
    </row>
    <row r="386" spans="9:21">
      <c r="I386" s="2"/>
      <c r="J386" s="3">
        <f t="shared" si="37"/>
        <v>168141898</v>
      </c>
      <c r="K386" s="2" t="s">
        <v>5483</v>
      </c>
      <c r="L386" s="71">
        <v>6285136715</v>
      </c>
      <c r="M386" s="71">
        <v>3101902848</v>
      </c>
      <c r="N386" s="3">
        <f t="shared" si="44"/>
        <v>9387039563</v>
      </c>
      <c r="O386" s="3">
        <f t="shared" si="49"/>
        <v>121287041</v>
      </c>
      <c r="P386" s="3">
        <f t="shared" si="50"/>
        <v>289428939</v>
      </c>
      <c r="Q386" s="169">
        <v>0</v>
      </c>
    </row>
    <row r="387" spans="9:21">
      <c r="I387" s="2"/>
      <c r="J387" s="3">
        <f t="shared" si="37"/>
        <v>-34275406</v>
      </c>
      <c r="K387" s="2" t="s">
        <v>5484</v>
      </c>
      <c r="L387" s="71">
        <v>6250861309</v>
      </c>
      <c r="M387" s="71">
        <v>3198478808</v>
      </c>
      <c r="N387" s="3">
        <f t="shared" si="44"/>
        <v>9449340117</v>
      </c>
      <c r="O387" s="3">
        <f t="shared" si="49"/>
        <v>96575960</v>
      </c>
      <c r="P387" s="3">
        <f t="shared" si="50"/>
        <v>62300554</v>
      </c>
      <c r="Q387" s="169">
        <v>0</v>
      </c>
    </row>
    <row r="388" spans="9:21">
      <c r="I388" s="2"/>
      <c r="J388" s="3">
        <f t="shared" si="37"/>
        <v>-53341821</v>
      </c>
      <c r="K388" s="2" t="s">
        <v>5485</v>
      </c>
      <c r="L388" s="71">
        <v>6197519488</v>
      </c>
      <c r="M388" s="71">
        <v>3314399558</v>
      </c>
      <c r="N388" s="3">
        <f t="shared" si="44"/>
        <v>9511919046</v>
      </c>
      <c r="O388" s="3">
        <f t="shared" si="49"/>
        <v>115920750</v>
      </c>
      <c r="P388" s="3">
        <f t="shared" si="50"/>
        <v>62578929</v>
      </c>
      <c r="Q388" s="169">
        <v>0</v>
      </c>
    </row>
    <row r="389" spans="9:21">
      <c r="I389" s="2"/>
      <c r="J389" s="3">
        <f t="shared" si="37"/>
        <v>-70853488</v>
      </c>
      <c r="K389" s="2" t="s">
        <v>5486</v>
      </c>
      <c r="L389" s="71">
        <v>6126666000</v>
      </c>
      <c r="M389" s="71">
        <v>3341157354</v>
      </c>
      <c r="N389" s="3">
        <f t="shared" si="44"/>
        <v>9467823354</v>
      </c>
      <c r="O389" s="3">
        <f t="shared" si="49"/>
        <v>26757796</v>
      </c>
      <c r="P389" s="3">
        <f t="shared" si="50"/>
        <v>-44095692</v>
      </c>
      <c r="Q389" s="169">
        <v>0</v>
      </c>
    </row>
    <row r="390" spans="9:21">
      <c r="I390" s="203" t="s">
        <v>5492</v>
      </c>
      <c r="J390" s="80">
        <f>L390-L389+98469400</f>
        <v>113425690</v>
      </c>
      <c r="K390" s="203" t="s">
        <v>5476</v>
      </c>
      <c r="L390" s="204">
        <v>6141622290</v>
      </c>
      <c r="M390" s="204">
        <v>3374346152</v>
      </c>
      <c r="N390" s="80">
        <f t="shared" si="44"/>
        <v>9515968442</v>
      </c>
      <c r="O390" s="80">
        <f>M390-M389+683050</f>
        <v>33871848</v>
      </c>
      <c r="P390" s="80">
        <f>N390-N389+98469400+683050</f>
        <v>147297538</v>
      </c>
      <c r="Q390" s="169">
        <f>-98469400-683050</f>
        <v>-99152450</v>
      </c>
    </row>
    <row r="391" spans="9:21">
      <c r="I391" s="2"/>
      <c r="J391" s="3">
        <f t="shared" si="37"/>
        <v>174895820</v>
      </c>
      <c r="K391" s="2" t="s">
        <v>5474</v>
      </c>
      <c r="L391" s="71">
        <v>6316518110</v>
      </c>
      <c r="M391" s="71">
        <v>3473516023</v>
      </c>
      <c r="N391" s="3">
        <f t="shared" si="44"/>
        <v>9790034133</v>
      </c>
      <c r="O391" s="3">
        <f t="shared" si="49"/>
        <v>99169871</v>
      </c>
      <c r="P391" s="3">
        <f t="shared" si="50"/>
        <v>274065691</v>
      </c>
      <c r="Q391" s="169">
        <v>0</v>
      </c>
    </row>
    <row r="392" spans="9:21">
      <c r="I392" s="2"/>
      <c r="J392" s="3">
        <f t="shared" si="37"/>
        <v>276610492</v>
      </c>
      <c r="K392" s="2" t="s">
        <v>5493</v>
      </c>
      <c r="L392" s="71">
        <v>6593128602</v>
      </c>
      <c r="M392" s="71">
        <v>3636387688</v>
      </c>
      <c r="N392" s="217">
        <f t="shared" si="44"/>
        <v>10229516290</v>
      </c>
      <c r="O392" s="3">
        <f t="shared" si="49"/>
        <v>162871665</v>
      </c>
      <c r="P392" s="3">
        <f t="shared" si="50"/>
        <v>439482157</v>
      </c>
      <c r="Q392" s="169">
        <v>0</v>
      </c>
    </row>
    <row r="393" spans="9:21">
      <c r="I393" s="2"/>
      <c r="J393" s="3">
        <f t="shared" si="37"/>
        <v>34366370</v>
      </c>
      <c r="K393" s="2" t="s">
        <v>5494</v>
      </c>
      <c r="L393" s="71">
        <v>6627494972</v>
      </c>
      <c r="M393" s="71">
        <v>3737746960</v>
      </c>
      <c r="N393" s="217">
        <f t="shared" si="44"/>
        <v>10365241932</v>
      </c>
      <c r="O393" s="3">
        <f t="shared" si="49"/>
        <v>101359272</v>
      </c>
      <c r="P393" s="3">
        <f t="shared" si="50"/>
        <v>135725642</v>
      </c>
      <c r="Q393" s="169">
        <v>0</v>
      </c>
    </row>
    <row r="394" spans="9:21">
      <c r="I394" s="2"/>
      <c r="J394" s="3">
        <f t="shared" si="37"/>
        <v>-35088651</v>
      </c>
      <c r="K394" s="2" t="s">
        <v>5495</v>
      </c>
      <c r="L394" s="71">
        <v>6592406321</v>
      </c>
      <c r="M394" s="71">
        <v>3809828043</v>
      </c>
      <c r="N394" s="217">
        <f t="shared" si="44"/>
        <v>10402234364</v>
      </c>
      <c r="O394" s="3">
        <f t="shared" si="49"/>
        <v>72081083</v>
      </c>
      <c r="P394" s="3">
        <f t="shared" si="50"/>
        <v>36992432</v>
      </c>
      <c r="Q394" s="169">
        <v>0</v>
      </c>
    </row>
    <row r="395" spans="9:21">
      <c r="I395" s="2"/>
      <c r="J395" s="3">
        <f t="shared" si="37"/>
        <v>60518657</v>
      </c>
      <c r="K395" s="2" t="s">
        <v>5497</v>
      </c>
      <c r="L395" s="71">
        <v>6652924978</v>
      </c>
      <c r="M395" s="71">
        <v>3886247065</v>
      </c>
      <c r="N395" s="31">
        <f t="shared" si="44"/>
        <v>10539172043</v>
      </c>
      <c r="O395" s="3">
        <f t="shared" si="49"/>
        <v>76419022</v>
      </c>
      <c r="P395" s="3">
        <f t="shared" si="50"/>
        <v>136937679</v>
      </c>
      <c r="Q395" s="169">
        <v>0</v>
      </c>
    </row>
    <row r="396" spans="9:21">
      <c r="I396" s="2"/>
      <c r="J396" s="3">
        <f t="shared" si="37"/>
        <v>-157208317</v>
      </c>
      <c r="K396" s="2" t="s">
        <v>5498</v>
      </c>
      <c r="L396" s="71">
        <v>6495716661</v>
      </c>
      <c r="M396" s="71">
        <v>3847093958</v>
      </c>
      <c r="N396" s="3">
        <f t="shared" si="44"/>
        <v>10342810619</v>
      </c>
      <c r="O396" s="3">
        <f t="shared" si="49"/>
        <v>-39153107</v>
      </c>
      <c r="P396" s="3">
        <f t="shared" si="50"/>
        <v>-196361424</v>
      </c>
      <c r="Q396" s="169">
        <v>0</v>
      </c>
    </row>
    <row r="397" spans="9:21">
      <c r="I397" s="2"/>
      <c r="J397" s="3">
        <f t="shared" si="37"/>
        <v>-223145870</v>
      </c>
      <c r="K397" s="2" t="s">
        <v>5499</v>
      </c>
      <c r="L397" s="71">
        <v>6272570791</v>
      </c>
      <c r="M397" s="71">
        <v>3722276044</v>
      </c>
      <c r="N397" s="3">
        <f t="shared" si="44"/>
        <v>9994846835</v>
      </c>
      <c r="O397" s="3">
        <f t="shared" si="49"/>
        <v>-124817914</v>
      </c>
      <c r="P397" s="3">
        <f t="shared" si="50"/>
        <v>-347963784</v>
      </c>
      <c r="Q397" s="169">
        <v>0</v>
      </c>
    </row>
    <row r="398" spans="9:21">
      <c r="I398" s="2"/>
      <c r="J398" s="3">
        <f t="shared" si="37"/>
        <v>-227530904</v>
      </c>
      <c r="K398" s="2" t="s">
        <v>5475</v>
      </c>
      <c r="L398" s="71">
        <v>6045039887</v>
      </c>
      <c r="M398" s="71">
        <v>3588931144</v>
      </c>
      <c r="N398" s="3">
        <f t="shared" si="44"/>
        <v>9633971031</v>
      </c>
      <c r="O398" s="3">
        <f t="shared" si="49"/>
        <v>-133344900</v>
      </c>
      <c r="P398" s="3">
        <f t="shared" si="50"/>
        <v>-360875804</v>
      </c>
      <c r="Q398" s="169">
        <v>0</v>
      </c>
    </row>
    <row r="399" spans="9:21">
      <c r="I399" s="2"/>
      <c r="J399" s="3">
        <f t="shared" si="37"/>
        <v>109503474</v>
      </c>
      <c r="K399" s="2" t="s">
        <v>5502</v>
      </c>
      <c r="L399" s="71">
        <v>6154543361</v>
      </c>
      <c r="M399" s="71">
        <v>3629118507</v>
      </c>
      <c r="N399" s="3">
        <f t="shared" si="44"/>
        <v>9783661868</v>
      </c>
      <c r="O399" s="3">
        <f t="shared" si="49"/>
        <v>40187363</v>
      </c>
      <c r="P399" s="3">
        <f t="shared" si="50"/>
        <v>149690837</v>
      </c>
      <c r="Q399" s="169">
        <v>0</v>
      </c>
    </row>
    <row r="400" spans="9:21">
      <c r="I400" s="2"/>
      <c r="J400" s="3">
        <f t="shared" si="37"/>
        <v>-644129068</v>
      </c>
      <c r="K400" s="2" t="s">
        <v>5503</v>
      </c>
      <c r="L400" s="71">
        <v>5510414293</v>
      </c>
      <c r="M400" s="71">
        <v>3254206558</v>
      </c>
      <c r="N400" s="3">
        <f t="shared" si="44"/>
        <v>8764620851</v>
      </c>
      <c r="O400" s="3">
        <f t="shared" si="49"/>
        <v>-374911949</v>
      </c>
      <c r="P400" s="3">
        <f t="shared" si="50"/>
        <v>-1019041017</v>
      </c>
      <c r="Q400" s="169">
        <v>0</v>
      </c>
      <c r="U400" t="s">
        <v>25</v>
      </c>
    </row>
    <row r="401" spans="9:17">
      <c r="I401" s="2"/>
      <c r="J401" s="3">
        <f t="shared" si="37"/>
        <v>257585707</v>
      </c>
      <c r="K401" s="2" t="s">
        <v>5505</v>
      </c>
      <c r="L401" s="71">
        <v>5768000000</v>
      </c>
      <c r="M401" s="71">
        <v>3381000000</v>
      </c>
      <c r="N401" s="3">
        <f t="shared" si="44"/>
        <v>9149000000</v>
      </c>
      <c r="O401" s="3">
        <f t="shared" si="49"/>
        <v>126793442</v>
      </c>
      <c r="P401" s="3">
        <f t="shared" si="50"/>
        <v>384379149</v>
      </c>
      <c r="Q401" s="169">
        <v>0</v>
      </c>
    </row>
    <row r="402" spans="9:17">
      <c r="I402" s="2"/>
      <c r="J402" s="3">
        <f t="shared" si="37"/>
        <v>-168000000</v>
      </c>
      <c r="K402" s="2" t="s">
        <v>3868</v>
      </c>
      <c r="L402" s="71">
        <v>5600000000</v>
      </c>
      <c r="M402" s="71">
        <v>3250000000</v>
      </c>
      <c r="N402" s="3">
        <f t="shared" si="44"/>
        <v>8850000000</v>
      </c>
      <c r="O402" s="3">
        <f t="shared" si="49"/>
        <v>-131000000</v>
      </c>
      <c r="P402" s="3">
        <f t="shared" si="50"/>
        <v>-299000000</v>
      </c>
      <c r="Q402" s="169">
        <v>0</v>
      </c>
    </row>
    <row r="403" spans="9:17">
      <c r="I403" s="2"/>
      <c r="J403" s="3">
        <f t="shared" si="37"/>
        <v>-150000000</v>
      </c>
      <c r="K403" s="2" t="s">
        <v>5506</v>
      </c>
      <c r="L403" s="71">
        <v>5450000000</v>
      </c>
      <c r="M403" s="71">
        <v>3100000000</v>
      </c>
      <c r="N403" s="3">
        <f t="shared" si="44"/>
        <v>8550000000</v>
      </c>
      <c r="O403" s="3">
        <f t="shared" si="49"/>
        <v>-150000000</v>
      </c>
      <c r="P403" s="3">
        <f t="shared" si="50"/>
        <v>-300000000</v>
      </c>
      <c r="Q403" s="169">
        <v>0</v>
      </c>
    </row>
    <row r="404" spans="9:17">
      <c r="I404" s="2"/>
      <c r="J404" s="3">
        <f t="shared" si="37"/>
        <v>-150000000</v>
      </c>
      <c r="K404" s="2" t="s">
        <v>5508</v>
      </c>
      <c r="L404" s="71">
        <v>5300000000</v>
      </c>
      <c r="M404" s="71">
        <v>3050000000</v>
      </c>
      <c r="N404" s="3">
        <f t="shared" si="44"/>
        <v>8350000000</v>
      </c>
      <c r="O404" s="3">
        <f t="shared" si="49"/>
        <v>-50000000</v>
      </c>
      <c r="P404" s="3">
        <f t="shared" si="50"/>
        <v>-200000000</v>
      </c>
      <c r="Q404" s="169">
        <v>0</v>
      </c>
    </row>
    <row r="405" spans="9:17">
      <c r="I405" s="2"/>
      <c r="J405" s="3">
        <f t="shared" si="37"/>
        <v>-150000000</v>
      </c>
      <c r="K405" s="2" t="s">
        <v>5510</v>
      </c>
      <c r="L405" s="71">
        <v>5150000000</v>
      </c>
      <c r="M405" s="71">
        <v>3000000000</v>
      </c>
      <c r="N405" s="3">
        <f t="shared" si="44"/>
        <v>8150000000</v>
      </c>
      <c r="O405" s="3">
        <f t="shared" si="49"/>
        <v>-50000000</v>
      </c>
      <c r="P405" s="3">
        <f t="shared" si="50"/>
        <v>-200000000</v>
      </c>
      <c r="Q405" s="169">
        <v>0</v>
      </c>
    </row>
    <row r="406" spans="9:17">
      <c r="I406" s="2"/>
      <c r="J406" s="3">
        <f t="shared" si="37"/>
        <v>-135453928</v>
      </c>
      <c r="K406" s="2" t="s">
        <v>5512</v>
      </c>
      <c r="L406" s="71">
        <v>5014546072</v>
      </c>
      <c r="M406" s="71">
        <v>2987995133</v>
      </c>
      <c r="N406" s="3">
        <f t="shared" si="44"/>
        <v>8002541205</v>
      </c>
      <c r="O406" s="3">
        <f t="shared" si="49"/>
        <v>-12004867</v>
      </c>
      <c r="P406" s="3">
        <f t="shared" si="50"/>
        <v>-147458795</v>
      </c>
      <c r="Q406" s="169">
        <v>0</v>
      </c>
    </row>
    <row r="407" spans="9:17">
      <c r="I407" s="2"/>
      <c r="J407" s="3">
        <f t="shared" si="37"/>
        <v>241706477</v>
      </c>
      <c r="K407" s="2" t="s">
        <v>5514</v>
      </c>
      <c r="L407" s="71">
        <v>5256252549</v>
      </c>
      <c r="M407" s="71">
        <v>3103570482</v>
      </c>
      <c r="N407" s="3">
        <f t="shared" si="44"/>
        <v>8359823031</v>
      </c>
      <c r="O407" s="3">
        <f t="shared" si="49"/>
        <v>115575349</v>
      </c>
      <c r="P407" s="3">
        <f t="shared" si="50"/>
        <v>357281826</v>
      </c>
      <c r="Q407" s="169">
        <v>0</v>
      </c>
    </row>
    <row r="408" spans="9:17">
      <c r="I408" s="2"/>
      <c r="J408" s="3">
        <f t="shared" si="37"/>
        <v>251475479</v>
      </c>
      <c r="K408" s="2" t="s">
        <v>5515</v>
      </c>
      <c r="L408" s="71">
        <v>5507728028</v>
      </c>
      <c r="M408" s="71">
        <v>3251586232</v>
      </c>
      <c r="N408" s="3">
        <f t="shared" si="44"/>
        <v>8759314260</v>
      </c>
      <c r="O408" s="3">
        <f t="shared" si="49"/>
        <v>148015750</v>
      </c>
      <c r="P408" s="3">
        <f t="shared" si="50"/>
        <v>399491229</v>
      </c>
      <c r="Q408" s="169">
        <v>0</v>
      </c>
    </row>
    <row r="409" spans="9:17">
      <c r="I409" s="2"/>
      <c r="J409" s="3">
        <f t="shared" si="37"/>
        <v>-207728028</v>
      </c>
      <c r="K409" s="2" t="s">
        <v>5516</v>
      </c>
      <c r="L409" s="71">
        <v>5300000000</v>
      </c>
      <c r="M409" s="71">
        <v>3150000000</v>
      </c>
      <c r="N409" s="3">
        <f t="shared" si="44"/>
        <v>8450000000</v>
      </c>
      <c r="O409" s="3">
        <f t="shared" si="49"/>
        <v>-101586232</v>
      </c>
      <c r="P409" s="3">
        <f t="shared" si="50"/>
        <v>-309314260</v>
      </c>
      <c r="Q409" s="169">
        <v>0</v>
      </c>
    </row>
    <row r="410" spans="9:17">
      <c r="I410" s="2"/>
      <c r="J410" s="3">
        <f t="shared" si="37"/>
        <v>-178432621</v>
      </c>
      <c r="K410" s="2" t="s">
        <v>5519</v>
      </c>
      <c r="L410" s="71">
        <v>5121567379</v>
      </c>
      <c r="M410" s="71">
        <v>3018847808</v>
      </c>
      <c r="N410" s="3">
        <f t="shared" si="44"/>
        <v>8140415187</v>
      </c>
      <c r="O410" s="3">
        <f t="shared" si="49"/>
        <v>-131152192</v>
      </c>
      <c r="P410" s="3">
        <f t="shared" si="50"/>
        <v>-309584813</v>
      </c>
      <c r="Q410" s="169">
        <v>0</v>
      </c>
    </row>
    <row r="411" spans="9:17">
      <c r="I411" s="2"/>
      <c r="J411" s="3">
        <f t="shared" si="37"/>
        <v>96814281</v>
      </c>
      <c r="K411" s="2" t="s">
        <v>5521</v>
      </c>
      <c r="L411" s="71">
        <v>5218381660</v>
      </c>
      <c r="M411" s="71">
        <v>3066844882</v>
      </c>
      <c r="N411" s="3">
        <f t="shared" si="44"/>
        <v>8285226542</v>
      </c>
      <c r="O411" s="3">
        <f t="shared" si="49"/>
        <v>47997074</v>
      </c>
      <c r="P411" s="3">
        <f t="shared" si="50"/>
        <v>144811355</v>
      </c>
      <c r="Q411" s="169">
        <v>0</v>
      </c>
    </row>
    <row r="412" spans="9:17">
      <c r="I412" s="2"/>
      <c r="J412" s="3">
        <f t="shared" si="37"/>
        <v>-3247574</v>
      </c>
      <c r="K412" s="2" t="s">
        <v>5524</v>
      </c>
      <c r="L412" s="71">
        <v>5215134086</v>
      </c>
      <c r="M412" s="71">
        <v>3078145871</v>
      </c>
      <c r="N412" s="3">
        <f t="shared" si="44"/>
        <v>8293279957</v>
      </c>
      <c r="O412" s="3">
        <f t="shared" si="49"/>
        <v>11300989</v>
      </c>
      <c r="P412" s="3">
        <f t="shared" si="50"/>
        <v>8053415</v>
      </c>
      <c r="Q412" s="169">
        <v>0</v>
      </c>
    </row>
    <row r="413" spans="9:17">
      <c r="I413" s="2"/>
      <c r="J413" s="3">
        <f t="shared" si="37"/>
        <v>5019616</v>
      </c>
      <c r="K413" s="2" t="s">
        <v>5525</v>
      </c>
      <c r="L413" s="71">
        <v>5220153702</v>
      </c>
      <c r="M413" s="71">
        <v>3087043354</v>
      </c>
      <c r="N413" s="3">
        <f t="shared" si="44"/>
        <v>8307197056</v>
      </c>
      <c r="O413" s="3">
        <f t="shared" si="49"/>
        <v>8897483</v>
      </c>
      <c r="P413" s="3">
        <f t="shared" si="50"/>
        <v>13917099</v>
      </c>
      <c r="Q413" s="169">
        <v>0</v>
      </c>
    </row>
    <row r="414" spans="9:17">
      <c r="I414" s="2"/>
      <c r="J414" s="3">
        <f t="shared" si="37"/>
        <v>-62469210</v>
      </c>
      <c r="K414" s="2" t="s">
        <v>5526</v>
      </c>
      <c r="L414" s="71">
        <v>5157684492</v>
      </c>
      <c r="M414" s="71">
        <v>3055766920</v>
      </c>
      <c r="N414" s="3">
        <f t="shared" si="44"/>
        <v>8213451412</v>
      </c>
      <c r="O414" s="3">
        <f t="shared" si="49"/>
        <v>-31276434</v>
      </c>
      <c r="P414" s="3">
        <f t="shared" si="50"/>
        <v>-93745644</v>
      </c>
      <c r="Q414" s="169">
        <v>0</v>
      </c>
    </row>
    <row r="415" spans="9:17">
      <c r="I415" s="2"/>
      <c r="J415" s="3">
        <f t="shared" si="37"/>
        <v>-172184470</v>
      </c>
      <c r="K415" s="2" t="s">
        <v>5529</v>
      </c>
      <c r="L415" s="71">
        <v>4985500022</v>
      </c>
      <c r="M415" s="71">
        <v>3006602536</v>
      </c>
      <c r="N415" s="3">
        <f t="shared" si="44"/>
        <v>7992102558</v>
      </c>
      <c r="O415" s="3">
        <f t="shared" si="49"/>
        <v>-49164384</v>
      </c>
      <c r="P415" s="3">
        <f t="shared" si="50"/>
        <v>-221348854</v>
      </c>
      <c r="Q415" s="169">
        <v>0</v>
      </c>
    </row>
    <row r="416" spans="9:17">
      <c r="I416" s="2"/>
      <c r="J416" s="3">
        <f t="shared" ref="J416:J559" si="51">L416-L415</f>
        <v>147652909</v>
      </c>
      <c r="K416" s="2" t="s">
        <v>5530</v>
      </c>
      <c r="L416" s="71">
        <v>5133152931</v>
      </c>
      <c r="M416" s="71">
        <v>3092223617</v>
      </c>
      <c r="N416" s="3">
        <f t="shared" ref="N416:N462" si="52">L416+M416</f>
        <v>8225376548</v>
      </c>
      <c r="O416" s="3">
        <f t="shared" ref="O416:O439" si="53">M416-M415</f>
        <v>85621081</v>
      </c>
      <c r="P416" s="3">
        <f t="shared" ref="P416:P439" si="54">N416-N415</f>
        <v>233273990</v>
      </c>
      <c r="Q416" s="169">
        <v>0</v>
      </c>
    </row>
    <row r="417" spans="9:21">
      <c r="I417" s="2"/>
      <c r="J417" s="3">
        <f t="shared" si="51"/>
        <v>189045597</v>
      </c>
      <c r="K417" s="2" t="s">
        <v>5531</v>
      </c>
      <c r="L417" s="71">
        <v>5322198528</v>
      </c>
      <c r="M417" s="71">
        <v>3215671484</v>
      </c>
      <c r="N417" s="3">
        <f t="shared" si="52"/>
        <v>8537870012</v>
      </c>
      <c r="O417" s="3">
        <f t="shared" si="53"/>
        <v>123447867</v>
      </c>
      <c r="P417" s="3">
        <f t="shared" si="54"/>
        <v>312493464</v>
      </c>
      <c r="Q417" s="169">
        <v>0</v>
      </c>
    </row>
    <row r="418" spans="9:21">
      <c r="I418" s="2"/>
      <c r="J418" s="3">
        <f t="shared" si="51"/>
        <v>-31187186</v>
      </c>
      <c r="K418" s="2" t="s">
        <v>5536</v>
      </c>
      <c r="L418" s="71">
        <v>5291011342</v>
      </c>
      <c r="M418" s="71">
        <v>3221615755</v>
      </c>
      <c r="N418" s="3">
        <f t="shared" si="52"/>
        <v>8512627097</v>
      </c>
      <c r="O418" s="3">
        <f t="shared" si="53"/>
        <v>5944271</v>
      </c>
      <c r="P418" s="3">
        <f t="shared" si="54"/>
        <v>-25242915</v>
      </c>
      <c r="Q418" s="169">
        <v>0</v>
      </c>
    </row>
    <row r="419" spans="9:21">
      <c r="I419" s="2"/>
      <c r="J419" s="3">
        <f t="shared" si="51"/>
        <v>153649923</v>
      </c>
      <c r="K419" s="2" t="s">
        <v>5537</v>
      </c>
      <c r="L419" s="71">
        <v>5444661265</v>
      </c>
      <c r="M419" s="71">
        <v>3324294604</v>
      </c>
      <c r="N419" s="3">
        <f t="shared" si="52"/>
        <v>8768955869</v>
      </c>
      <c r="O419" s="3">
        <f t="shared" si="53"/>
        <v>102678849</v>
      </c>
      <c r="P419" s="3">
        <f t="shared" si="54"/>
        <v>256328772</v>
      </c>
      <c r="Q419" s="169">
        <v>0</v>
      </c>
    </row>
    <row r="420" spans="9:21">
      <c r="I420" s="2"/>
      <c r="J420" s="3">
        <f t="shared" si="51"/>
        <v>137145554</v>
      </c>
      <c r="K420" s="2" t="s">
        <v>4158</v>
      </c>
      <c r="L420" s="71">
        <v>5581806819</v>
      </c>
      <c r="M420" s="71">
        <v>3412581549</v>
      </c>
      <c r="N420" s="3">
        <f t="shared" si="52"/>
        <v>8994388368</v>
      </c>
      <c r="O420" s="3">
        <f t="shared" si="53"/>
        <v>88286945</v>
      </c>
      <c r="P420" s="3">
        <f t="shared" si="54"/>
        <v>225432499</v>
      </c>
      <c r="Q420" s="169">
        <v>0</v>
      </c>
    </row>
    <row r="421" spans="9:21">
      <c r="I421" s="2"/>
      <c r="J421" s="3">
        <f t="shared" si="51"/>
        <v>193856034</v>
      </c>
      <c r="K421" s="2" t="s">
        <v>5539</v>
      </c>
      <c r="L421" s="71">
        <v>5775662853</v>
      </c>
      <c r="M421" s="71">
        <v>3525253290</v>
      </c>
      <c r="N421" s="3">
        <f t="shared" si="52"/>
        <v>9300916143</v>
      </c>
      <c r="O421" s="3">
        <f t="shared" si="53"/>
        <v>112671741</v>
      </c>
      <c r="P421" s="3">
        <f t="shared" si="54"/>
        <v>306527775</v>
      </c>
      <c r="Q421" s="169">
        <v>0</v>
      </c>
    </row>
    <row r="422" spans="9:21">
      <c r="I422" s="2"/>
      <c r="J422" s="3">
        <f t="shared" si="51"/>
        <v>74337147</v>
      </c>
      <c r="K422" s="2" t="s">
        <v>5541</v>
      </c>
      <c r="L422" s="71">
        <v>5850000000</v>
      </c>
      <c r="M422" s="71">
        <v>3570000000</v>
      </c>
      <c r="N422" s="3">
        <f t="shared" si="52"/>
        <v>9420000000</v>
      </c>
      <c r="O422" s="3">
        <f t="shared" si="53"/>
        <v>44746710</v>
      </c>
      <c r="P422" s="3">
        <f t="shared" si="54"/>
        <v>119083857</v>
      </c>
      <c r="Q422" s="169">
        <v>0</v>
      </c>
    </row>
    <row r="423" spans="9:21">
      <c r="I423" s="2"/>
      <c r="J423" s="3">
        <f t="shared" si="51"/>
        <v>50000000</v>
      </c>
      <c r="K423" s="2" t="s">
        <v>5542</v>
      </c>
      <c r="L423" s="71">
        <v>5900000000</v>
      </c>
      <c r="M423" s="71">
        <v>3600000000</v>
      </c>
      <c r="N423" s="3">
        <f t="shared" si="52"/>
        <v>9500000000</v>
      </c>
      <c r="O423" s="3">
        <f t="shared" si="53"/>
        <v>30000000</v>
      </c>
      <c r="P423" s="3">
        <f t="shared" si="54"/>
        <v>80000000</v>
      </c>
      <c r="Q423" s="169">
        <v>0</v>
      </c>
    </row>
    <row r="424" spans="9:21">
      <c r="I424" s="2"/>
      <c r="J424" s="3">
        <f t="shared" si="51"/>
        <v>157818490</v>
      </c>
      <c r="K424" s="2" t="s">
        <v>5543</v>
      </c>
      <c r="L424" s="71">
        <v>6057818490</v>
      </c>
      <c r="M424" s="71">
        <v>3674629787</v>
      </c>
      <c r="N424" s="3">
        <f t="shared" si="52"/>
        <v>9732448277</v>
      </c>
      <c r="O424" s="3">
        <f t="shared" si="53"/>
        <v>74629787</v>
      </c>
      <c r="P424" s="3">
        <f t="shared" si="54"/>
        <v>232448277</v>
      </c>
      <c r="Q424" s="169">
        <v>0</v>
      </c>
    </row>
    <row r="425" spans="9:21">
      <c r="I425" s="2"/>
      <c r="J425" s="3">
        <f t="shared" si="51"/>
        <v>132857927</v>
      </c>
      <c r="K425" s="2" t="s">
        <v>5554</v>
      </c>
      <c r="L425" s="71">
        <v>6190676417</v>
      </c>
      <c r="M425" s="71">
        <v>3729667303</v>
      </c>
      <c r="N425" s="3">
        <f t="shared" si="52"/>
        <v>9920343720</v>
      </c>
      <c r="O425" s="3">
        <f t="shared" si="53"/>
        <v>55037516</v>
      </c>
      <c r="P425" s="3">
        <f t="shared" si="54"/>
        <v>187895443</v>
      </c>
      <c r="Q425" s="169">
        <v>0</v>
      </c>
    </row>
    <row r="426" spans="9:21">
      <c r="I426" s="2"/>
      <c r="J426" s="3">
        <f t="shared" si="51"/>
        <v>91232594</v>
      </c>
      <c r="K426" s="2" t="s">
        <v>5555</v>
      </c>
      <c r="L426" s="71">
        <v>6281909011</v>
      </c>
      <c r="M426" s="71">
        <v>3762010921</v>
      </c>
      <c r="N426" s="3">
        <f t="shared" si="52"/>
        <v>10043919932</v>
      </c>
      <c r="O426" s="3">
        <f t="shared" si="53"/>
        <v>32343618</v>
      </c>
      <c r="P426" s="3">
        <f t="shared" si="54"/>
        <v>123576212</v>
      </c>
      <c r="Q426" s="169">
        <v>0</v>
      </c>
    </row>
    <row r="427" spans="9:21">
      <c r="I427" s="2"/>
      <c r="J427" s="3">
        <f t="shared" si="51"/>
        <v>164439952</v>
      </c>
      <c r="K427" s="2" t="s">
        <v>5557</v>
      </c>
      <c r="L427" s="71">
        <v>6446348963</v>
      </c>
      <c r="M427" s="71">
        <v>3845614899</v>
      </c>
      <c r="N427" s="3">
        <f t="shared" si="52"/>
        <v>10291963862</v>
      </c>
      <c r="O427" s="3">
        <f t="shared" si="53"/>
        <v>83603978</v>
      </c>
      <c r="P427" s="3">
        <f t="shared" si="54"/>
        <v>248043930</v>
      </c>
      <c r="Q427" s="169">
        <v>0</v>
      </c>
      <c r="S427" t="s">
        <v>25</v>
      </c>
    </row>
    <row r="428" spans="9:21">
      <c r="I428" s="2"/>
      <c r="J428" s="3">
        <f t="shared" si="51"/>
        <v>-371447429</v>
      </c>
      <c r="K428" s="2" t="s">
        <v>5559</v>
      </c>
      <c r="L428" s="71">
        <v>6074901534</v>
      </c>
      <c r="M428" s="71">
        <v>3651455158</v>
      </c>
      <c r="N428" s="3">
        <f t="shared" si="52"/>
        <v>9726356692</v>
      </c>
      <c r="O428" s="3">
        <f t="shared" si="53"/>
        <v>-194159741</v>
      </c>
      <c r="P428" s="3">
        <f t="shared" si="54"/>
        <v>-565607170</v>
      </c>
      <c r="Q428" s="169">
        <v>0</v>
      </c>
      <c r="U428" t="s">
        <v>25</v>
      </c>
    </row>
    <row r="429" spans="9:21">
      <c r="I429" s="2"/>
      <c r="J429" s="3">
        <f t="shared" si="51"/>
        <v>10480171</v>
      </c>
      <c r="K429" s="2" t="s">
        <v>5560</v>
      </c>
      <c r="L429" s="71">
        <v>6085381705</v>
      </c>
      <c r="M429" s="71">
        <v>3519278868</v>
      </c>
      <c r="N429" s="3">
        <f t="shared" si="52"/>
        <v>9604660573</v>
      </c>
      <c r="O429" s="3">
        <f t="shared" si="53"/>
        <v>-132176290</v>
      </c>
      <c r="P429" s="3">
        <f t="shared" si="54"/>
        <v>-121696119</v>
      </c>
      <c r="Q429" s="169">
        <v>0</v>
      </c>
    </row>
    <row r="430" spans="9:21">
      <c r="I430" s="2"/>
      <c r="J430" s="3">
        <f t="shared" si="51"/>
        <v>78259044</v>
      </c>
      <c r="K430" s="2" t="s">
        <v>5562</v>
      </c>
      <c r="L430" s="71">
        <v>6163640749</v>
      </c>
      <c r="M430" s="71">
        <v>3565355810</v>
      </c>
      <c r="N430" s="3">
        <f t="shared" si="52"/>
        <v>9728996559</v>
      </c>
      <c r="O430" s="3">
        <f t="shared" si="53"/>
        <v>46076942</v>
      </c>
      <c r="P430" s="3">
        <f t="shared" si="54"/>
        <v>124335986</v>
      </c>
      <c r="Q430" s="169">
        <v>0</v>
      </c>
      <c r="S430" t="s">
        <v>25</v>
      </c>
    </row>
    <row r="431" spans="9:21">
      <c r="I431" s="2"/>
      <c r="J431" s="3">
        <f t="shared" si="51"/>
        <v>49454223</v>
      </c>
      <c r="K431" s="2" t="s">
        <v>5566</v>
      </c>
      <c r="L431" s="71">
        <v>6213094972</v>
      </c>
      <c r="M431" s="71">
        <v>3626911016</v>
      </c>
      <c r="N431" s="3">
        <f t="shared" si="52"/>
        <v>9840005988</v>
      </c>
      <c r="O431" s="3">
        <f t="shared" si="53"/>
        <v>61555206</v>
      </c>
      <c r="P431" s="3">
        <f t="shared" si="54"/>
        <v>111009429</v>
      </c>
      <c r="Q431" s="169">
        <v>0</v>
      </c>
    </row>
    <row r="432" spans="9:21">
      <c r="I432" s="2"/>
      <c r="J432" s="3">
        <f t="shared" si="51"/>
        <v>132208320</v>
      </c>
      <c r="K432" s="2" t="s">
        <v>5568</v>
      </c>
      <c r="L432" s="71">
        <v>6345303292</v>
      </c>
      <c r="M432" s="71">
        <v>3665122650</v>
      </c>
      <c r="N432" s="3">
        <f t="shared" si="52"/>
        <v>10010425942</v>
      </c>
      <c r="O432" s="3">
        <f t="shared" si="53"/>
        <v>38211634</v>
      </c>
      <c r="P432" s="3">
        <f t="shared" si="54"/>
        <v>170419954</v>
      </c>
      <c r="Q432" s="169">
        <v>0</v>
      </c>
    </row>
    <row r="433" spans="9:20">
      <c r="I433" s="2"/>
      <c r="J433" s="3">
        <f t="shared" si="51"/>
        <v>-262982510</v>
      </c>
      <c r="K433" s="2" t="s">
        <v>5570</v>
      </c>
      <c r="L433" s="71">
        <v>6082320782</v>
      </c>
      <c r="M433" s="71">
        <v>3526148342</v>
      </c>
      <c r="N433" s="3">
        <f t="shared" si="52"/>
        <v>9608469124</v>
      </c>
      <c r="O433" s="3">
        <f t="shared" si="53"/>
        <v>-138974308</v>
      </c>
      <c r="P433" s="3">
        <f t="shared" si="54"/>
        <v>-401956818</v>
      </c>
      <c r="Q433" s="169">
        <v>0</v>
      </c>
    </row>
    <row r="434" spans="9:20">
      <c r="I434" s="2"/>
      <c r="J434" s="3">
        <f t="shared" si="51"/>
        <v>-222123228</v>
      </c>
      <c r="K434" s="2" t="s">
        <v>5571</v>
      </c>
      <c r="L434" s="71">
        <v>5860197554</v>
      </c>
      <c r="M434" s="71">
        <v>3397457932</v>
      </c>
      <c r="N434" s="3">
        <f t="shared" si="52"/>
        <v>9257655486</v>
      </c>
      <c r="O434" s="3">
        <f t="shared" si="53"/>
        <v>-128690410</v>
      </c>
      <c r="P434" s="3">
        <f t="shared" si="54"/>
        <v>-350813638</v>
      </c>
      <c r="Q434" s="169">
        <v>0</v>
      </c>
    </row>
    <row r="435" spans="9:20">
      <c r="I435" s="2"/>
      <c r="J435" s="3">
        <f t="shared" si="51"/>
        <v>305950438</v>
      </c>
      <c r="K435" s="2" t="s">
        <v>5572</v>
      </c>
      <c r="L435" s="71">
        <v>6166147992</v>
      </c>
      <c r="M435" s="71">
        <v>3569773836</v>
      </c>
      <c r="N435" s="3">
        <f t="shared" si="52"/>
        <v>9735921828</v>
      </c>
      <c r="O435" s="3">
        <f t="shared" si="53"/>
        <v>172315904</v>
      </c>
      <c r="P435" s="3">
        <f t="shared" si="54"/>
        <v>478266342</v>
      </c>
      <c r="Q435" s="169">
        <v>0</v>
      </c>
    </row>
    <row r="436" spans="9:20">
      <c r="I436" s="2"/>
      <c r="J436" s="3">
        <f t="shared" si="51"/>
        <v>-53034278</v>
      </c>
      <c r="K436" s="2" t="s">
        <v>5573</v>
      </c>
      <c r="L436" s="71">
        <v>6113113714</v>
      </c>
      <c r="M436" s="71">
        <v>3533315565</v>
      </c>
      <c r="N436" s="3">
        <f t="shared" si="52"/>
        <v>9646429279</v>
      </c>
      <c r="O436" s="3">
        <f t="shared" si="53"/>
        <v>-36458271</v>
      </c>
      <c r="P436" s="3">
        <f t="shared" si="54"/>
        <v>-89492549</v>
      </c>
      <c r="Q436" s="169">
        <v>0</v>
      </c>
    </row>
    <row r="437" spans="9:20">
      <c r="I437" s="2"/>
      <c r="J437" s="3">
        <f t="shared" si="51"/>
        <v>-113113714</v>
      </c>
      <c r="K437" s="2" t="s">
        <v>5574</v>
      </c>
      <c r="L437" s="71">
        <v>6000000000</v>
      </c>
      <c r="M437" s="71">
        <v>3400000000</v>
      </c>
      <c r="N437" s="3">
        <f t="shared" si="52"/>
        <v>9400000000</v>
      </c>
      <c r="O437" s="3">
        <f t="shared" si="53"/>
        <v>-133315565</v>
      </c>
      <c r="P437" s="3">
        <f t="shared" si="54"/>
        <v>-246429279</v>
      </c>
      <c r="Q437" s="169">
        <v>0</v>
      </c>
    </row>
    <row r="438" spans="9:20">
      <c r="I438" s="2"/>
      <c r="J438" s="3">
        <f t="shared" si="51"/>
        <v>95898606</v>
      </c>
      <c r="K438" s="2" t="s">
        <v>5575</v>
      </c>
      <c r="L438" s="71">
        <v>6095898606</v>
      </c>
      <c r="M438" s="71">
        <v>3519276285</v>
      </c>
      <c r="N438" s="3">
        <f t="shared" si="52"/>
        <v>9615174891</v>
      </c>
      <c r="O438" s="3">
        <f t="shared" si="53"/>
        <v>119276285</v>
      </c>
      <c r="P438" s="3">
        <f t="shared" si="54"/>
        <v>215174891</v>
      </c>
      <c r="Q438" s="169">
        <v>0</v>
      </c>
      <c r="S438" t="s">
        <v>25</v>
      </c>
    </row>
    <row r="439" spans="9:20">
      <c r="I439" s="2"/>
      <c r="J439" s="3">
        <f t="shared" si="51"/>
        <v>50657083</v>
      </c>
      <c r="K439" s="2" t="s">
        <v>5576</v>
      </c>
      <c r="L439" s="71">
        <v>6146555689</v>
      </c>
      <c r="M439" s="71">
        <v>3519245731</v>
      </c>
      <c r="N439" s="3">
        <f t="shared" si="52"/>
        <v>9665801420</v>
      </c>
      <c r="O439" s="3">
        <f t="shared" si="53"/>
        <v>-30554</v>
      </c>
      <c r="P439" s="3">
        <f t="shared" si="54"/>
        <v>50626529</v>
      </c>
      <c r="Q439" s="169">
        <v>0</v>
      </c>
    </row>
    <row r="440" spans="9:20">
      <c r="I440" s="2"/>
      <c r="J440" s="3">
        <f t="shared" si="51"/>
        <v>6703230</v>
      </c>
      <c r="K440" s="2" t="s">
        <v>5577</v>
      </c>
      <c r="L440" s="71">
        <v>6153258919</v>
      </c>
      <c r="M440" s="71">
        <v>3527498319</v>
      </c>
      <c r="N440" s="3">
        <f t="shared" si="52"/>
        <v>9680757238</v>
      </c>
      <c r="O440" s="3">
        <f t="shared" ref="O440:O462" si="55">M440-M439</f>
        <v>8252588</v>
      </c>
      <c r="P440" s="3">
        <f t="shared" ref="P440:P462" si="56">N440-N439</f>
        <v>14955818</v>
      </c>
      <c r="Q440" s="169">
        <v>0</v>
      </c>
    </row>
    <row r="441" spans="9:20">
      <c r="I441" s="2"/>
      <c r="J441" s="3">
        <f t="shared" si="51"/>
        <v>-182856601</v>
      </c>
      <c r="K441" s="2" t="s">
        <v>5578</v>
      </c>
      <c r="L441" s="71">
        <v>5970402318</v>
      </c>
      <c r="M441" s="71">
        <v>3424484714</v>
      </c>
      <c r="N441" s="3">
        <f t="shared" si="52"/>
        <v>9394887032</v>
      </c>
      <c r="O441" s="3">
        <f t="shared" si="55"/>
        <v>-103013605</v>
      </c>
      <c r="P441" s="3">
        <f t="shared" si="56"/>
        <v>-285870206</v>
      </c>
      <c r="Q441" s="169">
        <v>0</v>
      </c>
    </row>
    <row r="442" spans="9:20">
      <c r="I442" s="2"/>
      <c r="J442" s="3">
        <f t="shared" si="51"/>
        <v>-270402318</v>
      </c>
      <c r="K442" s="2" t="s">
        <v>5580</v>
      </c>
      <c r="L442" s="71">
        <v>5700000000</v>
      </c>
      <c r="M442" s="71">
        <v>3250000000</v>
      </c>
      <c r="N442" s="3">
        <f t="shared" si="52"/>
        <v>8950000000</v>
      </c>
      <c r="O442" s="3">
        <f t="shared" si="55"/>
        <v>-174484714</v>
      </c>
      <c r="P442" s="3">
        <f t="shared" si="56"/>
        <v>-444887032</v>
      </c>
      <c r="Q442" s="169">
        <v>0</v>
      </c>
    </row>
    <row r="443" spans="9:20">
      <c r="I443" s="2"/>
      <c r="J443" s="3">
        <f t="shared" si="51"/>
        <v>-200000000</v>
      </c>
      <c r="K443" s="2" t="s">
        <v>5581</v>
      </c>
      <c r="L443" s="71">
        <v>5500000000</v>
      </c>
      <c r="M443" s="71">
        <v>3150000000</v>
      </c>
      <c r="N443" s="3">
        <f t="shared" si="52"/>
        <v>8650000000</v>
      </c>
      <c r="O443" s="3">
        <f t="shared" si="55"/>
        <v>-100000000</v>
      </c>
      <c r="P443" s="3">
        <f t="shared" si="56"/>
        <v>-300000000</v>
      </c>
      <c r="Q443" s="169">
        <v>0</v>
      </c>
    </row>
    <row r="444" spans="9:20">
      <c r="I444" s="2"/>
      <c r="J444" s="3">
        <f t="shared" si="51"/>
        <v>-227767218</v>
      </c>
      <c r="K444" s="2" t="s">
        <v>5582</v>
      </c>
      <c r="L444" s="71">
        <v>5272232782</v>
      </c>
      <c r="M444" s="71">
        <v>3039233271</v>
      </c>
      <c r="N444" s="3">
        <f t="shared" si="52"/>
        <v>8311466053</v>
      </c>
      <c r="O444" s="3">
        <f t="shared" si="55"/>
        <v>-110766729</v>
      </c>
      <c r="P444" s="3">
        <f t="shared" si="56"/>
        <v>-338533947</v>
      </c>
      <c r="Q444" s="169">
        <v>0</v>
      </c>
    </row>
    <row r="445" spans="9:20">
      <c r="I445" s="2"/>
      <c r="J445" s="3">
        <f t="shared" si="51"/>
        <v>-72232782</v>
      </c>
      <c r="K445" s="2" t="s">
        <v>5587</v>
      </c>
      <c r="L445" s="71">
        <v>5200000000</v>
      </c>
      <c r="M445" s="71">
        <v>3000000000</v>
      </c>
      <c r="N445" s="3">
        <f t="shared" si="52"/>
        <v>8200000000</v>
      </c>
      <c r="O445" s="3">
        <f t="shared" si="55"/>
        <v>-39233271</v>
      </c>
      <c r="P445" s="3">
        <f t="shared" si="56"/>
        <v>-111466053</v>
      </c>
      <c r="Q445" s="169">
        <v>0</v>
      </c>
      <c r="T445" t="s">
        <v>25</v>
      </c>
    </row>
    <row r="446" spans="9:20">
      <c r="I446" s="2"/>
      <c r="J446" s="3">
        <f t="shared" si="51"/>
        <v>-100000000</v>
      </c>
      <c r="K446" s="2" t="s">
        <v>5588</v>
      </c>
      <c r="L446" s="71">
        <v>5100000000</v>
      </c>
      <c r="M446" s="71">
        <v>2900000000</v>
      </c>
      <c r="N446" s="3">
        <f t="shared" si="52"/>
        <v>8000000000</v>
      </c>
      <c r="O446" s="3">
        <f t="shared" si="55"/>
        <v>-100000000</v>
      </c>
      <c r="P446" s="3">
        <f t="shared" si="56"/>
        <v>-200000000</v>
      </c>
      <c r="Q446" s="169">
        <v>0</v>
      </c>
      <c r="T446" t="s">
        <v>25</v>
      </c>
    </row>
    <row r="447" spans="9:20">
      <c r="I447" s="2"/>
      <c r="J447" s="3">
        <f t="shared" si="51"/>
        <v>-100000000</v>
      </c>
      <c r="K447" s="2" t="s">
        <v>5589</v>
      </c>
      <c r="L447" s="71">
        <v>5000000000</v>
      </c>
      <c r="M447" s="71">
        <v>2800000000</v>
      </c>
      <c r="N447" s="3">
        <f t="shared" si="52"/>
        <v>7800000000</v>
      </c>
      <c r="O447" s="3">
        <f t="shared" si="55"/>
        <v>-100000000</v>
      </c>
      <c r="P447" s="3">
        <f t="shared" si="56"/>
        <v>-200000000</v>
      </c>
      <c r="Q447" s="169">
        <v>0</v>
      </c>
    </row>
    <row r="448" spans="9:20">
      <c r="I448" s="2"/>
      <c r="J448" s="3">
        <f t="shared" si="51"/>
        <v>-100000000</v>
      </c>
      <c r="K448" s="2" t="s">
        <v>5599</v>
      </c>
      <c r="L448" s="71">
        <v>4900000000</v>
      </c>
      <c r="M448" s="71">
        <v>2750000000</v>
      </c>
      <c r="N448" s="3">
        <f t="shared" si="52"/>
        <v>7650000000</v>
      </c>
      <c r="O448" s="3">
        <f t="shared" si="55"/>
        <v>-50000000</v>
      </c>
      <c r="P448" s="3">
        <f t="shared" si="56"/>
        <v>-150000000</v>
      </c>
      <c r="Q448" s="169">
        <v>0</v>
      </c>
    </row>
    <row r="449" spans="9:21">
      <c r="I449" s="2"/>
      <c r="J449" s="3">
        <f t="shared" si="51"/>
        <v>-100000000</v>
      </c>
      <c r="K449" s="2" t="s">
        <v>5598</v>
      </c>
      <c r="L449" s="71">
        <v>4800000000</v>
      </c>
      <c r="M449" s="71">
        <v>2700000000</v>
      </c>
      <c r="N449" s="3">
        <f t="shared" si="52"/>
        <v>7500000000</v>
      </c>
      <c r="O449" s="3">
        <f t="shared" si="55"/>
        <v>-50000000</v>
      </c>
      <c r="P449" s="3">
        <f t="shared" si="56"/>
        <v>-150000000</v>
      </c>
      <c r="Q449" s="169">
        <v>0</v>
      </c>
    </row>
    <row r="450" spans="9:21">
      <c r="I450" s="2"/>
      <c r="J450" s="3">
        <f t="shared" si="51"/>
        <v>-50000000</v>
      </c>
      <c r="K450" s="2" t="s">
        <v>5597</v>
      </c>
      <c r="L450" s="71">
        <v>4750000000</v>
      </c>
      <c r="M450" s="71">
        <v>2680000000</v>
      </c>
      <c r="N450" s="3">
        <f t="shared" si="52"/>
        <v>7430000000</v>
      </c>
      <c r="O450" s="3">
        <f t="shared" si="55"/>
        <v>-20000000</v>
      </c>
      <c r="P450" s="3">
        <f t="shared" si="56"/>
        <v>-70000000</v>
      </c>
      <c r="Q450" s="169">
        <v>0</v>
      </c>
    </row>
    <row r="451" spans="9:21">
      <c r="I451" s="2"/>
      <c r="J451" s="3">
        <f t="shared" si="51"/>
        <v>-100000000</v>
      </c>
      <c r="K451" s="2" t="s">
        <v>5591</v>
      </c>
      <c r="L451" s="71">
        <v>4650000000</v>
      </c>
      <c r="M451" s="71">
        <v>2650000000</v>
      </c>
      <c r="N451" s="3">
        <f t="shared" si="52"/>
        <v>7300000000</v>
      </c>
      <c r="O451" s="3">
        <f t="shared" si="55"/>
        <v>-30000000</v>
      </c>
      <c r="P451" s="3">
        <f t="shared" si="56"/>
        <v>-130000000</v>
      </c>
      <c r="Q451" s="169">
        <v>0</v>
      </c>
    </row>
    <row r="452" spans="9:21">
      <c r="I452" s="2"/>
      <c r="J452" s="3">
        <f t="shared" si="51"/>
        <v>-50000000</v>
      </c>
      <c r="K452" s="2" t="s">
        <v>5594</v>
      </c>
      <c r="L452" s="71">
        <v>4600000000</v>
      </c>
      <c r="M452" s="71">
        <v>2600000000</v>
      </c>
      <c r="N452" s="3">
        <f t="shared" si="52"/>
        <v>7200000000</v>
      </c>
      <c r="O452" s="3">
        <f t="shared" si="55"/>
        <v>-50000000</v>
      </c>
      <c r="P452" s="3">
        <f t="shared" si="56"/>
        <v>-100000000</v>
      </c>
      <c r="Q452" s="169">
        <v>0</v>
      </c>
    </row>
    <row r="453" spans="9:21">
      <c r="I453" s="2"/>
      <c r="J453" s="3">
        <f t="shared" si="51"/>
        <v>-100000000</v>
      </c>
      <c r="K453" s="2" t="s">
        <v>5595</v>
      </c>
      <c r="L453" s="71">
        <v>4500000000</v>
      </c>
      <c r="M453" s="71">
        <v>2500000000</v>
      </c>
      <c r="N453" s="3">
        <f t="shared" si="52"/>
        <v>7000000000</v>
      </c>
      <c r="O453" s="3">
        <f t="shared" si="55"/>
        <v>-100000000</v>
      </c>
      <c r="P453" s="3">
        <f t="shared" si="56"/>
        <v>-200000000</v>
      </c>
      <c r="Q453" s="169">
        <v>0</v>
      </c>
    </row>
    <row r="454" spans="9:21">
      <c r="I454" s="145" t="s">
        <v>5601</v>
      </c>
      <c r="J454" s="144">
        <f>L454-L453-260000000</f>
        <v>-241879353</v>
      </c>
      <c r="K454" s="145" t="s">
        <v>5596</v>
      </c>
      <c r="L454" s="173">
        <v>4518120647</v>
      </c>
      <c r="M454" s="173">
        <v>2565627600</v>
      </c>
      <c r="N454" s="144">
        <f t="shared" si="52"/>
        <v>7083748247</v>
      </c>
      <c r="O454" s="144">
        <f>M454-M453-260000</f>
        <v>65367600</v>
      </c>
      <c r="P454" s="144">
        <f>N454-N453-260260000</f>
        <v>-176511753</v>
      </c>
      <c r="Q454" s="222">
        <v>260260000</v>
      </c>
    </row>
    <row r="455" spans="9:21">
      <c r="I455" s="2"/>
      <c r="J455" s="3">
        <f t="shared" si="51"/>
        <v>170536780</v>
      </c>
      <c r="K455" s="2" t="s">
        <v>5600</v>
      </c>
      <c r="L455" s="71">
        <v>4688657427</v>
      </c>
      <c r="M455" s="71">
        <v>2677178495</v>
      </c>
      <c r="N455" s="3">
        <f t="shared" si="52"/>
        <v>7365835922</v>
      </c>
      <c r="O455" s="3">
        <f>M455-M454</f>
        <v>111550895</v>
      </c>
      <c r="P455" s="3">
        <f t="shared" si="56"/>
        <v>282087675</v>
      </c>
      <c r="Q455" s="169">
        <v>0</v>
      </c>
    </row>
    <row r="456" spans="9:21">
      <c r="I456" s="2"/>
      <c r="J456" s="3">
        <f t="shared" si="51"/>
        <v>161342573</v>
      </c>
      <c r="K456" s="2" t="s">
        <v>5602</v>
      </c>
      <c r="L456" s="71">
        <v>4850000000</v>
      </c>
      <c r="M456" s="71">
        <v>2800000000</v>
      </c>
      <c r="N456" s="3">
        <f>L456+M456</f>
        <v>7650000000</v>
      </c>
      <c r="O456" s="3">
        <f t="shared" si="55"/>
        <v>122821505</v>
      </c>
      <c r="P456" s="3">
        <f t="shared" si="56"/>
        <v>284164078</v>
      </c>
      <c r="Q456" s="169">
        <v>0</v>
      </c>
    </row>
    <row r="457" spans="9:21">
      <c r="I457" s="2"/>
      <c r="J457" s="3">
        <f t="shared" si="51"/>
        <v>170000000</v>
      </c>
      <c r="K457" s="2" t="s">
        <v>5603</v>
      </c>
      <c r="L457" s="71">
        <v>5020000000</v>
      </c>
      <c r="M457" s="71">
        <v>2900000000</v>
      </c>
      <c r="N457" s="3">
        <f t="shared" si="52"/>
        <v>7920000000</v>
      </c>
      <c r="O457" s="3">
        <f>M457-M456</f>
        <v>100000000</v>
      </c>
      <c r="P457" s="3">
        <f t="shared" si="56"/>
        <v>270000000</v>
      </c>
      <c r="Q457" s="169">
        <v>0</v>
      </c>
      <c r="U457" t="s">
        <v>25</v>
      </c>
    </row>
    <row r="458" spans="9:21">
      <c r="I458" s="2"/>
      <c r="J458" s="3">
        <f t="shared" si="51"/>
        <v>208597288</v>
      </c>
      <c r="K458" s="2" t="s">
        <v>5604</v>
      </c>
      <c r="L458" s="71">
        <v>5228597288</v>
      </c>
      <c r="M458" s="71">
        <v>3004939240</v>
      </c>
      <c r="N458" s="3">
        <f t="shared" si="52"/>
        <v>8233536528</v>
      </c>
      <c r="O458" s="3">
        <f t="shared" si="55"/>
        <v>104939240</v>
      </c>
      <c r="P458" s="3">
        <f t="shared" si="56"/>
        <v>313536528</v>
      </c>
      <c r="Q458" s="169">
        <v>0</v>
      </c>
    </row>
    <row r="459" spans="9:21">
      <c r="I459" s="2"/>
      <c r="J459" s="3">
        <f t="shared" si="51"/>
        <v>1402712</v>
      </c>
      <c r="K459" s="2" t="s">
        <v>5605</v>
      </c>
      <c r="L459" s="71">
        <v>5230000000</v>
      </c>
      <c r="M459" s="71">
        <v>3016043919</v>
      </c>
      <c r="N459" s="3">
        <f t="shared" si="52"/>
        <v>8246043919</v>
      </c>
      <c r="O459" s="3">
        <f t="shared" si="55"/>
        <v>11104679</v>
      </c>
      <c r="P459" s="3">
        <f t="shared" si="56"/>
        <v>12507391</v>
      </c>
      <c r="Q459" s="169">
        <v>0</v>
      </c>
    </row>
    <row r="460" spans="9:21">
      <c r="I460" s="2"/>
      <c r="J460" s="3">
        <f t="shared" si="51"/>
        <v>120000000</v>
      </c>
      <c r="K460" s="2" t="s">
        <v>5608</v>
      </c>
      <c r="L460" s="71">
        <v>5350000000</v>
      </c>
      <c r="M460" s="71">
        <v>3070000000</v>
      </c>
      <c r="N460" s="3">
        <f t="shared" si="52"/>
        <v>8420000000</v>
      </c>
      <c r="O460" s="3">
        <f t="shared" si="55"/>
        <v>53956081</v>
      </c>
      <c r="P460" s="3">
        <f t="shared" si="56"/>
        <v>173956081</v>
      </c>
      <c r="Q460" s="169">
        <v>0</v>
      </c>
    </row>
    <row r="461" spans="9:21">
      <c r="I461" s="2"/>
      <c r="J461" s="3">
        <f t="shared" si="51"/>
        <v>139527959</v>
      </c>
      <c r="K461" s="2" t="s">
        <v>5609</v>
      </c>
      <c r="L461" s="71">
        <v>5489527959</v>
      </c>
      <c r="M461" s="71">
        <v>3153965043</v>
      </c>
      <c r="N461" s="3">
        <f t="shared" si="52"/>
        <v>8643493002</v>
      </c>
      <c r="O461" s="3">
        <f t="shared" si="55"/>
        <v>83965043</v>
      </c>
      <c r="P461" s="3">
        <f t="shared" si="56"/>
        <v>223493002</v>
      </c>
      <c r="Q461" s="169">
        <v>0</v>
      </c>
    </row>
    <row r="462" spans="9:21">
      <c r="I462" s="2"/>
      <c r="J462" s="3">
        <f t="shared" si="51"/>
        <v>-240277409</v>
      </c>
      <c r="K462" s="2" t="s">
        <v>5610</v>
      </c>
      <c r="L462" s="71">
        <v>5249250550</v>
      </c>
      <c r="M462" s="71">
        <v>3012364507</v>
      </c>
      <c r="N462" s="3">
        <f t="shared" si="52"/>
        <v>8261615057</v>
      </c>
      <c r="O462" s="3">
        <f t="shared" si="55"/>
        <v>-141600536</v>
      </c>
      <c r="P462" s="3">
        <f t="shared" si="56"/>
        <v>-381877945</v>
      </c>
      <c r="Q462" s="169">
        <v>0</v>
      </c>
    </row>
    <row r="463" spans="9:21">
      <c r="I463" s="2"/>
      <c r="J463" s="3">
        <f t="shared" si="51"/>
        <v>136702023</v>
      </c>
      <c r="K463" s="2" t="s">
        <v>5611</v>
      </c>
      <c r="L463" s="71">
        <v>5385952573</v>
      </c>
      <c r="M463" s="71">
        <v>3077089830</v>
      </c>
      <c r="N463" s="3">
        <f t="shared" ref="N463:N526" si="57">L463+M463</f>
        <v>8463042403</v>
      </c>
      <c r="O463" s="3">
        <f t="shared" ref="O463:O526" si="58">M463-M462</f>
        <v>64725323</v>
      </c>
      <c r="P463" s="3">
        <f t="shared" ref="P463:P526" si="59">N463-N462</f>
        <v>201427346</v>
      </c>
      <c r="Q463" s="169">
        <v>0</v>
      </c>
    </row>
    <row r="464" spans="9:21">
      <c r="I464" s="2"/>
      <c r="J464" s="3">
        <f t="shared" si="51"/>
        <v>298648373</v>
      </c>
      <c r="K464" s="2" t="s">
        <v>5612</v>
      </c>
      <c r="L464" s="71">
        <v>5684600946</v>
      </c>
      <c r="M464" s="71">
        <v>3223570500</v>
      </c>
      <c r="N464" s="3">
        <f t="shared" si="57"/>
        <v>8908171446</v>
      </c>
      <c r="O464" s="3">
        <f t="shared" si="58"/>
        <v>146480670</v>
      </c>
      <c r="P464" s="3">
        <f t="shared" si="59"/>
        <v>445129043</v>
      </c>
      <c r="Q464" s="169">
        <v>0</v>
      </c>
    </row>
    <row r="465" spans="9:19">
      <c r="I465" s="145" t="s">
        <v>5614</v>
      </c>
      <c r="J465" s="144">
        <f t="shared" si="51"/>
        <v>221604304</v>
      </c>
      <c r="K465" s="145" t="s">
        <v>943</v>
      </c>
      <c r="L465" s="173">
        <v>5906205250</v>
      </c>
      <c r="M465" s="173">
        <v>3345406425</v>
      </c>
      <c r="N465" s="144">
        <f t="shared" si="57"/>
        <v>9251611675</v>
      </c>
      <c r="O465" s="144">
        <f>M465-M464-11221062</f>
        <v>110614863</v>
      </c>
      <c r="P465" s="144">
        <f>N465-N464-11221062</f>
        <v>332219167</v>
      </c>
      <c r="Q465" s="222">
        <v>11221062</v>
      </c>
    </row>
    <row r="466" spans="9:19">
      <c r="I466" s="2"/>
      <c r="J466" s="3">
        <f t="shared" si="51"/>
        <v>154663604</v>
      </c>
      <c r="K466" s="2" t="s">
        <v>5617</v>
      </c>
      <c r="L466" s="71">
        <v>6060868854</v>
      </c>
      <c r="M466" s="71">
        <v>3464205093</v>
      </c>
      <c r="N466" s="3">
        <f t="shared" si="57"/>
        <v>9525073947</v>
      </c>
      <c r="O466" s="3">
        <f t="shared" si="58"/>
        <v>118798668</v>
      </c>
      <c r="P466" s="3">
        <f t="shared" si="59"/>
        <v>273462272</v>
      </c>
      <c r="Q466" s="169">
        <v>0</v>
      </c>
    </row>
    <row r="467" spans="9:19">
      <c r="I467" s="2"/>
      <c r="J467" s="3">
        <f t="shared" si="51"/>
        <v>83019771</v>
      </c>
      <c r="K467" s="2" t="s">
        <v>5618</v>
      </c>
      <c r="L467" s="71">
        <v>6143888625</v>
      </c>
      <c r="M467" s="71">
        <v>3526728170</v>
      </c>
      <c r="N467" s="3">
        <f t="shared" si="57"/>
        <v>9670616795</v>
      </c>
      <c r="O467" s="3">
        <f t="shared" si="58"/>
        <v>62523077</v>
      </c>
      <c r="P467" s="3">
        <f t="shared" si="59"/>
        <v>145542848</v>
      </c>
      <c r="Q467" s="169">
        <v>0</v>
      </c>
    </row>
    <row r="468" spans="9:19">
      <c r="I468" s="2" t="s">
        <v>5620</v>
      </c>
      <c r="J468" s="3">
        <f>L468-L467-20000</f>
        <v>-31443260</v>
      </c>
      <c r="K468" s="2" t="s">
        <v>5619</v>
      </c>
      <c r="L468" s="71">
        <v>6112465365</v>
      </c>
      <c r="M468" s="71">
        <v>3518318740</v>
      </c>
      <c r="N468" s="3">
        <f t="shared" si="57"/>
        <v>9630784105</v>
      </c>
      <c r="O468" s="3">
        <f>M468-M467-20000</f>
        <v>-8429430</v>
      </c>
      <c r="P468" s="3">
        <f>N468-N467-40000</f>
        <v>-39872690</v>
      </c>
      <c r="Q468" s="169">
        <v>40000</v>
      </c>
    </row>
    <row r="469" spans="9:19">
      <c r="I469" s="2"/>
      <c r="J469" s="3">
        <f t="shared" si="51"/>
        <v>111131586</v>
      </c>
      <c r="K469" s="2" t="s">
        <v>5622</v>
      </c>
      <c r="L469" s="71">
        <v>6223596951</v>
      </c>
      <c r="M469" s="71">
        <v>3546763930</v>
      </c>
      <c r="N469" s="3">
        <f t="shared" si="57"/>
        <v>9770360881</v>
      </c>
      <c r="O469" s="3">
        <f t="shared" si="58"/>
        <v>28445190</v>
      </c>
      <c r="P469" s="3">
        <f t="shared" si="59"/>
        <v>139576776</v>
      </c>
      <c r="Q469" s="169">
        <v>0</v>
      </c>
    </row>
    <row r="470" spans="9:19">
      <c r="I470" s="2"/>
      <c r="J470" s="3">
        <f t="shared" si="51"/>
        <v>16690857</v>
      </c>
      <c r="K470" s="2" t="s">
        <v>5623</v>
      </c>
      <c r="L470" s="71">
        <v>6240287808</v>
      </c>
      <c r="M470" s="71">
        <v>3546015346</v>
      </c>
      <c r="N470" s="3">
        <f t="shared" si="57"/>
        <v>9786303154</v>
      </c>
      <c r="O470" s="3">
        <f t="shared" si="58"/>
        <v>-748584</v>
      </c>
      <c r="P470" s="3">
        <f t="shared" si="59"/>
        <v>15942273</v>
      </c>
      <c r="Q470" s="169">
        <v>0</v>
      </c>
    </row>
    <row r="471" spans="9:19">
      <c r="I471" s="2"/>
      <c r="J471" s="3">
        <f t="shared" si="51"/>
        <v>-226671269</v>
      </c>
      <c r="K471" s="2" t="s">
        <v>5624</v>
      </c>
      <c r="L471" s="71">
        <v>6013616539</v>
      </c>
      <c r="M471" s="71">
        <v>3413915060</v>
      </c>
      <c r="N471" s="3">
        <f t="shared" si="57"/>
        <v>9427531599</v>
      </c>
      <c r="O471" s="3">
        <f t="shared" si="58"/>
        <v>-132100286</v>
      </c>
      <c r="P471" s="3">
        <f t="shared" si="59"/>
        <v>-358771555</v>
      </c>
      <c r="Q471" s="169">
        <v>0</v>
      </c>
      <c r="R471" t="s">
        <v>25</v>
      </c>
    </row>
    <row r="472" spans="9:19">
      <c r="I472" s="2" t="s">
        <v>5626</v>
      </c>
      <c r="J472" s="3">
        <f>L472-L471-70000</f>
        <v>-63686539</v>
      </c>
      <c r="K472" s="2" t="s">
        <v>5625</v>
      </c>
      <c r="L472" s="71">
        <v>5950000000</v>
      </c>
      <c r="M472" s="71">
        <v>3380000000</v>
      </c>
      <c r="N472" s="3">
        <f t="shared" si="57"/>
        <v>9330000000</v>
      </c>
      <c r="O472" s="3">
        <f>M472-M471-70000</f>
        <v>-33985060</v>
      </c>
      <c r="P472" s="3">
        <f>N472-N471-140000</f>
        <v>-97671599</v>
      </c>
      <c r="Q472" s="169">
        <v>140000</v>
      </c>
    </row>
    <row r="473" spans="9:19">
      <c r="I473" s="2" t="s">
        <v>5632</v>
      </c>
      <c r="J473" s="3">
        <f>L473-L472-330000</f>
        <v>-62693116</v>
      </c>
      <c r="K473" s="2" t="s">
        <v>5631</v>
      </c>
      <c r="L473" s="71">
        <v>5887636884</v>
      </c>
      <c r="M473" s="71">
        <v>3350000000</v>
      </c>
      <c r="N473" s="3">
        <f t="shared" si="57"/>
        <v>9237636884</v>
      </c>
      <c r="O473" s="3">
        <f>M473-M472-330000</f>
        <v>-30330000</v>
      </c>
      <c r="P473" s="3">
        <f>N473-N472-660000</f>
        <v>-93023116</v>
      </c>
      <c r="Q473" s="169">
        <v>660000</v>
      </c>
    </row>
    <row r="474" spans="9:19">
      <c r="I474" s="2"/>
      <c r="J474" s="3">
        <f t="shared" si="51"/>
        <v>152162052</v>
      </c>
      <c r="K474" s="2" t="s">
        <v>5634</v>
      </c>
      <c r="L474" s="71">
        <v>6039798936</v>
      </c>
      <c r="M474" s="71">
        <v>3412399754</v>
      </c>
      <c r="N474" s="3">
        <f t="shared" si="57"/>
        <v>9452198690</v>
      </c>
      <c r="O474" s="3">
        <f t="shared" si="58"/>
        <v>62399754</v>
      </c>
      <c r="P474" s="3">
        <f t="shared" si="59"/>
        <v>214561806</v>
      </c>
      <c r="Q474" s="169">
        <v>0</v>
      </c>
    </row>
    <row r="475" spans="9:19">
      <c r="I475" s="2" t="s">
        <v>25</v>
      </c>
      <c r="J475" s="3">
        <f t="shared" si="51"/>
        <v>-229469487</v>
      </c>
      <c r="K475" s="2" t="s">
        <v>5641</v>
      </c>
      <c r="L475" s="71">
        <v>5810329449</v>
      </c>
      <c r="M475" s="71">
        <v>3271406236</v>
      </c>
      <c r="N475" s="3">
        <f t="shared" si="57"/>
        <v>9081735685</v>
      </c>
      <c r="O475" s="3">
        <f t="shared" si="58"/>
        <v>-140993518</v>
      </c>
      <c r="P475" s="3">
        <f t="shared" si="59"/>
        <v>-370463005</v>
      </c>
      <c r="R475" t="s">
        <v>25</v>
      </c>
    </row>
    <row r="476" spans="9:19">
      <c r="I476" s="2"/>
      <c r="J476" s="3">
        <f t="shared" si="51"/>
        <v>-5810329449</v>
      </c>
      <c r="K476" s="2"/>
      <c r="L476" s="71"/>
      <c r="M476" s="71"/>
      <c r="N476" s="3">
        <f t="shared" si="57"/>
        <v>0</v>
      </c>
      <c r="O476" s="3">
        <f t="shared" si="58"/>
        <v>-3271406236</v>
      </c>
      <c r="P476" s="3">
        <f t="shared" si="59"/>
        <v>-9081735685</v>
      </c>
    </row>
    <row r="477" spans="9:19">
      <c r="I477" s="2"/>
      <c r="J477" s="3">
        <f t="shared" si="51"/>
        <v>0</v>
      </c>
      <c r="K477" s="2"/>
      <c r="L477" s="71"/>
      <c r="M477" s="71"/>
      <c r="N477" s="3">
        <f t="shared" si="57"/>
        <v>0</v>
      </c>
      <c r="O477" s="3">
        <f t="shared" si="58"/>
        <v>0</v>
      </c>
      <c r="P477" s="3">
        <f t="shared" si="59"/>
        <v>0</v>
      </c>
    </row>
    <row r="478" spans="9:19">
      <c r="I478" s="2"/>
      <c r="J478" s="3">
        <f t="shared" si="51"/>
        <v>0</v>
      </c>
      <c r="K478" s="2"/>
      <c r="L478" s="71"/>
      <c r="M478" s="71"/>
      <c r="N478" s="3">
        <f t="shared" si="57"/>
        <v>0</v>
      </c>
      <c r="O478" s="3">
        <f t="shared" si="58"/>
        <v>0</v>
      </c>
      <c r="P478" s="3">
        <f t="shared" si="59"/>
        <v>0</v>
      </c>
      <c r="S478" t="s">
        <v>25</v>
      </c>
    </row>
    <row r="479" spans="9:19">
      <c r="I479" s="2"/>
      <c r="J479" s="3">
        <f t="shared" si="51"/>
        <v>0</v>
      </c>
      <c r="K479" s="2"/>
      <c r="L479" s="71"/>
      <c r="M479" s="71"/>
      <c r="N479" s="3">
        <f t="shared" si="57"/>
        <v>0</v>
      </c>
      <c r="O479" s="3">
        <f t="shared" si="58"/>
        <v>0</v>
      </c>
      <c r="P479" s="3">
        <f t="shared" si="59"/>
        <v>0</v>
      </c>
    </row>
    <row r="480" spans="9:19">
      <c r="I480" s="2"/>
      <c r="J480" s="3">
        <f t="shared" si="51"/>
        <v>0</v>
      </c>
      <c r="K480" s="2"/>
      <c r="L480" s="71"/>
      <c r="M480" s="71"/>
      <c r="N480" s="3">
        <f t="shared" si="57"/>
        <v>0</v>
      </c>
      <c r="O480" s="3">
        <f t="shared" si="58"/>
        <v>0</v>
      </c>
      <c r="P480" s="3">
        <f t="shared" si="59"/>
        <v>0</v>
      </c>
    </row>
    <row r="481" spans="9:16">
      <c r="I481" s="2"/>
      <c r="J481" s="3">
        <f t="shared" si="51"/>
        <v>0</v>
      </c>
      <c r="K481" s="2"/>
      <c r="L481" s="71"/>
      <c r="M481" s="71"/>
      <c r="N481" s="3">
        <f t="shared" si="57"/>
        <v>0</v>
      </c>
      <c r="O481" s="3">
        <f t="shared" si="58"/>
        <v>0</v>
      </c>
      <c r="P481" s="3">
        <f t="shared" si="59"/>
        <v>0</v>
      </c>
    </row>
    <row r="482" spans="9:16">
      <c r="I482" s="2"/>
      <c r="J482" s="3">
        <f t="shared" si="51"/>
        <v>0</v>
      </c>
      <c r="K482" s="2"/>
      <c r="L482" s="71"/>
      <c r="M482" s="71"/>
      <c r="N482" s="3">
        <f t="shared" si="57"/>
        <v>0</v>
      </c>
      <c r="O482" s="3">
        <f t="shared" si="58"/>
        <v>0</v>
      </c>
      <c r="P482" s="3">
        <f t="shared" si="59"/>
        <v>0</v>
      </c>
    </row>
    <row r="483" spans="9:16">
      <c r="I483" s="2"/>
      <c r="J483" s="3">
        <f t="shared" si="51"/>
        <v>0</v>
      </c>
      <c r="K483" s="2"/>
      <c r="L483" s="71"/>
      <c r="M483" s="71"/>
      <c r="N483" s="3">
        <f t="shared" si="57"/>
        <v>0</v>
      </c>
      <c r="O483" s="3">
        <f t="shared" si="58"/>
        <v>0</v>
      </c>
      <c r="P483" s="3">
        <f t="shared" si="59"/>
        <v>0</v>
      </c>
    </row>
    <row r="484" spans="9:16">
      <c r="I484" s="2"/>
      <c r="J484" s="3">
        <f t="shared" si="51"/>
        <v>0</v>
      </c>
      <c r="K484" s="2"/>
      <c r="L484" s="71"/>
      <c r="M484" s="71"/>
      <c r="N484" s="3">
        <f t="shared" si="57"/>
        <v>0</v>
      </c>
      <c r="O484" s="3">
        <f t="shared" si="58"/>
        <v>0</v>
      </c>
      <c r="P484" s="3">
        <f t="shared" si="59"/>
        <v>0</v>
      </c>
    </row>
    <row r="485" spans="9:16">
      <c r="I485" s="2"/>
      <c r="J485" s="3">
        <f t="shared" si="51"/>
        <v>0</v>
      </c>
      <c r="K485" s="2"/>
      <c r="L485" s="71"/>
      <c r="M485" s="71"/>
      <c r="N485" s="3">
        <f t="shared" si="57"/>
        <v>0</v>
      </c>
      <c r="O485" s="3">
        <f t="shared" si="58"/>
        <v>0</v>
      </c>
      <c r="P485" s="3">
        <f t="shared" si="59"/>
        <v>0</v>
      </c>
    </row>
    <row r="486" spans="9:16">
      <c r="I486" s="2"/>
      <c r="J486" s="3">
        <f t="shared" si="51"/>
        <v>0</v>
      </c>
      <c r="K486" s="2"/>
      <c r="L486" s="71"/>
      <c r="M486" s="71"/>
      <c r="N486" s="3">
        <f t="shared" si="57"/>
        <v>0</v>
      </c>
      <c r="O486" s="3">
        <f t="shared" si="58"/>
        <v>0</v>
      </c>
      <c r="P486" s="3">
        <f t="shared" si="59"/>
        <v>0</v>
      </c>
    </row>
    <row r="487" spans="9:16">
      <c r="I487" s="2"/>
      <c r="J487" s="3">
        <f t="shared" si="51"/>
        <v>0</v>
      </c>
      <c r="K487" s="2"/>
      <c r="L487" s="71"/>
      <c r="M487" s="71"/>
      <c r="N487" s="3">
        <f t="shared" si="57"/>
        <v>0</v>
      </c>
      <c r="O487" s="3">
        <f t="shared" si="58"/>
        <v>0</v>
      </c>
      <c r="P487" s="3">
        <f t="shared" si="59"/>
        <v>0</v>
      </c>
    </row>
    <row r="488" spans="9:16">
      <c r="I488" s="2"/>
      <c r="J488" s="3">
        <f t="shared" si="51"/>
        <v>0</v>
      </c>
      <c r="K488" s="2"/>
      <c r="L488" s="71"/>
      <c r="M488" s="71"/>
      <c r="N488" s="3">
        <f t="shared" si="57"/>
        <v>0</v>
      </c>
      <c r="O488" s="3">
        <f t="shared" si="58"/>
        <v>0</v>
      </c>
      <c r="P488" s="3">
        <f t="shared" si="59"/>
        <v>0</v>
      </c>
    </row>
    <row r="489" spans="9:16">
      <c r="I489" s="2"/>
      <c r="J489" s="3">
        <f t="shared" si="51"/>
        <v>0</v>
      </c>
      <c r="K489" s="2"/>
      <c r="L489" s="71"/>
      <c r="M489" s="71"/>
      <c r="N489" s="3">
        <f t="shared" si="57"/>
        <v>0</v>
      </c>
      <c r="O489" s="3">
        <f t="shared" si="58"/>
        <v>0</v>
      </c>
      <c r="P489" s="3">
        <f t="shared" si="59"/>
        <v>0</v>
      </c>
    </row>
    <row r="490" spans="9:16">
      <c r="I490" s="2"/>
      <c r="J490" s="3">
        <f t="shared" si="51"/>
        <v>0</v>
      </c>
      <c r="K490" s="2"/>
      <c r="L490" s="71"/>
      <c r="M490" s="71"/>
      <c r="N490" s="3">
        <f t="shared" si="57"/>
        <v>0</v>
      </c>
      <c r="O490" s="3">
        <f t="shared" si="58"/>
        <v>0</v>
      </c>
      <c r="P490" s="3">
        <f t="shared" si="59"/>
        <v>0</v>
      </c>
    </row>
    <row r="491" spans="9:16">
      <c r="I491" s="2"/>
      <c r="J491" s="3">
        <f t="shared" si="51"/>
        <v>0</v>
      </c>
      <c r="K491" s="2"/>
      <c r="L491" s="71"/>
      <c r="M491" s="71"/>
      <c r="N491" s="3">
        <f t="shared" si="57"/>
        <v>0</v>
      </c>
      <c r="O491" s="3">
        <f t="shared" si="58"/>
        <v>0</v>
      </c>
      <c r="P491" s="3">
        <f t="shared" si="59"/>
        <v>0</v>
      </c>
    </row>
    <row r="492" spans="9:16">
      <c r="I492" s="2"/>
      <c r="J492" s="3">
        <f t="shared" si="51"/>
        <v>0</v>
      </c>
      <c r="K492" s="2"/>
      <c r="L492" s="71"/>
      <c r="M492" s="71"/>
      <c r="N492" s="3">
        <f t="shared" si="57"/>
        <v>0</v>
      </c>
      <c r="O492" s="3">
        <f t="shared" si="58"/>
        <v>0</v>
      </c>
      <c r="P492" s="3">
        <f t="shared" si="59"/>
        <v>0</v>
      </c>
    </row>
    <row r="493" spans="9:16">
      <c r="I493" s="2"/>
      <c r="J493" s="3">
        <f t="shared" si="51"/>
        <v>0</v>
      </c>
      <c r="K493" s="2"/>
      <c r="L493" s="71"/>
      <c r="M493" s="71"/>
      <c r="N493" s="3">
        <f t="shared" si="57"/>
        <v>0</v>
      </c>
      <c r="O493" s="3">
        <f t="shared" si="58"/>
        <v>0</v>
      </c>
      <c r="P493" s="3">
        <f t="shared" si="59"/>
        <v>0</v>
      </c>
    </row>
    <row r="494" spans="9:16">
      <c r="I494" s="2"/>
      <c r="J494" s="3">
        <f t="shared" si="51"/>
        <v>0</v>
      </c>
      <c r="K494" s="2"/>
      <c r="L494" s="71"/>
      <c r="M494" s="71"/>
      <c r="N494" s="3">
        <f t="shared" si="57"/>
        <v>0</v>
      </c>
      <c r="O494" s="3">
        <f t="shared" si="58"/>
        <v>0</v>
      </c>
      <c r="P494" s="3">
        <f t="shared" si="59"/>
        <v>0</v>
      </c>
    </row>
    <row r="495" spans="9:16">
      <c r="I495" s="2"/>
      <c r="J495" s="3">
        <f t="shared" si="51"/>
        <v>0</v>
      </c>
      <c r="K495" s="2"/>
      <c r="L495" s="71"/>
      <c r="M495" s="71"/>
      <c r="N495" s="3">
        <f t="shared" si="57"/>
        <v>0</v>
      </c>
      <c r="O495" s="3">
        <f t="shared" si="58"/>
        <v>0</v>
      </c>
      <c r="P495" s="3">
        <f t="shared" si="59"/>
        <v>0</v>
      </c>
    </row>
    <row r="496" spans="9:16">
      <c r="I496" s="2"/>
      <c r="J496" s="3">
        <f t="shared" si="51"/>
        <v>0</v>
      </c>
      <c r="K496" s="2"/>
      <c r="L496" s="71"/>
      <c r="M496" s="71"/>
      <c r="N496" s="3">
        <f t="shared" si="57"/>
        <v>0</v>
      </c>
      <c r="O496" s="3">
        <f t="shared" si="58"/>
        <v>0</v>
      </c>
      <c r="P496" s="3">
        <f t="shared" si="59"/>
        <v>0</v>
      </c>
    </row>
    <row r="497" spans="9:16">
      <c r="I497" s="2"/>
      <c r="J497" s="3">
        <f t="shared" si="51"/>
        <v>0</v>
      </c>
      <c r="K497" s="2"/>
      <c r="L497" s="71"/>
      <c r="M497" s="71"/>
      <c r="N497" s="3">
        <f t="shared" si="57"/>
        <v>0</v>
      </c>
      <c r="O497" s="3">
        <f t="shared" si="58"/>
        <v>0</v>
      </c>
      <c r="P497" s="3">
        <f t="shared" si="59"/>
        <v>0</v>
      </c>
    </row>
    <row r="498" spans="9:16">
      <c r="I498" s="2"/>
      <c r="J498" s="3">
        <f t="shared" si="51"/>
        <v>0</v>
      </c>
      <c r="K498" s="2"/>
      <c r="L498" s="71"/>
      <c r="M498" s="71"/>
      <c r="N498" s="3">
        <f t="shared" si="57"/>
        <v>0</v>
      </c>
      <c r="O498" s="3">
        <f t="shared" si="58"/>
        <v>0</v>
      </c>
      <c r="P498" s="3">
        <f t="shared" si="59"/>
        <v>0</v>
      </c>
    </row>
    <row r="499" spans="9:16">
      <c r="I499" s="2"/>
      <c r="J499" s="3">
        <f t="shared" si="51"/>
        <v>0</v>
      </c>
      <c r="K499" s="2"/>
      <c r="L499" s="71"/>
      <c r="M499" s="71"/>
      <c r="N499" s="3">
        <f t="shared" si="57"/>
        <v>0</v>
      </c>
      <c r="O499" s="3">
        <f t="shared" si="58"/>
        <v>0</v>
      </c>
      <c r="P499" s="3">
        <f t="shared" si="59"/>
        <v>0</v>
      </c>
    </row>
    <row r="500" spans="9:16">
      <c r="I500" s="2"/>
      <c r="J500" s="3">
        <f t="shared" si="51"/>
        <v>0</v>
      </c>
      <c r="K500" s="2"/>
      <c r="L500" s="71"/>
      <c r="M500" s="71"/>
      <c r="N500" s="3">
        <f t="shared" si="57"/>
        <v>0</v>
      </c>
      <c r="O500" s="3">
        <f t="shared" si="58"/>
        <v>0</v>
      </c>
      <c r="P500" s="3">
        <f t="shared" si="59"/>
        <v>0</v>
      </c>
    </row>
    <row r="501" spans="9:16">
      <c r="I501" s="2"/>
      <c r="J501" s="3">
        <f t="shared" si="51"/>
        <v>0</v>
      </c>
      <c r="K501" s="2"/>
      <c r="L501" s="71"/>
      <c r="M501" s="71"/>
      <c r="N501" s="3">
        <f t="shared" si="57"/>
        <v>0</v>
      </c>
      <c r="O501" s="3">
        <f t="shared" si="58"/>
        <v>0</v>
      </c>
      <c r="P501" s="3">
        <f t="shared" si="59"/>
        <v>0</v>
      </c>
    </row>
    <row r="502" spans="9:16">
      <c r="I502" s="2"/>
      <c r="J502" s="3">
        <f t="shared" si="51"/>
        <v>0</v>
      </c>
      <c r="K502" s="2"/>
      <c r="L502" s="71"/>
      <c r="M502" s="71"/>
      <c r="N502" s="3">
        <f t="shared" si="57"/>
        <v>0</v>
      </c>
      <c r="O502" s="3">
        <f t="shared" si="58"/>
        <v>0</v>
      </c>
      <c r="P502" s="3">
        <f t="shared" si="59"/>
        <v>0</v>
      </c>
    </row>
    <row r="503" spans="9:16">
      <c r="I503" s="2"/>
      <c r="J503" s="3">
        <f t="shared" si="51"/>
        <v>0</v>
      </c>
      <c r="K503" s="2"/>
      <c r="L503" s="71"/>
      <c r="M503" s="71"/>
      <c r="N503" s="3">
        <f t="shared" si="57"/>
        <v>0</v>
      </c>
      <c r="O503" s="3">
        <f t="shared" si="58"/>
        <v>0</v>
      </c>
      <c r="P503" s="3">
        <f t="shared" si="59"/>
        <v>0</v>
      </c>
    </row>
    <row r="504" spans="9:16">
      <c r="I504" s="2"/>
      <c r="J504" s="3">
        <f t="shared" si="51"/>
        <v>0</v>
      </c>
      <c r="K504" s="2"/>
      <c r="L504" s="71"/>
      <c r="M504" s="71"/>
      <c r="N504" s="3">
        <f t="shared" si="57"/>
        <v>0</v>
      </c>
      <c r="O504" s="3">
        <f t="shared" si="58"/>
        <v>0</v>
      </c>
      <c r="P504" s="3">
        <f t="shared" si="59"/>
        <v>0</v>
      </c>
    </row>
    <row r="505" spans="9:16">
      <c r="I505" s="2"/>
      <c r="J505" s="3">
        <f t="shared" si="51"/>
        <v>0</v>
      </c>
      <c r="K505" s="2"/>
      <c r="L505" s="71"/>
      <c r="M505" s="71"/>
      <c r="N505" s="3">
        <f t="shared" si="57"/>
        <v>0</v>
      </c>
      <c r="O505" s="3">
        <f t="shared" si="58"/>
        <v>0</v>
      </c>
      <c r="P505" s="3">
        <f t="shared" si="59"/>
        <v>0</v>
      </c>
    </row>
    <row r="506" spans="9:16">
      <c r="I506" s="2"/>
      <c r="J506" s="3">
        <f t="shared" si="51"/>
        <v>0</v>
      </c>
      <c r="K506" s="2"/>
      <c r="L506" s="71"/>
      <c r="M506" s="71"/>
      <c r="N506" s="3">
        <f t="shared" si="57"/>
        <v>0</v>
      </c>
      <c r="O506" s="3">
        <f t="shared" si="58"/>
        <v>0</v>
      </c>
      <c r="P506" s="3">
        <f t="shared" si="59"/>
        <v>0</v>
      </c>
    </row>
    <row r="507" spans="9:16">
      <c r="I507" s="2"/>
      <c r="J507" s="3">
        <f t="shared" si="51"/>
        <v>0</v>
      </c>
      <c r="K507" s="2"/>
      <c r="L507" s="71"/>
      <c r="M507" s="71"/>
      <c r="N507" s="3">
        <f t="shared" si="57"/>
        <v>0</v>
      </c>
      <c r="O507" s="3">
        <f t="shared" si="58"/>
        <v>0</v>
      </c>
      <c r="P507" s="3">
        <f t="shared" si="59"/>
        <v>0</v>
      </c>
    </row>
    <row r="508" spans="9:16">
      <c r="I508" s="2"/>
      <c r="J508" s="3">
        <f t="shared" si="51"/>
        <v>0</v>
      </c>
      <c r="K508" s="2"/>
      <c r="L508" s="71"/>
      <c r="M508" s="71"/>
      <c r="N508" s="3">
        <f t="shared" si="57"/>
        <v>0</v>
      </c>
      <c r="O508" s="3">
        <f t="shared" si="58"/>
        <v>0</v>
      </c>
      <c r="P508" s="3">
        <f t="shared" si="59"/>
        <v>0</v>
      </c>
    </row>
    <row r="509" spans="9:16">
      <c r="I509" s="2"/>
      <c r="J509" s="3">
        <f t="shared" si="51"/>
        <v>0</v>
      </c>
      <c r="K509" s="2"/>
      <c r="L509" s="71"/>
      <c r="M509" s="71"/>
      <c r="N509" s="3">
        <f t="shared" si="57"/>
        <v>0</v>
      </c>
      <c r="O509" s="3">
        <f t="shared" si="58"/>
        <v>0</v>
      </c>
      <c r="P509" s="3">
        <f t="shared" si="59"/>
        <v>0</v>
      </c>
    </row>
    <row r="510" spans="9:16">
      <c r="I510" s="2"/>
      <c r="J510" s="3">
        <f t="shared" si="51"/>
        <v>0</v>
      </c>
      <c r="K510" s="2"/>
      <c r="L510" s="71"/>
      <c r="M510" s="71"/>
      <c r="N510" s="3">
        <f t="shared" si="57"/>
        <v>0</v>
      </c>
      <c r="O510" s="3">
        <f t="shared" si="58"/>
        <v>0</v>
      </c>
      <c r="P510" s="3">
        <f t="shared" si="59"/>
        <v>0</v>
      </c>
    </row>
    <row r="511" spans="9:16">
      <c r="I511" s="2"/>
      <c r="J511" s="3">
        <f t="shared" si="51"/>
        <v>0</v>
      </c>
      <c r="K511" s="2"/>
      <c r="L511" s="71"/>
      <c r="M511" s="71"/>
      <c r="N511" s="3">
        <f t="shared" si="57"/>
        <v>0</v>
      </c>
      <c r="O511" s="3">
        <f t="shared" si="58"/>
        <v>0</v>
      </c>
      <c r="P511" s="3">
        <f t="shared" si="59"/>
        <v>0</v>
      </c>
    </row>
    <row r="512" spans="9:16">
      <c r="I512" s="2"/>
      <c r="J512" s="3">
        <f t="shared" si="51"/>
        <v>0</v>
      </c>
      <c r="K512" s="2"/>
      <c r="L512" s="71"/>
      <c r="M512" s="71"/>
      <c r="N512" s="3">
        <f t="shared" si="57"/>
        <v>0</v>
      </c>
      <c r="O512" s="3">
        <f t="shared" si="58"/>
        <v>0</v>
      </c>
      <c r="P512" s="3">
        <f t="shared" si="59"/>
        <v>0</v>
      </c>
    </row>
    <row r="513" spans="9:16">
      <c r="I513" s="2"/>
      <c r="J513" s="3">
        <f t="shared" si="51"/>
        <v>0</v>
      </c>
      <c r="K513" s="2"/>
      <c r="L513" s="71"/>
      <c r="M513" s="71"/>
      <c r="N513" s="3">
        <f t="shared" si="57"/>
        <v>0</v>
      </c>
      <c r="O513" s="3">
        <f t="shared" si="58"/>
        <v>0</v>
      </c>
      <c r="P513" s="3">
        <f t="shared" si="59"/>
        <v>0</v>
      </c>
    </row>
    <row r="514" spans="9:16">
      <c r="I514" s="2"/>
      <c r="J514" s="3">
        <f t="shared" si="51"/>
        <v>0</v>
      </c>
      <c r="K514" s="2"/>
      <c r="L514" s="71"/>
      <c r="M514" s="71"/>
      <c r="N514" s="3">
        <f t="shared" si="57"/>
        <v>0</v>
      </c>
      <c r="O514" s="3">
        <f t="shared" si="58"/>
        <v>0</v>
      </c>
      <c r="P514" s="3">
        <f t="shared" si="59"/>
        <v>0</v>
      </c>
    </row>
    <row r="515" spans="9:16">
      <c r="I515" s="2"/>
      <c r="J515" s="3">
        <f t="shared" si="51"/>
        <v>0</v>
      </c>
      <c r="K515" s="2"/>
      <c r="L515" s="71"/>
      <c r="M515" s="71"/>
      <c r="N515" s="3">
        <f t="shared" si="57"/>
        <v>0</v>
      </c>
      <c r="O515" s="3">
        <f t="shared" si="58"/>
        <v>0</v>
      </c>
      <c r="P515" s="3">
        <f t="shared" si="59"/>
        <v>0</v>
      </c>
    </row>
    <row r="516" spans="9:16">
      <c r="I516" s="2"/>
      <c r="J516" s="3">
        <f t="shared" si="51"/>
        <v>0</v>
      </c>
      <c r="K516" s="2"/>
      <c r="L516" s="71"/>
      <c r="M516" s="71"/>
      <c r="N516" s="3">
        <f t="shared" si="57"/>
        <v>0</v>
      </c>
      <c r="O516" s="3">
        <f t="shared" si="58"/>
        <v>0</v>
      </c>
      <c r="P516" s="3">
        <f t="shared" si="59"/>
        <v>0</v>
      </c>
    </row>
    <row r="517" spans="9:16">
      <c r="I517" s="2"/>
      <c r="J517" s="3" t="e">
        <f t="shared" si="51"/>
        <v>#VALUE!</v>
      </c>
      <c r="K517" s="2"/>
      <c r="L517" s="71" t="s">
        <v>25</v>
      </c>
      <c r="M517" s="71"/>
      <c r="N517" s="3" t="e">
        <f t="shared" si="57"/>
        <v>#VALUE!</v>
      </c>
      <c r="O517" s="3">
        <f t="shared" si="58"/>
        <v>0</v>
      </c>
      <c r="P517" s="3" t="e">
        <f t="shared" si="59"/>
        <v>#VALUE!</v>
      </c>
    </row>
    <row r="518" spans="9:16">
      <c r="I518" s="2"/>
      <c r="J518" s="3" t="e">
        <f t="shared" si="51"/>
        <v>#VALUE!</v>
      </c>
      <c r="K518" s="2"/>
      <c r="L518" s="71"/>
      <c r="M518" s="71"/>
      <c r="N518" s="3">
        <f t="shared" si="57"/>
        <v>0</v>
      </c>
      <c r="O518" s="3">
        <f t="shared" si="58"/>
        <v>0</v>
      </c>
      <c r="P518" s="3" t="e">
        <f t="shared" si="59"/>
        <v>#VALUE!</v>
      </c>
    </row>
    <row r="519" spans="9:16">
      <c r="I519" s="2"/>
      <c r="J519" s="3">
        <f t="shared" si="51"/>
        <v>0</v>
      </c>
      <c r="K519" s="2"/>
      <c r="L519" s="71"/>
      <c r="M519" s="71"/>
      <c r="N519" s="3">
        <f t="shared" si="57"/>
        <v>0</v>
      </c>
      <c r="O519" s="3">
        <f t="shared" si="58"/>
        <v>0</v>
      </c>
      <c r="P519" s="3">
        <f t="shared" si="59"/>
        <v>0</v>
      </c>
    </row>
    <row r="520" spans="9:16">
      <c r="I520" s="2"/>
      <c r="J520" s="3">
        <f t="shared" si="51"/>
        <v>0</v>
      </c>
      <c r="K520" s="2"/>
      <c r="L520" s="71"/>
      <c r="M520" s="71"/>
      <c r="N520" s="3">
        <f t="shared" si="57"/>
        <v>0</v>
      </c>
      <c r="O520" s="3">
        <f t="shared" si="58"/>
        <v>0</v>
      </c>
      <c r="P520" s="3">
        <f t="shared" si="59"/>
        <v>0</v>
      </c>
    </row>
    <row r="521" spans="9:16">
      <c r="I521" s="2"/>
      <c r="J521" s="3">
        <f t="shared" si="51"/>
        <v>0</v>
      </c>
      <c r="K521" s="2"/>
      <c r="L521" s="71"/>
      <c r="M521" s="71"/>
      <c r="N521" s="3">
        <f t="shared" si="57"/>
        <v>0</v>
      </c>
      <c r="O521" s="3">
        <f t="shared" si="58"/>
        <v>0</v>
      </c>
      <c r="P521" s="3">
        <f t="shared" si="59"/>
        <v>0</v>
      </c>
    </row>
    <row r="522" spans="9:16">
      <c r="I522" s="2"/>
      <c r="J522" s="3">
        <f t="shared" si="51"/>
        <v>0</v>
      </c>
      <c r="K522" s="2"/>
      <c r="L522" s="71"/>
      <c r="M522" s="71"/>
      <c r="N522" s="3">
        <f t="shared" si="57"/>
        <v>0</v>
      </c>
      <c r="O522" s="3">
        <f t="shared" si="58"/>
        <v>0</v>
      </c>
      <c r="P522" s="3">
        <f t="shared" si="59"/>
        <v>0</v>
      </c>
    </row>
    <row r="523" spans="9:16">
      <c r="I523" s="2"/>
      <c r="J523" s="3">
        <f t="shared" si="51"/>
        <v>0</v>
      </c>
      <c r="K523" s="2"/>
      <c r="L523" s="71"/>
      <c r="M523" s="71"/>
      <c r="N523" s="3">
        <f t="shared" si="57"/>
        <v>0</v>
      </c>
      <c r="O523" s="3">
        <f t="shared" si="58"/>
        <v>0</v>
      </c>
      <c r="P523" s="3">
        <f t="shared" si="59"/>
        <v>0</v>
      </c>
    </row>
    <row r="524" spans="9:16">
      <c r="I524" s="2"/>
      <c r="J524" s="3">
        <f t="shared" si="51"/>
        <v>0</v>
      </c>
      <c r="K524" s="2"/>
      <c r="L524" s="71"/>
      <c r="M524" s="71"/>
      <c r="N524" s="3">
        <f t="shared" si="57"/>
        <v>0</v>
      </c>
      <c r="O524" s="3">
        <f t="shared" si="58"/>
        <v>0</v>
      </c>
      <c r="P524" s="3">
        <f t="shared" si="59"/>
        <v>0</v>
      </c>
    </row>
    <row r="525" spans="9:16">
      <c r="I525" s="2"/>
      <c r="J525" s="3">
        <f t="shared" si="51"/>
        <v>0</v>
      </c>
      <c r="K525" s="2"/>
      <c r="L525" s="71"/>
      <c r="M525" s="71"/>
      <c r="N525" s="3">
        <f t="shared" si="57"/>
        <v>0</v>
      </c>
      <c r="O525" s="3">
        <f t="shared" si="58"/>
        <v>0</v>
      </c>
      <c r="P525" s="3">
        <f t="shared" si="59"/>
        <v>0</v>
      </c>
    </row>
    <row r="526" spans="9:16">
      <c r="I526" s="2"/>
      <c r="J526" s="3">
        <f t="shared" si="51"/>
        <v>0</v>
      </c>
      <c r="K526" s="2"/>
      <c r="L526" s="71"/>
      <c r="M526" s="71"/>
      <c r="N526" s="3">
        <f t="shared" si="57"/>
        <v>0</v>
      </c>
      <c r="O526" s="3">
        <f t="shared" si="58"/>
        <v>0</v>
      </c>
      <c r="P526" s="3">
        <f t="shared" si="59"/>
        <v>0</v>
      </c>
    </row>
    <row r="527" spans="9:16">
      <c r="I527" s="2"/>
      <c r="J527" s="3">
        <f t="shared" si="51"/>
        <v>0</v>
      </c>
      <c r="K527" s="2"/>
      <c r="L527" s="71"/>
      <c r="M527" s="71"/>
      <c r="N527" s="3">
        <f t="shared" ref="N527:N559" si="60">L527+M527</f>
        <v>0</v>
      </c>
      <c r="O527" s="3">
        <f t="shared" ref="O527:O559" si="61">M527-M526</f>
        <v>0</v>
      </c>
      <c r="P527" s="3">
        <f t="shared" ref="P527:P559" si="62">N527-N526</f>
        <v>0</v>
      </c>
    </row>
    <row r="528" spans="9:16">
      <c r="I528" s="2"/>
      <c r="J528" s="3">
        <f t="shared" si="51"/>
        <v>0</v>
      </c>
      <c r="K528" s="2"/>
      <c r="L528" s="71"/>
      <c r="M528" s="71"/>
      <c r="N528" s="3">
        <f t="shared" si="60"/>
        <v>0</v>
      </c>
      <c r="O528" s="3">
        <f t="shared" si="61"/>
        <v>0</v>
      </c>
      <c r="P528" s="3">
        <f t="shared" si="62"/>
        <v>0</v>
      </c>
    </row>
    <row r="529" spans="9:18">
      <c r="I529" s="2"/>
      <c r="J529" s="3">
        <f t="shared" si="51"/>
        <v>0</v>
      </c>
      <c r="K529" s="2"/>
      <c r="L529" s="71"/>
      <c r="M529" s="71"/>
      <c r="N529" s="3">
        <f t="shared" si="60"/>
        <v>0</v>
      </c>
      <c r="O529" s="3">
        <f t="shared" si="61"/>
        <v>0</v>
      </c>
      <c r="P529" s="3">
        <f t="shared" si="62"/>
        <v>0</v>
      </c>
    </row>
    <row r="530" spans="9:18">
      <c r="I530" s="2"/>
      <c r="J530" s="3">
        <f t="shared" si="51"/>
        <v>0</v>
      </c>
      <c r="K530" s="2"/>
      <c r="L530" s="71"/>
      <c r="M530" s="71"/>
      <c r="N530" s="3">
        <f t="shared" si="60"/>
        <v>0</v>
      </c>
      <c r="O530" s="3">
        <f t="shared" si="61"/>
        <v>0</v>
      </c>
      <c r="P530" s="3">
        <f t="shared" si="62"/>
        <v>0</v>
      </c>
    </row>
    <row r="531" spans="9:18">
      <c r="I531" s="2"/>
      <c r="J531" s="3">
        <f t="shared" si="51"/>
        <v>0</v>
      </c>
      <c r="K531" s="2"/>
      <c r="L531" s="71"/>
      <c r="M531" s="71"/>
      <c r="N531" s="3">
        <f t="shared" si="60"/>
        <v>0</v>
      </c>
      <c r="O531" s="3">
        <f t="shared" si="61"/>
        <v>0</v>
      </c>
      <c r="P531" s="3">
        <f t="shared" si="62"/>
        <v>0</v>
      </c>
    </row>
    <row r="532" spans="9:18">
      <c r="I532" s="2"/>
      <c r="J532" s="3">
        <f t="shared" si="51"/>
        <v>0</v>
      </c>
      <c r="K532" s="2"/>
      <c r="L532" s="71"/>
      <c r="M532" s="71"/>
      <c r="N532" s="3">
        <f t="shared" si="60"/>
        <v>0</v>
      </c>
      <c r="O532" s="3">
        <f t="shared" si="61"/>
        <v>0</v>
      </c>
      <c r="P532" s="3">
        <f t="shared" si="62"/>
        <v>0</v>
      </c>
    </row>
    <row r="533" spans="9:18">
      <c r="I533" s="2"/>
      <c r="J533" s="3">
        <f t="shared" si="51"/>
        <v>0</v>
      </c>
      <c r="K533" s="2"/>
      <c r="L533" s="71"/>
      <c r="M533" s="71"/>
      <c r="N533" s="3">
        <f t="shared" si="60"/>
        <v>0</v>
      </c>
      <c r="O533" s="3">
        <f t="shared" si="61"/>
        <v>0</v>
      </c>
      <c r="P533" s="3">
        <f t="shared" si="62"/>
        <v>0</v>
      </c>
    </row>
    <row r="534" spans="9:18">
      <c r="I534" s="2"/>
      <c r="J534" s="3">
        <f t="shared" si="51"/>
        <v>0</v>
      </c>
      <c r="K534" s="2"/>
      <c r="L534" s="71"/>
      <c r="M534" s="71"/>
      <c r="N534" s="3">
        <f t="shared" si="60"/>
        <v>0</v>
      </c>
      <c r="O534" s="3">
        <f t="shared" si="61"/>
        <v>0</v>
      </c>
      <c r="P534" s="3">
        <f t="shared" si="62"/>
        <v>0</v>
      </c>
    </row>
    <row r="535" spans="9:18">
      <c r="I535" s="2"/>
      <c r="J535" s="3">
        <f t="shared" si="51"/>
        <v>0</v>
      </c>
      <c r="K535" s="2"/>
      <c r="L535" s="71"/>
      <c r="M535" s="71"/>
      <c r="N535" s="3">
        <f t="shared" si="60"/>
        <v>0</v>
      </c>
      <c r="O535" s="3">
        <f t="shared" si="61"/>
        <v>0</v>
      </c>
      <c r="P535" s="3">
        <f t="shared" si="62"/>
        <v>0</v>
      </c>
    </row>
    <row r="536" spans="9:18">
      <c r="I536" s="2"/>
      <c r="J536" s="3">
        <f t="shared" si="51"/>
        <v>0</v>
      </c>
      <c r="K536" s="2"/>
      <c r="L536" s="71"/>
      <c r="M536" s="71"/>
      <c r="N536" s="3">
        <f t="shared" si="60"/>
        <v>0</v>
      </c>
      <c r="O536" s="3">
        <f t="shared" si="61"/>
        <v>0</v>
      </c>
      <c r="P536" s="3">
        <f t="shared" si="62"/>
        <v>0</v>
      </c>
    </row>
    <row r="537" spans="9:18">
      <c r="I537" s="2"/>
      <c r="J537" s="3">
        <f t="shared" si="51"/>
        <v>0</v>
      </c>
      <c r="K537" s="2"/>
      <c r="L537" s="71"/>
      <c r="M537" s="71"/>
      <c r="N537" s="3">
        <f t="shared" si="60"/>
        <v>0</v>
      </c>
      <c r="O537" s="3">
        <f t="shared" si="61"/>
        <v>0</v>
      </c>
      <c r="P537" s="3">
        <f t="shared" si="62"/>
        <v>0</v>
      </c>
    </row>
    <row r="538" spans="9:18">
      <c r="I538" s="2"/>
      <c r="J538" s="3">
        <f t="shared" si="51"/>
        <v>0</v>
      </c>
      <c r="K538" s="2"/>
      <c r="L538" s="71"/>
      <c r="M538" s="71"/>
      <c r="N538" s="3">
        <f t="shared" si="60"/>
        <v>0</v>
      </c>
      <c r="O538" s="3">
        <f t="shared" si="61"/>
        <v>0</v>
      </c>
      <c r="P538" s="3">
        <f t="shared" si="62"/>
        <v>0</v>
      </c>
    </row>
    <row r="539" spans="9:18">
      <c r="I539" s="2"/>
      <c r="J539" s="3">
        <f t="shared" si="51"/>
        <v>0</v>
      </c>
      <c r="K539" s="2"/>
      <c r="L539" s="71"/>
      <c r="M539" s="71"/>
      <c r="N539" s="3">
        <f t="shared" si="60"/>
        <v>0</v>
      </c>
      <c r="O539" s="3">
        <f t="shared" si="61"/>
        <v>0</v>
      </c>
      <c r="P539" s="3">
        <f t="shared" si="62"/>
        <v>0</v>
      </c>
    </row>
    <row r="540" spans="9:18">
      <c r="I540" s="2"/>
      <c r="J540" s="3">
        <f t="shared" si="51"/>
        <v>0</v>
      </c>
      <c r="K540" s="2"/>
      <c r="L540" s="71"/>
      <c r="M540" s="71"/>
      <c r="N540" s="3">
        <f t="shared" si="60"/>
        <v>0</v>
      </c>
      <c r="O540" s="3">
        <f t="shared" si="61"/>
        <v>0</v>
      </c>
      <c r="P540" s="3">
        <f t="shared" si="62"/>
        <v>0</v>
      </c>
    </row>
    <row r="541" spans="9:18">
      <c r="I541" s="2"/>
      <c r="J541" s="3">
        <f t="shared" si="51"/>
        <v>0</v>
      </c>
      <c r="K541" s="2"/>
      <c r="L541" s="71"/>
      <c r="M541" s="71"/>
      <c r="N541" s="3">
        <f t="shared" si="60"/>
        <v>0</v>
      </c>
      <c r="O541" s="3">
        <f t="shared" si="61"/>
        <v>0</v>
      </c>
      <c r="P541" s="3">
        <f t="shared" si="62"/>
        <v>0</v>
      </c>
    </row>
    <row r="542" spans="9:18">
      <c r="I542" s="2"/>
      <c r="J542" s="3">
        <f t="shared" si="51"/>
        <v>0</v>
      </c>
      <c r="K542" s="2"/>
      <c r="L542" s="71"/>
      <c r="M542" s="71"/>
      <c r="N542" s="3">
        <f t="shared" si="60"/>
        <v>0</v>
      </c>
      <c r="O542" s="3">
        <f t="shared" si="61"/>
        <v>0</v>
      </c>
      <c r="P542" s="3">
        <f t="shared" si="62"/>
        <v>0</v>
      </c>
    </row>
    <row r="543" spans="9:18">
      <c r="I543" s="2"/>
      <c r="J543" s="3">
        <f t="shared" si="51"/>
        <v>0</v>
      </c>
      <c r="K543" s="2"/>
      <c r="L543" s="71"/>
      <c r="M543" s="71"/>
      <c r="N543" s="3">
        <f t="shared" si="60"/>
        <v>0</v>
      </c>
      <c r="O543" s="3">
        <f t="shared" si="61"/>
        <v>0</v>
      </c>
      <c r="P543" s="3">
        <f t="shared" si="62"/>
        <v>0</v>
      </c>
    </row>
    <row r="544" spans="9:18">
      <c r="I544" s="2"/>
      <c r="J544" s="3">
        <f t="shared" si="51"/>
        <v>0</v>
      </c>
      <c r="K544" s="2"/>
      <c r="L544" s="71"/>
      <c r="M544" s="71"/>
      <c r="N544" s="3">
        <f t="shared" si="60"/>
        <v>0</v>
      </c>
      <c r="O544" s="3">
        <f t="shared" si="61"/>
        <v>0</v>
      </c>
      <c r="P544" s="3">
        <f t="shared" si="62"/>
        <v>0</v>
      </c>
      <c r="R544" t="s">
        <v>25</v>
      </c>
    </row>
    <row r="545" spans="9:16">
      <c r="I545" s="2"/>
      <c r="J545" s="3">
        <f t="shared" si="51"/>
        <v>0</v>
      </c>
      <c r="K545" s="2"/>
      <c r="L545" s="71"/>
      <c r="M545" s="71"/>
      <c r="N545" s="3">
        <f t="shared" si="60"/>
        <v>0</v>
      </c>
      <c r="O545" s="3">
        <f t="shared" si="61"/>
        <v>0</v>
      </c>
      <c r="P545" s="3">
        <f t="shared" si="62"/>
        <v>0</v>
      </c>
    </row>
    <row r="546" spans="9:16">
      <c r="I546" s="2"/>
      <c r="J546" s="3">
        <f t="shared" si="51"/>
        <v>0</v>
      </c>
      <c r="K546" s="2"/>
      <c r="L546" s="71"/>
      <c r="M546" s="71"/>
      <c r="N546" s="3">
        <f t="shared" si="60"/>
        <v>0</v>
      </c>
      <c r="O546" s="3">
        <f t="shared" si="61"/>
        <v>0</v>
      </c>
      <c r="P546" s="3">
        <f t="shared" si="62"/>
        <v>0</v>
      </c>
    </row>
    <row r="547" spans="9:16">
      <c r="I547" s="2"/>
      <c r="J547" s="3">
        <f t="shared" si="51"/>
        <v>0</v>
      </c>
      <c r="K547" s="2"/>
      <c r="L547" s="71"/>
      <c r="M547" s="71"/>
      <c r="N547" s="3">
        <f t="shared" si="60"/>
        <v>0</v>
      </c>
      <c r="O547" s="3">
        <f t="shared" si="61"/>
        <v>0</v>
      </c>
      <c r="P547" s="3">
        <f t="shared" si="62"/>
        <v>0</v>
      </c>
    </row>
    <row r="548" spans="9:16">
      <c r="I548" s="2"/>
      <c r="J548" s="3">
        <f t="shared" si="51"/>
        <v>0</v>
      </c>
      <c r="K548" s="2"/>
      <c r="L548" s="71"/>
      <c r="M548" s="71"/>
      <c r="N548" s="3">
        <f t="shared" si="60"/>
        <v>0</v>
      </c>
      <c r="O548" s="3">
        <f t="shared" si="61"/>
        <v>0</v>
      </c>
      <c r="P548" s="3">
        <f t="shared" si="62"/>
        <v>0</v>
      </c>
    </row>
    <row r="549" spans="9:16">
      <c r="I549" s="2"/>
      <c r="J549" s="3">
        <f t="shared" si="51"/>
        <v>0</v>
      </c>
      <c r="K549" s="2"/>
      <c r="L549" s="71"/>
      <c r="M549" s="71"/>
      <c r="N549" s="3">
        <f t="shared" si="60"/>
        <v>0</v>
      </c>
      <c r="O549" s="3">
        <f t="shared" si="61"/>
        <v>0</v>
      </c>
      <c r="P549" s="3">
        <f t="shared" si="62"/>
        <v>0</v>
      </c>
    </row>
    <row r="550" spans="9:16">
      <c r="I550" s="2"/>
      <c r="J550" s="3">
        <f t="shared" si="51"/>
        <v>0</v>
      </c>
      <c r="K550" s="2"/>
      <c r="L550" s="71"/>
      <c r="M550" s="71"/>
      <c r="N550" s="3">
        <f t="shared" si="60"/>
        <v>0</v>
      </c>
      <c r="O550" s="3">
        <f t="shared" si="61"/>
        <v>0</v>
      </c>
      <c r="P550" s="3">
        <f t="shared" si="62"/>
        <v>0</v>
      </c>
    </row>
    <row r="551" spans="9:16">
      <c r="I551" s="2"/>
      <c r="J551" s="3">
        <f t="shared" si="51"/>
        <v>0</v>
      </c>
      <c r="K551" s="2"/>
      <c r="L551" s="71"/>
      <c r="M551" s="71"/>
      <c r="N551" s="3">
        <f t="shared" si="60"/>
        <v>0</v>
      </c>
      <c r="O551" s="3">
        <f t="shared" si="61"/>
        <v>0</v>
      </c>
      <c r="P551" s="3">
        <f t="shared" si="62"/>
        <v>0</v>
      </c>
    </row>
    <row r="552" spans="9:16">
      <c r="I552" s="2"/>
      <c r="J552" s="3">
        <f t="shared" si="51"/>
        <v>0</v>
      </c>
      <c r="K552" s="2"/>
      <c r="L552" s="71"/>
      <c r="M552" s="71"/>
      <c r="N552" s="3">
        <f t="shared" si="60"/>
        <v>0</v>
      </c>
      <c r="O552" s="3">
        <f t="shared" si="61"/>
        <v>0</v>
      </c>
      <c r="P552" s="3">
        <f t="shared" si="62"/>
        <v>0</v>
      </c>
    </row>
    <row r="553" spans="9:16">
      <c r="I553" s="2"/>
      <c r="J553" s="3">
        <f t="shared" si="51"/>
        <v>0</v>
      </c>
      <c r="K553" s="2"/>
      <c r="L553" s="71"/>
      <c r="M553" s="71"/>
      <c r="N553" s="3">
        <f t="shared" si="60"/>
        <v>0</v>
      </c>
      <c r="O553" s="3">
        <f t="shared" si="61"/>
        <v>0</v>
      </c>
      <c r="P553" s="3">
        <f t="shared" si="62"/>
        <v>0</v>
      </c>
    </row>
    <row r="554" spans="9:16">
      <c r="I554" s="2"/>
      <c r="J554" s="3">
        <f t="shared" si="51"/>
        <v>0</v>
      </c>
      <c r="K554" s="2"/>
      <c r="L554" s="71"/>
      <c r="M554" s="71"/>
      <c r="N554" s="3">
        <f t="shared" si="60"/>
        <v>0</v>
      </c>
      <c r="O554" s="3">
        <f t="shared" si="61"/>
        <v>0</v>
      </c>
      <c r="P554" s="3">
        <f t="shared" si="62"/>
        <v>0</v>
      </c>
    </row>
    <row r="555" spans="9:16">
      <c r="I555" s="2"/>
      <c r="J555" s="3">
        <f t="shared" si="51"/>
        <v>0</v>
      </c>
      <c r="K555" s="2"/>
      <c r="L555" s="71"/>
      <c r="M555" s="71"/>
      <c r="N555" s="3">
        <f t="shared" si="60"/>
        <v>0</v>
      </c>
      <c r="O555" s="3">
        <f t="shared" si="61"/>
        <v>0</v>
      </c>
      <c r="P555" s="3">
        <f t="shared" si="62"/>
        <v>0</v>
      </c>
    </row>
    <row r="556" spans="9:16">
      <c r="I556" s="2"/>
      <c r="J556" s="3">
        <f t="shared" si="51"/>
        <v>0</v>
      </c>
      <c r="K556" s="2"/>
      <c r="L556" s="71"/>
      <c r="M556" s="71"/>
      <c r="N556" s="3">
        <f t="shared" si="60"/>
        <v>0</v>
      </c>
      <c r="O556" s="3">
        <f t="shared" si="61"/>
        <v>0</v>
      </c>
      <c r="P556" s="3">
        <f t="shared" si="62"/>
        <v>0</v>
      </c>
    </row>
    <row r="557" spans="9:16">
      <c r="I557" s="2"/>
      <c r="J557" s="3">
        <f t="shared" si="51"/>
        <v>0</v>
      </c>
      <c r="K557" s="2"/>
      <c r="L557" s="71"/>
      <c r="M557" s="71"/>
      <c r="N557" s="3">
        <f t="shared" si="60"/>
        <v>0</v>
      </c>
      <c r="O557" s="3">
        <f t="shared" si="61"/>
        <v>0</v>
      </c>
      <c r="P557" s="3">
        <f t="shared" si="62"/>
        <v>0</v>
      </c>
    </row>
    <row r="558" spans="9:16">
      <c r="I558" s="2"/>
      <c r="J558" s="3">
        <f t="shared" si="51"/>
        <v>0</v>
      </c>
      <c r="K558" s="2"/>
      <c r="L558" s="71"/>
      <c r="M558" s="71"/>
      <c r="N558" s="3">
        <f t="shared" si="60"/>
        <v>0</v>
      </c>
      <c r="O558" s="3">
        <f t="shared" si="61"/>
        <v>0</v>
      </c>
      <c r="P558" s="3">
        <f t="shared" si="62"/>
        <v>0</v>
      </c>
    </row>
    <row r="559" spans="9:16">
      <c r="I559" s="2"/>
      <c r="J559" s="3">
        <f t="shared" si="51"/>
        <v>0</v>
      </c>
      <c r="K559" s="2"/>
      <c r="L559" s="71"/>
      <c r="M559" s="71"/>
      <c r="N559" s="3">
        <f t="shared" si="60"/>
        <v>0</v>
      </c>
      <c r="O559" s="3">
        <f t="shared" si="61"/>
        <v>0</v>
      </c>
      <c r="P559" s="3">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5"/>
  <sheetViews>
    <sheetView topLeftCell="A57" zoomScale="80" zoomScaleNormal="80" workbookViewId="0">
      <selection activeCell="T83" sqref="T83"/>
    </sheetView>
  </sheetViews>
  <sheetFormatPr defaultRowHeight="15"/>
  <cols>
    <col min="1" max="1" width="12.5703125" customWidth="1"/>
    <col min="2" max="2" width="11.85546875" customWidth="1"/>
    <col min="3" max="3" width="17.7109375" bestFit="1" customWidth="1"/>
    <col min="4" max="4" width="17.28515625" bestFit="1" customWidth="1"/>
    <col min="5" max="6" width="14" customWidth="1"/>
    <col min="7" max="7" width="17.140625" customWidth="1"/>
    <col min="8" max="8" width="18.42578125" bestFit="1" customWidth="1"/>
    <col min="9" max="9" width="13.140625" customWidth="1"/>
    <col min="10" max="10" width="20.42578125" bestFit="1" customWidth="1"/>
    <col min="11" max="11" width="17.140625" bestFit="1" customWidth="1"/>
    <col min="12" max="12" width="14.85546875" bestFit="1" customWidth="1"/>
    <col min="13" max="13" width="17.140625" bestFit="1" customWidth="1"/>
    <col min="14" max="14" width="15.7109375" bestFit="1" customWidth="1"/>
    <col min="15" max="15" width="32.7109375" bestFit="1" customWidth="1"/>
    <col min="16" max="16" width="25.140625" bestFit="1" customWidth="1"/>
    <col min="17" max="17" width="27" customWidth="1"/>
    <col min="18" max="18" width="29.7109375" customWidth="1"/>
    <col min="19" max="19" width="20.140625" bestFit="1" customWidth="1"/>
    <col min="20" max="20" width="23.5703125" bestFit="1" customWidth="1"/>
    <col min="21" max="22" width="20.140625" bestFit="1" customWidth="1"/>
    <col min="23" max="23" width="23.140625" bestFit="1" customWidth="1"/>
    <col min="24" max="24" width="17.7109375" bestFit="1" customWidth="1"/>
    <col min="25" max="25" width="17" bestFit="1" customWidth="1"/>
  </cols>
  <sheetData>
    <row r="1" spans="1:23" ht="15.75">
      <c r="A1" s="252" t="s">
        <v>6167</v>
      </c>
      <c r="B1" s="247" t="s">
        <v>4192</v>
      </c>
      <c r="C1" s="246">
        <v>1061.5299198025909</v>
      </c>
      <c r="D1" s="326">
        <v>13473.143557422969</v>
      </c>
      <c r="E1" s="249" t="s">
        <v>5223</v>
      </c>
      <c r="F1" s="248">
        <v>395.26</v>
      </c>
      <c r="G1" s="323">
        <f>C1*D1*0.99114/(F1*1.0037158)</f>
        <v>35730.784642819097</v>
      </c>
      <c r="H1" s="249">
        <f t="shared" ref="H1:H8" si="0">C1/F1</f>
        <v>2.6856497490325126</v>
      </c>
      <c r="I1" s="250">
        <f t="shared" ref="I1:I32" si="1">$O$58/$O$59</f>
        <v>3.3641207815275309</v>
      </c>
      <c r="J1" s="251">
        <f t="shared" ref="J1:J12" si="2">I1/H1</f>
        <v>1.252628263510323</v>
      </c>
      <c r="K1" s="251">
        <f t="shared" ref="K1:K12" si="3">(1/J1-1.0256)*100</f>
        <v>-22.727855928970197</v>
      </c>
      <c r="L1" s="251">
        <f>1</f>
        <v>1</v>
      </c>
      <c r="M1" s="35"/>
    </row>
    <row r="2" spans="1:23" ht="15.75">
      <c r="A2" s="252" t="s">
        <v>6168</v>
      </c>
      <c r="B2" s="247" t="s">
        <v>4192</v>
      </c>
      <c r="C2" s="246">
        <v>1079.1486736582358</v>
      </c>
      <c r="D2" s="326">
        <v>61368.698879551819</v>
      </c>
      <c r="E2" s="249" t="s">
        <v>5223</v>
      </c>
      <c r="F2" s="248">
        <v>398.11200000000002</v>
      </c>
      <c r="G2" s="323">
        <f t="shared" ref="G2:G10" si="4">C2*D2*0.99114/(F2*1.0037158)</f>
        <v>164265.80691914711</v>
      </c>
      <c r="H2" s="249">
        <f t="shared" si="0"/>
        <v>2.71066602779679</v>
      </c>
      <c r="I2" s="250">
        <f t="shared" si="1"/>
        <v>3.3641207815275309</v>
      </c>
      <c r="J2" s="251">
        <f t="shared" si="2"/>
        <v>1.2410679689160617</v>
      </c>
      <c r="K2" s="251">
        <f t="shared" si="3"/>
        <v>-21.984235815755405</v>
      </c>
      <c r="L2" s="251">
        <f>H2/H1</f>
        <v>1.009314795711276</v>
      </c>
      <c r="M2" s="35"/>
      <c r="R2" s="7"/>
    </row>
    <row r="3" spans="1:23" ht="15.75">
      <c r="A3" s="252" t="s">
        <v>6169</v>
      </c>
      <c r="B3" s="247" t="s">
        <v>4192</v>
      </c>
      <c r="C3" s="246">
        <v>1144.5142504626774</v>
      </c>
      <c r="D3" s="326">
        <v>11657</v>
      </c>
      <c r="E3" s="249" t="s">
        <v>5223</v>
      </c>
      <c r="F3" s="248">
        <v>413.13</v>
      </c>
      <c r="G3" s="323">
        <f>C3*D3*0.99114/(F3*1.0037158)</f>
        <v>31889.338526098876</v>
      </c>
      <c r="H3" s="249">
        <f t="shared" si="0"/>
        <v>2.7703489227668712</v>
      </c>
      <c r="I3" s="250">
        <f t="shared" si="1"/>
        <v>3.3641207815275309</v>
      </c>
      <c r="J3" s="251">
        <f t="shared" si="2"/>
        <v>1.2143310735629769</v>
      </c>
      <c r="K3" s="251">
        <f t="shared" si="3"/>
        <v>-20.210134977943596</v>
      </c>
      <c r="L3" s="251">
        <f t="shared" ref="L3:L64" si="5">H3/H2</f>
        <v>1.0220177972343538</v>
      </c>
      <c r="M3" s="35"/>
      <c r="N3" s="35"/>
    </row>
    <row r="4" spans="1:23" ht="15.75">
      <c r="A4" s="252" t="s">
        <v>6855</v>
      </c>
      <c r="B4" s="247" t="s">
        <v>4192</v>
      </c>
      <c r="C4" s="246">
        <v>1144.5142504626774</v>
      </c>
      <c r="D4" s="326">
        <v>175407</v>
      </c>
      <c r="E4" s="249" t="s">
        <v>5223</v>
      </c>
      <c r="F4" s="248">
        <v>416.31299999999999</v>
      </c>
      <c r="G4" s="323">
        <f>C4*D4*0.99114/(F4*1.0037158)</f>
        <v>476181.36503496877</v>
      </c>
      <c r="H4" s="249">
        <f>C4/F4</f>
        <v>2.7491676946496444</v>
      </c>
      <c r="I4" s="250">
        <f t="shared" si="1"/>
        <v>3.3641207815275309</v>
      </c>
      <c r="J4" s="251">
        <f>I4/H4</f>
        <v>1.2236870046431476</v>
      </c>
      <c r="K4" s="251">
        <f>(1/J4-1.0256)*100</f>
        <v>-20.839756489559147</v>
      </c>
      <c r="L4" s="251">
        <f>H4/H3</f>
        <v>0.99235431033861532</v>
      </c>
      <c r="M4" s="35"/>
    </row>
    <row r="5" spans="1:23" ht="15.75">
      <c r="A5" s="252" t="s">
        <v>6169</v>
      </c>
      <c r="B5" s="247" t="s">
        <v>4192</v>
      </c>
      <c r="C5" s="246">
        <v>1151.3855644663788</v>
      </c>
      <c r="D5" s="326">
        <v>138014</v>
      </c>
      <c r="E5" s="249" t="s">
        <v>5223</v>
      </c>
      <c r="F5" s="248">
        <v>410.572</v>
      </c>
      <c r="G5" s="323">
        <f t="shared" si="4"/>
        <v>382189.5761116317</v>
      </c>
      <c r="H5" s="249">
        <f t="shared" si="0"/>
        <v>2.8043450709409772</v>
      </c>
      <c r="I5" s="250">
        <f t="shared" si="1"/>
        <v>3.3641207815275309</v>
      </c>
      <c r="J5" s="251">
        <f t="shared" si="2"/>
        <v>1.1996101394179444</v>
      </c>
      <c r="K5" s="251">
        <f t="shared" si="3"/>
        <v>-19.19958421648521</v>
      </c>
      <c r="L5" s="251">
        <f t="shared" si="5"/>
        <v>1.0200705749593659</v>
      </c>
      <c r="M5" s="35"/>
    </row>
    <row r="6" spans="1:23" ht="15.75">
      <c r="A6" s="252" t="s">
        <v>6855</v>
      </c>
      <c r="B6" s="247" t="s">
        <v>4192</v>
      </c>
      <c r="C6" s="246">
        <v>1151.3855644663788</v>
      </c>
      <c r="D6" s="326">
        <v>117504</v>
      </c>
      <c r="E6" s="249" t="s">
        <v>5223</v>
      </c>
      <c r="F6" s="248">
        <v>411.67399999999998</v>
      </c>
      <c r="G6" s="323">
        <f>C6*D6*0.99114/(F6*1.0037158)</f>
        <v>324522.06790074368</v>
      </c>
      <c r="H6" s="249">
        <f>C6/F6</f>
        <v>2.7968381886307583</v>
      </c>
      <c r="I6" s="250">
        <f t="shared" si="1"/>
        <v>3.3641207815275309</v>
      </c>
      <c r="J6" s="251">
        <f>I6/H6</f>
        <v>1.2028299653525882</v>
      </c>
      <c r="K6" s="251">
        <f>(1/J6-1.0256)*100</f>
        <v>-19.422729662137439</v>
      </c>
      <c r="L6" s="251">
        <f t="shared" si="5"/>
        <v>0.99732312460830652</v>
      </c>
      <c r="M6" s="35"/>
    </row>
    <row r="7" spans="1:23" ht="15.75">
      <c r="A7" s="252" t="s">
        <v>935</v>
      </c>
      <c r="B7" s="247" t="s">
        <v>4192</v>
      </c>
      <c r="C7" s="246">
        <v>1344.3109191856879</v>
      </c>
      <c r="D7" s="326">
        <v>10108</v>
      </c>
      <c r="E7" s="249" t="s">
        <v>5223</v>
      </c>
      <c r="F7" s="248">
        <v>479.9</v>
      </c>
      <c r="G7" s="323">
        <f>C7*D7*0.99114/(F7*1.0037158)</f>
        <v>27960.082751884445</v>
      </c>
      <c r="H7" s="249">
        <f>C7/F7</f>
        <v>2.8012313381656346</v>
      </c>
      <c r="I7" s="250">
        <f t="shared" si="1"/>
        <v>3.3641207815275309</v>
      </c>
      <c r="J7" s="251">
        <f>I7/H7</f>
        <v>1.2009435763811283</v>
      </c>
      <c r="K7" s="251">
        <f>(1/J7-1.0256)*100</f>
        <v>-19.292141320630819</v>
      </c>
      <c r="L7" s="251">
        <f t="shared" si="5"/>
        <v>1.0015707557028986</v>
      </c>
      <c r="M7" s="35"/>
      <c r="N7" s="431"/>
      <c r="O7" s="431"/>
      <c r="S7" t="s">
        <v>6732</v>
      </c>
    </row>
    <row r="8" spans="1:23" ht="18.75">
      <c r="A8" s="252" t="s">
        <v>6589</v>
      </c>
      <c r="B8" s="247" t="s">
        <v>4192</v>
      </c>
      <c r="C8" s="246">
        <v>1294.9784083898828</v>
      </c>
      <c r="D8" s="326">
        <v>9478</v>
      </c>
      <c r="E8" s="249" t="s">
        <v>5223</v>
      </c>
      <c r="F8" s="248">
        <v>460.82</v>
      </c>
      <c r="G8" s="323">
        <f t="shared" si="4"/>
        <v>26300.993565030676</v>
      </c>
      <c r="H8" s="259">
        <f t="shared" si="0"/>
        <v>2.8101610355233775</v>
      </c>
      <c r="I8" s="250">
        <f t="shared" si="1"/>
        <v>3.3641207815275309</v>
      </c>
      <c r="J8" s="251">
        <f t="shared" si="2"/>
        <v>1.1971274026653713</v>
      </c>
      <c r="K8" s="251">
        <f t="shared" si="3"/>
        <v>-19.02670205915199</v>
      </c>
      <c r="L8" s="251">
        <f t="shared" si="5"/>
        <v>1.0031877757599237</v>
      </c>
      <c r="M8" s="35"/>
      <c r="N8" s="431"/>
      <c r="O8" s="431"/>
      <c r="W8" t="s">
        <v>25</v>
      </c>
    </row>
    <row r="9" spans="1:23" ht="18.75">
      <c r="A9" s="252" t="s">
        <v>6850</v>
      </c>
      <c r="B9" s="247" t="s">
        <v>4192</v>
      </c>
      <c r="C9" s="246">
        <v>1294.9784083898828</v>
      </c>
      <c r="D9" s="326">
        <v>102867</v>
      </c>
      <c r="E9" s="249" t="s">
        <v>5223</v>
      </c>
      <c r="F9" s="248">
        <v>456.8</v>
      </c>
      <c r="G9" s="323">
        <f>C9*D9*0.99114/(F9*1.0037158)</f>
        <v>287963.03973155946</v>
      </c>
      <c r="H9" s="259">
        <f t="shared" ref="H9:H14" si="6">C9/F9</f>
        <v>2.8348914369305667</v>
      </c>
      <c r="I9" s="250">
        <f t="shared" si="1"/>
        <v>3.3641207815275309</v>
      </c>
      <c r="J9" s="251">
        <f>I9/H9</f>
        <v>1.1866841663502921</v>
      </c>
      <c r="K9" s="251">
        <f>(1/J9-1.0256)*100</f>
        <v>-18.291579778674294</v>
      </c>
      <c r="L9" s="251">
        <f t="shared" si="5"/>
        <v>1.008800350262697</v>
      </c>
      <c r="M9" s="35"/>
    </row>
    <row r="10" spans="1:23" ht="18.75">
      <c r="A10" s="252" t="s">
        <v>6594</v>
      </c>
      <c r="B10" s="247" t="s">
        <v>4192</v>
      </c>
      <c r="C10" s="246">
        <v>1300.7749784083899</v>
      </c>
      <c r="D10" s="326">
        <v>10777</v>
      </c>
      <c r="E10" s="249" t="s">
        <v>5223</v>
      </c>
      <c r="F10" s="248">
        <v>452.07955120213717</v>
      </c>
      <c r="G10" s="323">
        <f t="shared" si="4"/>
        <v>30620.299686000919</v>
      </c>
      <c r="H10" s="259">
        <f t="shared" si="6"/>
        <v>2.8773143464451407</v>
      </c>
      <c r="I10" s="250">
        <f t="shared" si="1"/>
        <v>3.3641207815275309</v>
      </c>
      <c r="J10" s="251">
        <f t="shared" si="2"/>
        <v>1.1691877829350932</v>
      </c>
      <c r="K10" s="251">
        <f t="shared" si="3"/>
        <v>-17.030539754561026</v>
      </c>
      <c r="L10" s="251">
        <f t="shared" si="5"/>
        <v>1.0149645622974921</v>
      </c>
      <c r="M10" s="35"/>
    </row>
    <row r="11" spans="1:23" ht="18.75">
      <c r="A11" s="252" t="s">
        <v>6594</v>
      </c>
      <c r="B11" s="247" t="s">
        <v>4192</v>
      </c>
      <c r="C11" s="246">
        <v>1300.7749784083899</v>
      </c>
      <c r="D11" s="326">
        <v>118026</v>
      </c>
      <c r="E11" s="249" t="s">
        <v>5223</v>
      </c>
      <c r="F11" s="248">
        <v>455.26299999999998</v>
      </c>
      <c r="G11" s="323">
        <f>C11*D11*0.99114/(F11*1.0037158)</f>
        <v>332998.09580154391</v>
      </c>
      <c r="H11" s="259">
        <f t="shared" si="6"/>
        <v>2.8571945851263774</v>
      </c>
      <c r="I11" s="250">
        <f t="shared" si="1"/>
        <v>3.3641207815275309</v>
      </c>
      <c r="J11" s="251">
        <f>I11/H11</f>
        <v>1.1774209565704925</v>
      </c>
      <c r="K11" s="251">
        <f>(1/J11-1.0256)*100</f>
        <v>-17.628608689221203</v>
      </c>
      <c r="L11" s="251">
        <f t="shared" si="5"/>
        <v>0.99300745108242316</v>
      </c>
      <c r="M11" s="35"/>
    </row>
    <row r="12" spans="1:23" ht="18.75">
      <c r="A12" s="252" t="s">
        <v>6780</v>
      </c>
      <c r="B12" s="247" t="s">
        <v>4192</v>
      </c>
      <c r="C12" s="246">
        <v>1369</v>
      </c>
      <c r="D12" s="326">
        <v>53130</v>
      </c>
      <c r="E12" s="249" t="s">
        <v>5223</v>
      </c>
      <c r="F12" s="248">
        <v>471.21499999999997</v>
      </c>
      <c r="G12" s="323">
        <f>C12*D12*0.9912/(F12*1.003631981)</f>
        <v>152444.21873592964</v>
      </c>
      <c r="H12" s="259">
        <f t="shared" si="6"/>
        <v>2.905255562747366</v>
      </c>
      <c r="I12" s="250">
        <f t="shared" si="1"/>
        <v>3.3641207815275309</v>
      </c>
      <c r="J12" s="251">
        <f t="shared" si="2"/>
        <v>1.1579431512545619</v>
      </c>
      <c r="K12" s="251">
        <f t="shared" si="3"/>
        <v>-16.199974560360765</v>
      </c>
      <c r="L12" s="251">
        <f t="shared" si="5"/>
        <v>1.016821037625921</v>
      </c>
      <c r="M12" s="35"/>
    </row>
    <row r="13" spans="1:23" ht="18.75">
      <c r="A13" s="252" t="s">
        <v>6782</v>
      </c>
      <c r="B13" s="247" t="s">
        <v>4192</v>
      </c>
      <c r="C13" s="246">
        <v>1329</v>
      </c>
      <c r="D13" s="326">
        <v>44302</v>
      </c>
      <c r="E13" s="249" t="s">
        <v>5223</v>
      </c>
      <c r="F13" s="248">
        <v>453.19</v>
      </c>
      <c r="G13" s="323">
        <f>C13*D13*0.9912/(F13*1.003631981)</f>
        <v>128308.31363494661</v>
      </c>
      <c r="H13" s="259">
        <f t="shared" si="6"/>
        <v>2.9325448487389396</v>
      </c>
      <c r="I13" s="250">
        <f t="shared" si="1"/>
        <v>3.3641207815275309</v>
      </c>
      <c r="J13" s="251">
        <f>I13/H13</f>
        <v>1.1471677178182556</v>
      </c>
      <c r="K13" s="251">
        <f>(1/J13-1.0256)*100</f>
        <v>-15.388788287221589</v>
      </c>
      <c r="L13" s="251">
        <f t="shared" si="5"/>
        <v>1.0093930758937322</v>
      </c>
      <c r="M13" s="35"/>
    </row>
    <row r="14" spans="1:23" ht="18.75">
      <c r="A14" s="252" t="s">
        <v>6782</v>
      </c>
      <c r="B14" s="247" t="s">
        <v>4192</v>
      </c>
      <c r="C14" s="246">
        <v>1322</v>
      </c>
      <c r="D14" s="326">
        <v>553147</v>
      </c>
      <c r="E14" s="249" t="s">
        <v>5223</v>
      </c>
      <c r="F14" s="248">
        <f>450.0262</f>
        <v>450.02620000000002</v>
      </c>
      <c r="G14" s="323">
        <f>C14*D14*0.9912/(F14*1.003631981)</f>
        <v>1604800.3834569703</v>
      </c>
      <c r="H14" s="259">
        <f t="shared" si="6"/>
        <v>2.9376067437851394</v>
      </c>
      <c r="I14" s="250">
        <f t="shared" si="1"/>
        <v>3.3641207815275309</v>
      </c>
      <c r="J14" s="251">
        <f>I14/H14</f>
        <v>1.145190992172364</v>
      </c>
      <c r="K14" s="251">
        <f>(1/J14-1.0256)*100</f>
        <v>-15.238321185267512</v>
      </c>
      <c r="L14" s="251">
        <f t="shared" si="5"/>
        <v>1.001726110019554</v>
      </c>
      <c r="M14" s="35"/>
    </row>
    <row r="15" spans="1:23" ht="18.75">
      <c r="A15" s="252" t="s">
        <v>6782</v>
      </c>
      <c r="B15" s="247" t="s">
        <v>4192</v>
      </c>
      <c r="C15" s="246">
        <v>1322</v>
      </c>
      <c r="D15" s="326">
        <v>54086.269462180921</v>
      </c>
      <c r="E15" s="249" t="s">
        <v>5223</v>
      </c>
      <c r="F15" s="248">
        <v>449.39547566360085</v>
      </c>
      <c r="G15" s="323">
        <f t="shared" ref="G15:G34" si="7">C15*D15*0.9912/(F15*1.003631981)</f>
        <v>157136.32374268974</v>
      </c>
      <c r="H15" s="259">
        <f t="shared" ref="H15:H26" si="8">C15/F15</f>
        <v>2.9417296603795702</v>
      </c>
      <c r="I15" s="250">
        <f t="shared" si="1"/>
        <v>3.3641207815275309</v>
      </c>
      <c r="J15" s="251">
        <f t="shared" ref="J15:J26" si="9">I15/H15</f>
        <v>1.1435859748898407</v>
      </c>
      <c r="K15" s="251">
        <f t="shared" ref="K15:K26" si="10">(1/J15-1.0256)*100</f>
        <v>-15.115765639192292</v>
      </c>
      <c r="L15" s="251">
        <f t="shared" si="5"/>
        <v>1.0014034950740609</v>
      </c>
      <c r="M15" s="35"/>
    </row>
    <row r="16" spans="1:23" ht="18.75">
      <c r="A16" s="252" t="s">
        <v>6826</v>
      </c>
      <c r="B16" s="247" t="s">
        <v>4192</v>
      </c>
      <c r="C16" s="246">
        <v>1485.5</v>
      </c>
      <c r="D16" s="326">
        <v>3544.787012082938</v>
      </c>
      <c r="E16" s="249" t="s">
        <v>5223</v>
      </c>
      <c r="F16" s="248">
        <v>506.01222850310961</v>
      </c>
      <c r="G16" s="323">
        <f t="shared" si="7"/>
        <v>10277.526167837888</v>
      </c>
      <c r="H16" s="259">
        <f t="shared" si="8"/>
        <v>2.935699803924543</v>
      </c>
      <c r="I16" s="250">
        <f t="shared" si="1"/>
        <v>3.3641207815275309</v>
      </c>
      <c r="J16" s="251">
        <f t="shared" si="9"/>
        <v>1.145934872847101</v>
      </c>
      <c r="K16" s="251">
        <f t="shared" si="10"/>
        <v>-15.295005828430952</v>
      </c>
      <c r="L16" s="251">
        <f t="shared" si="5"/>
        <v>0.99795023433450059</v>
      </c>
      <c r="M16" s="35"/>
    </row>
    <row r="17" spans="1:16" ht="18.75">
      <c r="A17" s="252" t="s">
        <v>6835</v>
      </c>
      <c r="B17" s="247" t="s">
        <v>4192</v>
      </c>
      <c r="C17" s="246">
        <v>1400</v>
      </c>
      <c r="D17" s="326">
        <v>114009.14407603061</v>
      </c>
      <c r="E17" s="249" t="s">
        <v>5223</v>
      </c>
      <c r="F17" s="248">
        <v>473.97776203710504</v>
      </c>
      <c r="G17" s="323">
        <f t="shared" si="7"/>
        <v>332580.32735952159</v>
      </c>
      <c r="H17" s="259">
        <f t="shared" si="8"/>
        <v>2.9537250734780294</v>
      </c>
      <c r="I17" s="250">
        <f t="shared" si="1"/>
        <v>3.3641207815275309</v>
      </c>
      <c r="J17" s="251">
        <f t="shared" si="9"/>
        <v>1.1389417423220971</v>
      </c>
      <c r="K17" s="251">
        <f t="shared" si="10"/>
        <v>-14.759196601471469</v>
      </c>
      <c r="L17" s="251">
        <f t="shared" si="5"/>
        <v>1.0061400247836614</v>
      </c>
      <c r="M17" s="35"/>
    </row>
    <row r="18" spans="1:16" ht="18.75">
      <c r="A18" s="252" t="s">
        <v>6840</v>
      </c>
      <c r="B18" s="247" t="s">
        <v>4192</v>
      </c>
      <c r="C18" s="246">
        <v>1448</v>
      </c>
      <c r="D18" s="326">
        <v>17695.162154610232</v>
      </c>
      <c r="E18" s="249" t="s">
        <v>5223</v>
      </c>
      <c r="F18" s="248">
        <v>487.08100177239885</v>
      </c>
      <c r="G18" s="323">
        <f t="shared" si="7"/>
        <v>51952.771385351523</v>
      </c>
      <c r="H18" s="259">
        <f t="shared" si="8"/>
        <v>2.9728114928132947</v>
      </c>
      <c r="I18" s="250">
        <f t="shared" si="1"/>
        <v>3.3641207815275309</v>
      </c>
      <c r="J18" s="251">
        <f t="shared" si="9"/>
        <v>1.1316293648824414</v>
      </c>
      <c r="K18" s="251">
        <f t="shared" si="10"/>
        <v>-14.191844221019812</v>
      </c>
      <c r="L18" s="251">
        <f t="shared" si="5"/>
        <v>1.006461813087022</v>
      </c>
      <c r="M18" s="35"/>
    </row>
    <row r="19" spans="1:16" ht="18.75">
      <c r="A19" s="252" t="s">
        <v>6840</v>
      </c>
      <c r="B19" s="247" t="s">
        <v>4192</v>
      </c>
      <c r="C19" s="246">
        <v>1449</v>
      </c>
      <c r="D19" s="326">
        <v>17693.570415766731</v>
      </c>
      <c r="E19" s="249" t="s">
        <v>5223</v>
      </c>
      <c r="F19" s="248">
        <v>487.08100177239885</v>
      </c>
      <c r="G19" s="323">
        <f t="shared" si="7"/>
        <v>51983.973818648519</v>
      </c>
      <c r="H19" s="259">
        <f t="shared" si="8"/>
        <v>2.9748645394243534</v>
      </c>
      <c r="I19" s="250">
        <f t="shared" si="1"/>
        <v>3.3641207815275309</v>
      </c>
      <c r="J19" s="251">
        <f t="shared" si="9"/>
        <v>1.1308483922358696</v>
      </c>
      <c r="K19" s="251">
        <f t="shared" si="10"/>
        <v>-14.13081648912825</v>
      </c>
      <c r="L19" s="251">
        <f t="shared" si="5"/>
        <v>1.0006906077348066</v>
      </c>
      <c r="M19" s="35"/>
    </row>
    <row r="20" spans="1:16" ht="18.75">
      <c r="A20" s="252" t="s">
        <v>6840</v>
      </c>
      <c r="B20" s="247" t="s">
        <v>4192</v>
      </c>
      <c r="C20" s="246">
        <v>1450</v>
      </c>
      <c r="D20" s="326">
        <v>17691.978676923231</v>
      </c>
      <c r="E20" s="249" t="s">
        <v>5223</v>
      </c>
      <c r="F20" s="248">
        <v>487.08100177239885</v>
      </c>
      <c r="G20" s="323">
        <f t="shared" si="7"/>
        <v>52015.169797076684</v>
      </c>
      <c r="H20" s="259">
        <f t="shared" si="8"/>
        <v>2.9769175860354125</v>
      </c>
      <c r="I20" s="250">
        <f t="shared" si="1"/>
        <v>3.3641207815275309</v>
      </c>
      <c r="J20" s="251">
        <f t="shared" si="9"/>
        <v>1.1300684967929484</v>
      </c>
      <c r="K20" s="251">
        <f t="shared" si="10"/>
        <v>-14.06978875723669</v>
      </c>
      <c r="L20" s="251">
        <f t="shared" si="5"/>
        <v>1.0006901311249139</v>
      </c>
      <c r="M20" s="35"/>
    </row>
    <row r="21" spans="1:16" ht="18.75">
      <c r="A21" s="252" t="s">
        <v>6840</v>
      </c>
      <c r="B21" s="247" t="s">
        <v>4192</v>
      </c>
      <c r="C21" s="246">
        <v>1451</v>
      </c>
      <c r="D21" s="326">
        <v>17690.38693807973</v>
      </c>
      <c r="E21" s="249" t="s">
        <v>5223</v>
      </c>
      <c r="F21" s="248">
        <v>487.08100177239885</v>
      </c>
      <c r="G21" s="323">
        <f t="shared" si="7"/>
        <v>52046.359320636024</v>
      </c>
      <c r="H21" s="259">
        <f t="shared" si="8"/>
        <v>2.9789706326464711</v>
      </c>
      <c r="I21" s="250">
        <f t="shared" si="1"/>
        <v>3.3641207815275309</v>
      </c>
      <c r="J21" s="251">
        <f t="shared" si="9"/>
        <v>1.1292896763265163</v>
      </c>
      <c r="K21" s="251">
        <f t="shared" si="10"/>
        <v>-14.008761025345128</v>
      </c>
      <c r="L21" s="251">
        <f t="shared" si="5"/>
        <v>1.0006896551724138</v>
      </c>
      <c r="M21" s="35"/>
    </row>
    <row r="22" spans="1:16" ht="18.75">
      <c r="A22" s="252" t="s">
        <v>6840</v>
      </c>
      <c r="B22" s="247" t="s">
        <v>4192</v>
      </c>
      <c r="C22" s="246">
        <v>1452</v>
      </c>
      <c r="D22" s="326">
        <v>17688.795199236229</v>
      </c>
      <c r="E22" s="249" t="s">
        <v>5223</v>
      </c>
      <c r="F22" s="248">
        <v>487.08100177239885</v>
      </c>
      <c r="G22" s="323">
        <f t="shared" si="7"/>
        <v>52077.542389326547</v>
      </c>
      <c r="H22" s="259">
        <f t="shared" si="8"/>
        <v>2.9810236792575302</v>
      </c>
      <c r="I22" s="250">
        <f t="shared" si="1"/>
        <v>3.3641207815275309</v>
      </c>
      <c r="J22" s="251">
        <f t="shared" si="9"/>
        <v>1.1285119286155476</v>
      </c>
      <c r="K22" s="251">
        <f t="shared" si="10"/>
        <v>-13.947733293453568</v>
      </c>
      <c r="L22" s="251">
        <f t="shared" si="5"/>
        <v>1.0006891798759476</v>
      </c>
      <c r="M22" s="35"/>
      <c r="P22" s="215" t="s">
        <v>7064</v>
      </c>
    </row>
    <row r="23" spans="1:16" ht="18.75">
      <c r="A23" s="252" t="s">
        <v>6840</v>
      </c>
      <c r="B23" s="247" t="s">
        <v>4192</v>
      </c>
      <c r="C23" s="246">
        <v>1453</v>
      </c>
      <c r="D23" s="326">
        <v>17687.203460392728</v>
      </c>
      <c r="E23" s="249" t="s">
        <v>5223</v>
      </c>
      <c r="F23" s="248">
        <v>487.08100177239885</v>
      </c>
      <c r="G23" s="323">
        <f t="shared" si="7"/>
        <v>52108.719003148224</v>
      </c>
      <c r="H23" s="259">
        <f t="shared" si="8"/>
        <v>2.9830767258685893</v>
      </c>
      <c r="I23" s="250">
        <f t="shared" si="1"/>
        <v>3.3641207815275309</v>
      </c>
      <c r="J23" s="251">
        <f t="shared" si="9"/>
        <v>1.1277352514451306</v>
      </c>
      <c r="K23" s="251">
        <f t="shared" si="10"/>
        <v>-13.886705561561996</v>
      </c>
      <c r="L23" s="251">
        <f t="shared" si="5"/>
        <v>1.0006887052341598</v>
      </c>
      <c r="M23" s="35"/>
    </row>
    <row r="24" spans="1:16" ht="18.75">
      <c r="A24" s="252" t="s">
        <v>6840</v>
      </c>
      <c r="B24" s="247" t="s">
        <v>4192</v>
      </c>
      <c r="C24" s="246">
        <v>1466</v>
      </c>
      <c r="D24" s="326">
        <v>17678.736905145841</v>
      </c>
      <c r="E24" s="249" t="s">
        <v>5223</v>
      </c>
      <c r="F24" s="248">
        <v>489.6464483854391</v>
      </c>
      <c r="G24" s="323">
        <f t="shared" si="7"/>
        <v>52274.440820197124</v>
      </c>
      <c r="H24" s="259">
        <f t="shared" si="8"/>
        <v>2.9939970050512783</v>
      </c>
      <c r="I24" s="250">
        <f t="shared" si="1"/>
        <v>3.3641207815275309</v>
      </c>
      <c r="J24" s="251">
        <f t="shared" si="9"/>
        <v>1.1236219594915438</v>
      </c>
      <c r="K24" s="251">
        <f t="shared" si="10"/>
        <v>-13.5620953619921</v>
      </c>
      <c r="L24" s="251">
        <f t="shared" si="5"/>
        <v>1.0036607436503362</v>
      </c>
      <c r="M24" s="35"/>
    </row>
    <row r="25" spans="1:16" ht="18.75">
      <c r="A25" s="252" t="s">
        <v>6840</v>
      </c>
      <c r="B25" s="247" t="s">
        <v>4192</v>
      </c>
      <c r="C25" s="246">
        <v>1475</v>
      </c>
      <c r="D25" s="326">
        <v>17674.98772362075</v>
      </c>
      <c r="E25" s="249" t="s">
        <v>5223</v>
      </c>
      <c r="F25" s="248">
        <v>491.85804029323242</v>
      </c>
      <c r="G25" s="323">
        <f t="shared" si="7"/>
        <v>52347.767836186547</v>
      </c>
      <c r="H25" s="259">
        <f t="shared" si="8"/>
        <v>2.9988327508495032</v>
      </c>
      <c r="I25" s="250">
        <f t="shared" si="1"/>
        <v>3.3641207815275309</v>
      </c>
      <c r="J25" s="251">
        <f t="shared" si="9"/>
        <v>1.1218100711266907</v>
      </c>
      <c r="K25" s="251">
        <f t="shared" si="10"/>
        <v>-13.418350647926591</v>
      </c>
      <c r="L25" s="251">
        <f t="shared" si="5"/>
        <v>1.0016151471728483</v>
      </c>
      <c r="M25" s="35"/>
    </row>
    <row r="26" spans="1:16" ht="18.75">
      <c r="A26" s="252" t="s">
        <v>6840</v>
      </c>
      <c r="B26" s="247" t="s">
        <v>4192</v>
      </c>
      <c r="C26" s="246">
        <v>1476</v>
      </c>
      <c r="D26" s="326">
        <v>17673.411444111338</v>
      </c>
      <c r="E26" s="249" t="s">
        <v>5223</v>
      </c>
      <c r="F26" s="248">
        <v>491.85804029323242</v>
      </c>
      <c r="G26" s="323">
        <f t="shared" si="7"/>
        <v>52378.586237906435</v>
      </c>
      <c r="H26" s="259">
        <f t="shared" si="8"/>
        <v>3.0008658577992318</v>
      </c>
      <c r="I26" s="250">
        <f t="shared" si="1"/>
        <v>3.3641207815275309</v>
      </c>
      <c r="J26" s="251">
        <f t="shared" si="9"/>
        <v>1.1210500372031631</v>
      </c>
      <c r="K26" s="251">
        <f t="shared" si="10"/>
        <v>-13.357915631416706</v>
      </c>
      <c r="L26" s="251">
        <f t="shared" si="5"/>
        <v>1.0006779661016949</v>
      </c>
      <c r="M26" s="88"/>
      <c r="O26" s="215"/>
      <c r="P26" s="215"/>
    </row>
    <row r="27" spans="1:16" ht="18.75">
      <c r="A27" s="252" t="s">
        <v>6840</v>
      </c>
      <c r="B27" s="247" t="s">
        <v>4192</v>
      </c>
      <c r="C27" s="246">
        <v>1477</v>
      </c>
      <c r="D27" s="326">
        <v>1357</v>
      </c>
      <c r="E27" s="249" t="s">
        <v>5223</v>
      </c>
      <c r="F27" s="248">
        <v>491.6014956319284</v>
      </c>
      <c r="G27" s="323">
        <f t="shared" si="7"/>
        <v>4026.5579059824672</v>
      </c>
      <c r="H27" s="259">
        <f t="shared" ref="H27:H34" si="11">C27/F27</f>
        <v>3.004466042360983</v>
      </c>
      <c r="I27" s="250">
        <f t="shared" si="1"/>
        <v>3.3641207815275309</v>
      </c>
      <c r="J27" s="251">
        <f t="shared" ref="J27:J34" si="12">I27/H27</f>
        <v>1.1197067079792729</v>
      </c>
      <c r="K27" s="251">
        <f t="shared" ref="K27:K59" si="13">(1/J27-1.0256)*100</f>
        <v>-13.250898529607525</v>
      </c>
      <c r="L27" s="251">
        <f t="shared" si="5"/>
        <v>1.0011997152596457</v>
      </c>
      <c r="M27" s="88"/>
      <c r="O27" s="215"/>
      <c r="P27" s="215"/>
    </row>
    <row r="28" spans="1:16" ht="18.75">
      <c r="A28" s="252" t="s">
        <v>6861</v>
      </c>
      <c r="B28" s="247" t="s">
        <v>4192</v>
      </c>
      <c r="C28" s="246">
        <v>1392</v>
      </c>
      <c r="D28" s="326">
        <v>20000</v>
      </c>
      <c r="E28" s="249" t="s">
        <v>5223</v>
      </c>
      <c r="F28" s="248">
        <v>460</v>
      </c>
      <c r="G28" s="323">
        <f t="shared" si="7"/>
        <v>59772.056851272217</v>
      </c>
      <c r="H28" s="259">
        <f t="shared" si="11"/>
        <v>3.026086956521739</v>
      </c>
      <c r="I28" s="250">
        <f t="shared" si="1"/>
        <v>3.3641207815275309</v>
      </c>
      <c r="J28" s="251">
        <f t="shared" si="12"/>
        <v>1.1117065801024888</v>
      </c>
      <c r="K28" s="251">
        <f t="shared" si="13"/>
        <v>-12.608207153023287</v>
      </c>
      <c r="L28" s="251">
        <f t="shared" si="5"/>
        <v>1.0071962584552181</v>
      </c>
      <c r="M28" s="88"/>
      <c r="P28" s="215"/>
    </row>
    <row r="29" spans="1:16" ht="18.75">
      <c r="A29" s="252" t="s">
        <v>6861</v>
      </c>
      <c r="B29" s="247" t="s">
        <v>4192</v>
      </c>
      <c r="C29" s="246">
        <v>1394</v>
      </c>
      <c r="D29" s="326">
        <v>20000</v>
      </c>
      <c r="E29" s="249" t="s">
        <v>5223</v>
      </c>
      <c r="F29" s="248">
        <v>460</v>
      </c>
      <c r="G29" s="323">
        <f t="shared" si="7"/>
        <v>59857.936243299904</v>
      </c>
      <c r="H29" s="259">
        <f t="shared" si="11"/>
        <v>3.0304347826086957</v>
      </c>
      <c r="I29" s="250">
        <f t="shared" si="1"/>
        <v>3.3641207815275309</v>
      </c>
      <c r="J29" s="251">
        <f t="shared" si="12"/>
        <v>1.1101115921826858</v>
      </c>
      <c r="K29" s="251">
        <f t="shared" si="13"/>
        <v>-12.478966071346576</v>
      </c>
      <c r="L29" s="251">
        <f t="shared" si="5"/>
        <v>1.0014367816091954</v>
      </c>
      <c r="M29" s="88"/>
      <c r="P29" s="215"/>
    </row>
    <row r="30" spans="1:16" ht="18.75">
      <c r="A30" s="252" t="s">
        <v>6861</v>
      </c>
      <c r="B30" s="247" t="s">
        <v>4192</v>
      </c>
      <c r="C30" s="246">
        <v>1396</v>
      </c>
      <c r="D30" s="326">
        <v>5221.2060000000001</v>
      </c>
      <c r="E30" s="249" t="s">
        <v>5223</v>
      </c>
      <c r="F30" s="248">
        <v>460</v>
      </c>
      <c r="G30" s="323">
        <f t="shared" si="7"/>
        <v>15648.950492903312</v>
      </c>
      <c r="H30" s="259">
        <f t="shared" si="11"/>
        <v>3.034782608695652</v>
      </c>
      <c r="I30" s="250">
        <f t="shared" si="1"/>
        <v>3.3641207815275309</v>
      </c>
      <c r="J30" s="251">
        <f t="shared" si="12"/>
        <v>1.1085211744288426</v>
      </c>
      <c r="K30" s="251">
        <f t="shared" si="13"/>
        <v>-12.349724989669896</v>
      </c>
      <c r="L30" s="251">
        <f t="shared" si="5"/>
        <v>1.0014347202295553</v>
      </c>
      <c r="M30" s="88"/>
      <c r="O30" s="215"/>
      <c r="P30" s="215"/>
    </row>
    <row r="31" spans="1:16" ht="18.75">
      <c r="A31" s="252" t="s">
        <v>6863</v>
      </c>
      <c r="B31" s="247" t="s">
        <v>4192</v>
      </c>
      <c r="C31" s="246">
        <v>1414</v>
      </c>
      <c r="D31" s="326">
        <v>30000</v>
      </c>
      <c r="E31" s="249" t="s">
        <v>5223</v>
      </c>
      <c r="F31" s="248">
        <v>462</v>
      </c>
      <c r="G31" s="323">
        <f t="shared" si="7"/>
        <v>90680.830763783539</v>
      </c>
      <c r="H31" s="259">
        <f t="shared" si="11"/>
        <v>3.0606060606060606</v>
      </c>
      <c r="I31" s="250">
        <f t="shared" si="1"/>
        <v>3.3641207815275309</v>
      </c>
      <c r="J31" s="251">
        <f t="shared" si="12"/>
        <v>1.0991681761426586</v>
      </c>
      <c r="K31" s="251">
        <f t="shared" si="13"/>
        <v>-11.582111292438647</v>
      </c>
      <c r="L31" s="251">
        <f t="shared" si="5"/>
        <v>1.0085091603716245</v>
      </c>
      <c r="M31" s="88"/>
      <c r="P31" s="215"/>
    </row>
    <row r="32" spans="1:16" ht="18.75">
      <c r="A32" s="252" t="s">
        <v>6863</v>
      </c>
      <c r="B32" s="247" t="s">
        <v>4192</v>
      </c>
      <c r="C32" s="246">
        <v>1417</v>
      </c>
      <c r="D32" s="326">
        <v>10000</v>
      </c>
      <c r="E32" s="249" t="s">
        <v>5223</v>
      </c>
      <c r="F32" s="248">
        <v>462.9</v>
      </c>
      <c r="G32" s="323">
        <f t="shared" si="7"/>
        <v>30232.180444744477</v>
      </c>
      <c r="H32" s="259">
        <f t="shared" si="11"/>
        <v>3.0611363145387775</v>
      </c>
      <c r="I32" s="250">
        <f t="shared" si="1"/>
        <v>3.3641207815275309</v>
      </c>
      <c r="J32" s="251">
        <f t="shared" si="12"/>
        <v>1.0989777768306943</v>
      </c>
      <c r="K32" s="251">
        <f t="shared" si="13"/>
        <v>-11.566349256318276</v>
      </c>
      <c r="L32" s="251">
        <f t="shared" si="5"/>
        <v>1.0001732512849471</v>
      </c>
      <c r="M32" s="88"/>
    </row>
    <row r="33" spans="1:21" ht="18.75">
      <c r="A33" s="252" t="s">
        <v>6863</v>
      </c>
      <c r="B33" s="247" t="s">
        <v>4192</v>
      </c>
      <c r="C33" s="246">
        <v>1418</v>
      </c>
      <c r="D33" s="326">
        <v>10000</v>
      </c>
      <c r="E33" s="249" t="s">
        <v>5223</v>
      </c>
      <c r="F33" s="248">
        <v>462</v>
      </c>
      <c r="G33" s="323">
        <f t="shared" si="7"/>
        <v>30312.451207695674</v>
      </c>
      <c r="H33" s="259">
        <f t="shared" si="11"/>
        <v>3.0692640692640691</v>
      </c>
      <c r="I33" s="250">
        <f t="shared" ref="I33:I65" si="14">$O$58/$O$59</f>
        <v>3.3641207815275309</v>
      </c>
      <c r="J33" s="251">
        <f t="shared" si="12"/>
        <v>1.0960675606951475</v>
      </c>
      <c r="K33" s="251">
        <f t="shared" si="13"/>
        <v>-11.324748099489391</v>
      </c>
      <c r="L33" s="251">
        <f t="shared" si="5"/>
        <v>1.0026551430221153</v>
      </c>
      <c r="M33" s="88"/>
    </row>
    <row r="34" spans="1:21" ht="18.75">
      <c r="A34" s="252" t="s">
        <v>6863</v>
      </c>
      <c r="B34" s="247" t="s">
        <v>4192</v>
      </c>
      <c r="C34" s="246">
        <v>1419</v>
      </c>
      <c r="D34" s="326">
        <v>10000</v>
      </c>
      <c r="E34" s="249" t="s">
        <v>5223</v>
      </c>
      <c r="F34" s="248">
        <v>462</v>
      </c>
      <c r="G34" s="323">
        <f t="shared" si="7"/>
        <v>30333.828112637631</v>
      </c>
      <c r="H34" s="259">
        <f t="shared" si="11"/>
        <v>3.0714285714285716</v>
      </c>
      <c r="I34" s="250">
        <f t="shared" si="14"/>
        <v>3.3641207815275309</v>
      </c>
      <c r="J34" s="251">
        <f t="shared" si="12"/>
        <v>1.0952951381717542</v>
      </c>
      <c r="K34" s="251">
        <f t="shared" si="13"/>
        <v>-11.260407301252073</v>
      </c>
      <c r="L34" s="251">
        <f t="shared" si="5"/>
        <v>1.0007052186177716</v>
      </c>
      <c r="M34" s="88"/>
      <c r="O34" t="s">
        <v>25</v>
      </c>
      <c r="P34" t="s">
        <v>25</v>
      </c>
    </row>
    <row r="35" spans="1:21" ht="18.75">
      <c r="A35" s="252" t="s">
        <v>6863</v>
      </c>
      <c r="B35" s="247" t="s">
        <v>4192</v>
      </c>
      <c r="C35" s="246">
        <v>1420</v>
      </c>
      <c r="D35" s="326">
        <v>10000</v>
      </c>
      <c r="E35" s="249" t="s">
        <v>5223</v>
      </c>
      <c r="F35" s="248">
        <v>462</v>
      </c>
      <c r="G35" s="323">
        <f t="shared" ref="G35:G40" si="15">C35*D35*0.9912/(F35*1.003631981)</f>
        <v>30355.205017579588</v>
      </c>
      <c r="H35" s="259">
        <f t="shared" ref="H35:H40" si="16">C35/F35</f>
        <v>3.0735930735930737</v>
      </c>
      <c r="I35" s="250">
        <f t="shared" si="14"/>
        <v>3.3641207815275309</v>
      </c>
      <c r="J35" s="251">
        <f t="shared" ref="J35:J40" si="17">I35/H35</f>
        <v>1.0945238035674079</v>
      </c>
      <c r="K35" s="251">
        <f t="shared" si="13"/>
        <v>-11.196066503014757</v>
      </c>
      <c r="L35" s="251">
        <f t="shared" si="5"/>
        <v>1.0007047216349541</v>
      </c>
      <c r="M35" s="88"/>
    </row>
    <row r="36" spans="1:21" ht="18.75">
      <c r="A36" s="252" t="s">
        <v>6863</v>
      </c>
      <c r="B36" s="247" t="s">
        <v>4192</v>
      </c>
      <c r="C36" s="246">
        <v>1421</v>
      </c>
      <c r="D36" s="326">
        <v>8516</v>
      </c>
      <c r="E36" s="249" t="s">
        <v>5223</v>
      </c>
      <c r="F36" s="248">
        <v>462</v>
      </c>
      <c r="G36" s="323">
        <f t="shared" si="15"/>
        <v>25868.697165219346</v>
      </c>
      <c r="H36" s="259">
        <f t="shared" si="16"/>
        <v>3.0757575757575757</v>
      </c>
      <c r="I36" s="250">
        <f t="shared" si="14"/>
        <v>3.3641207815275309</v>
      </c>
      <c r="J36" s="251">
        <f t="shared" si="17"/>
        <v>1.0937535545853057</v>
      </c>
      <c r="K36" s="251">
        <f t="shared" si="13"/>
        <v>-11.131725704777452</v>
      </c>
      <c r="L36" s="251">
        <f t="shared" si="5"/>
        <v>1.0007042253521126</v>
      </c>
      <c r="M36" s="88"/>
    </row>
    <row r="37" spans="1:21" ht="18.75">
      <c r="A37" s="252" t="s">
        <v>6865</v>
      </c>
      <c r="B37" s="247" t="s">
        <v>4192</v>
      </c>
      <c r="C37" s="246">
        <v>1431</v>
      </c>
      <c r="D37" s="326">
        <v>10000</v>
      </c>
      <c r="E37" s="249" t="s">
        <v>5223</v>
      </c>
      <c r="F37" s="248">
        <v>461.5</v>
      </c>
      <c r="G37" s="323">
        <f t="shared" si="15"/>
        <v>30623.493280686453</v>
      </c>
      <c r="H37" s="259">
        <f t="shared" si="16"/>
        <v>3.1007583965330445</v>
      </c>
      <c r="I37" s="250">
        <f t="shared" si="14"/>
        <v>3.3641207815275309</v>
      </c>
      <c r="J37" s="251">
        <f t="shared" si="17"/>
        <v>1.0849348292627221</v>
      </c>
      <c r="K37" s="251">
        <f t="shared" si="13"/>
        <v>-10.388565087217305</v>
      </c>
      <c r="L37" s="251">
        <f t="shared" si="5"/>
        <v>1.0081283456708421</v>
      </c>
      <c r="M37" s="88"/>
      <c r="P37" t="s">
        <v>25</v>
      </c>
    </row>
    <row r="38" spans="1:21" ht="18.75">
      <c r="A38" s="252" t="s">
        <v>6865</v>
      </c>
      <c r="B38" s="247" t="s">
        <v>4192</v>
      </c>
      <c r="C38" s="246">
        <v>1432</v>
      </c>
      <c r="D38" s="326">
        <v>10000</v>
      </c>
      <c r="E38" s="249" t="s">
        <v>5223</v>
      </c>
      <c r="F38" s="248">
        <v>461.5</v>
      </c>
      <c r="G38" s="323">
        <f t="shared" si="15"/>
        <v>30644.893345872119</v>
      </c>
      <c r="H38" s="259">
        <f t="shared" si="16"/>
        <v>3.1029252437703141</v>
      </c>
      <c r="I38" s="250">
        <f t="shared" si="14"/>
        <v>3.3641207815275309</v>
      </c>
      <c r="J38" s="251">
        <f t="shared" si="17"/>
        <v>1.0841771932087678</v>
      </c>
      <c r="K38" s="251">
        <f t="shared" si="13"/>
        <v>-10.324154580639554</v>
      </c>
      <c r="L38" s="251">
        <f t="shared" si="5"/>
        <v>1.0006988120195666</v>
      </c>
      <c r="M38" s="88"/>
    </row>
    <row r="39" spans="1:21" ht="18.75">
      <c r="A39" s="252" t="s">
        <v>6865</v>
      </c>
      <c r="B39" s="247" t="s">
        <v>4192</v>
      </c>
      <c r="C39" s="246">
        <v>1433</v>
      </c>
      <c r="D39" s="326">
        <v>10000</v>
      </c>
      <c r="E39" s="249" t="s">
        <v>5223</v>
      </c>
      <c r="F39" s="248">
        <v>461</v>
      </c>
      <c r="G39" s="323">
        <f t="shared" si="15"/>
        <v>30699.554032978671</v>
      </c>
      <c r="H39" s="259">
        <f t="shared" si="16"/>
        <v>3.108459869848156</v>
      </c>
      <c r="I39" s="250">
        <f t="shared" si="14"/>
        <v>3.3641207815275309</v>
      </c>
      <c r="J39" s="251">
        <f>I39/H39</f>
        <v>1.0822468110845722</v>
      </c>
      <c r="K39" s="251">
        <f t="shared" si="13"/>
        <v>-10.159635336615015</v>
      </c>
      <c r="L39" s="251">
        <f t="shared" si="5"/>
        <v>1.0017836801221536</v>
      </c>
      <c r="M39" s="88"/>
      <c r="Q39" s="215"/>
    </row>
    <row r="40" spans="1:21" ht="18.75">
      <c r="A40" s="252" t="s">
        <v>6865</v>
      </c>
      <c r="B40" s="247" t="s">
        <v>4192</v>
      </c>
      <c r="C40" s="246">
        <v>1427</v>
      </c>
      <c r="D40" s="326">
        <v>7000</v>
      </c>
      <c r="E40" s="249" t="s">
        <v>5223</v>
      </c>
      <c r="F40" s="248">
        <v>459</v>
      </c>
      <c r="G40" s="323">
        <f t="shared" si="15"/>
        <v>21492.954989309022</v>
      </c>
      <c r="H40" s="259">
        <f t="shared" si="16"/>
        <v>3.1089324618736383</v>
      </c>
      <c r="I40" s="250">
        <f t="shared" si="14"/>
        <v>3.3641207815275309</v>
      </c>
      <c r="J40" s="251">
        <f t="shared" si="17"/>
        <v>1.0820822976321911</v>
      </c>
      <c r="K40" s="251">
        <f t="shared" si="13"/>
        <v>-10.145587326565032</v>
      </c>
      <c r="L40" s="251">
        <f t="shared" si="5"/>
        <v>1.0001520341407866</v>
      </c>
      <c r="M40" s="88"/>
    </row>
    <row r="41" spans="1:21" ht="18.75" customHeight="1">
      <c r="A41" s="252" t="s">
        <v>6865</v>
      </c>
      <c r="B41" s="247" t="s">
        <v>4192</v>
      </c>
      <c r="C41" s="246">
        <v>1434</v>
      </c>
      <c r="D41" s="326">
        <v>10000</v>
      </c>
      <c r="E41" s="249" t="s">
        <v>5223</v>
      </c>
      <c r="F41" s="248">
        <v>461.3</v>
      </c>
      <c r="G41" s="323">
        <f t="shared" ref="G41:G48" si="18">C41*D41*0.9912/(F41*1.003631981)</f>
        <v>30700.998350935079</v>
      </c>
      <c r="H41" s="259">
        <f t="shared" ref="H41:H53" si="19">C41/F41</f>
        <v>3.1086061131584652</v>
      </c>
      <c r="I41" s="250">
        <f t="shared" si="14"/>
        <v>3.3641207815275309</v>
      </c>
      <c r="J41" s="251">
        <f t="shared" ref="J41:J60" si="20">I41/H41</f>
        <v>1.0821958971538703</v>
      </c>
      <c r="K41" s="251">
        <f t="shared" si="13"/>
        <v>-10.155288188584166</v>
      </c>
      <c r="L41" s="251">
        <f t="shared" si="5"/>
        <v>0.99989502868937319</v>
      </c>
      <c r="M41" s="88"/>
    </row>
    <row r="42" spans="1:21" ht="21.75" customHeight="1">
      <c r="A42" s="252" t="s">
        <v>6865</v>
      </c>
      <c r="B42" s="247" t="s">
        <v>4192</v>
      </c>
      <c r="C42" s="246">
        <v>1435</v>
      </c>
      <c r="D42" s="326">
        <v>10000</v>
      </c>
      <c r="E42" s="249" t="s">
        <v>5223</v>
      </c>
      <c r="F42" s="248">
        <v>461.3</v>
      </c>
      <c r="G42" s="323">
        <f t="shared" si="18"/>
        <v>30722.407694276037</v>
      </c>
      <c r="H42" s="259">
        <f t="shared" si="19"/>
        <v>3.110773899848255</v>
      </c>
      <c r="I42" s="250">
        <f t="shared" si="14"/>
        <v>3.3641207815275309</v>
      </c>
      <c r="J42" s="251">
        <f t="shared" si="20"/>
        <v>1.0814417536715331</v>
      </c>
      <c r="K42" s="251">
        <f t="shared" si="13"/>
        <v>-10.090849756358633</v>
      </c>
      <c r="L42" s="251">
        <f t="shared" si="5"/>
        <v>1.0006973500697349</v>
      </c>
      <c r="M42" s="88"/>
    </row>
    <row r="43" spans="1:21" ht="18.75">
      <c r="A43" s="252" t="s">
        <v>6865</v>
      </c>
      <c r="B43" s="247" t="s">
        <v>4192</v>
      </c>
      <c r="C43" s="246">
        <v>1436</v>
      </c>
      <c r="D43" s="326">
        <v>10000</v>
      </c>
      <c r="E43" s="249" t="s">
        <v>5223</v>
      </c>
      <c r="F43" s="248">
        <v>461.23</v>
      </c>
      <c r="G43" s="323">
        <f t="shared" si="18"/>
        <v>30748.482968264681</v>
      </c>
      <c r="H43" s="259">
        <f t="shared" si="19"/>
        <v>3.1134141317780717</v>
      </c>
      <c r="I43" s="250">
        <f t="shared" si="14"/>
        <v>3.3641207815275309</v>
      </c>
      <c r="J43" s="251">
        <f t="shared" si="20"/>
        <v>1.0805246713537209</v>
      </c>
      <c r="K43" s="251">
        <f t="shared" si="13"/>
        <v>-10.012367677346667</v>
      </c>
      <c r="L43" s="251">
        <f t="shared" si="5"/>
        <v>1.0008487379715849</v>
      </c>
      <c r="M43" s="88"/>
    </row>
    <row r="44" spans="1:21" ht="18.75" customHeight="1">
      <c r="A44" s="252" t="s">
        <v>6865</v>
      </c>
      <c r="B44" s="247" t="s">
        <v>4192</v>
      </c>
      <c r="C44" s="246">
        <v>1437</v>
      </c>
      <c r="D44" s="326">
        <v>10000</v>
      </c>
      <c r="E44" s="249" t="s">
        <v>5223</v>
      </c>
      <c r="F44" s="248">
        <v>461.2</v>
      </c>
      <c r="G44" s="323">
        <f t="shared" si="18"/>
        <v>30771.89707184715</v>
      </c>
      <c r="H44" s="259">
        <f t="shared" si="19"/>
        <v>3.1157849089332177</v>
      </c>
      <c r="I44" s="250">
        <f t="shared" si="14"/>
        <v>3.3641207815275309</v>
      </c>
      <c r="J44" s="251">
        <f t="shared" si="20"/>
        <v>1.079702508309323</v>
      </c>
      <c r="K44" s="251">
        <f t="shared" si="13"/>
        <v>-9.9418952624391927</v>
      </c>
      <c r="L44" s="251">
        <f t="shared" si="5"/>
        <v>1.0007614718295739</v>
      </c>
      <c r="M44" s="88"/>
      <c r="U44" t="s">
        <v>25</v>
      </c>
    </row>
    <row r="45" spans="1:21" ht="20.25" customHeight="1">
      <c r="A45" s="252" t="s">
        <v>6865</v>
      </c>
      <c r="B45" s="247" t="s">
        <v>4192</v>
      </c>
      <c r="C45" s="246">
        <v>1438</v>
      </c>
      <c r="D45" s="326">
        <v>10000</v>
      </c>
      <c r="E45" s="249" t="s">
        <v>5223</v>
      </c>
      <c r="F45" s="248">
        <v>461.2</v>
      </c>
      <c r="G45" s="323">
        <f t="shared" si="18"/>
        <v>30793.311057283368</v>
      </c>
      <c r="H45" s="259">
        <f t="shared" si="19"/>
        <v>3.1179531656548134</v>
      </c>
      <c r="I45" s="250">
        <f t="shared" si="14"/>
        <v>3.3641207815275309</v>
      </c>
      <c r="J45" s="251">
        <f t="shared" si="20"/>
        <v>1.0789516720726686</v>
      </c>
      <c r="K45" s="251">
        <f t="shared" si="13"/>
        <v>-9.8774428583073064</v>
      </c>
      <c r="L45" s="251">
        <f t="shared" si="5"/>
        <v>1.000695894224078</v>
      </c>
      <c r="M45" s="88"/>
    </row>
    <row r="46" spans="1:21" ht="18.75">
      <c r="A46" s="252" t="s">
        <v>6868</v>
      </c>
      <c r="B46" s="247" t="s">
        <v>4192</v>
      </c>
      <c r="C46" s="246">
        <v>1398</v>
      </c>
      <c r="D46" s="326">
        <v>10000</v>
      </c>
      <c r="E46" s="249" t="s">
        <v>5223</v>
      </c>
      <c r="F46" s="248">
        <v>448</v>
      </c>
      <c r="G46" s="323">
        <f t="shared" si="18"/>
        <v>30818.816643508289</v>
      </c>
      <c r="H46" s="259">
        <f t="shared" si="19"/>
        <v>3.1205357142857144</v>
      </c>
      <c r="I46" s="250">
        <f t="shared" si="14"/>
        <v>3.3641207815275309</v>
      </c>
      <c r="J46" s="251">
        <f t="shared" si="20"/>
        <v>1.0780587339945162</v>
      </c>
      <c r="K46" s="251">
        <f t="shared" si="13"/>
        <v>-9.8006754412430119</v>
      </c>
      <c r="L46" s="251">
        <f t="shared" si="5"/>
        <v>1.0008282833300219</v>
      </c>
      <c r="M46" s="88"/>
    </row>
    <row r="47" spans="1:21" ht="18.75">
      <c r="A47" s="252" t="s">
        <v>6868</v>
      </c>
      <c r="B47" s="247" t="s">
        <v>4192</v>
      </c>
      <c r="C47" s="246">
        <v>1398</v>
      </c>
      <c r="D47" s="326">
        <v>15400</v>
      </c>
      <c r="E47" s="249" t="s">
        <v>5223</v>
      </c>
      <c r="F47" s="248">
        <v>443.62</v>
      </c>
      <c r="G47" s="323">
        <f t="shared" si="18"/>
        <v>47929.57481332952</v>
      </c>
      <c r="H47" s="259">
        <f t="shared" si="19"/>
        <v>3.1513457463594969</v>
      </c>
      <c r="I47" s="250">
        <f t="shared" si="14"/>
        <v>3.3641207815275309</v>
      </c>
      <c r="J47" s="251">
        <f t="shared" si="20"/>
        <v>1.0675187847648377</v>
      </c>
      <c r="K47" s="251">
        <f t="shared" si="13"/>
        <v>-8.8848334107499038</v>
      </c>
      <c r="L47" s="251">
        <f t="shared" si="5"/>
        <v>1.0098733149993238</v>
      </c>
      <c r="M47" s="88"/>
    </row>
    <row r="48" spans="1:21" ht="18.75">
      <c r="A48" s="252" t="s">
        <v>6870</v>
      </c>
      <c r="B48" s="247" t="s">
        <v>4192</v>
      </c>
      <c r="C48" s="246">
        <v>1398</v>
      </c>
      <c r="D48" s="326">
        <v>12000</v>
      </c>
      <c r="E48" s="249" t="s">
        <v>5223</v>
      </c>
      <c r="F48" s="248">
        <v>439</v>
      </c>
      <c r="G48" s="323">
        <f t="shared" si="18"/>
        <v>37740.764983029738</v>
      </c>
      <c r="H48" s="259">
        <f t="shared" si="19"/>
        <v>3.1845102505694762</v>
      </c>
      <c r="I48" s="250">
        <f t="shared" si="14"/>
        <v>3.3641207815275309</v>
      </c>
      <c r="J48" s="251">
        <f t="shared" si="20"/>
        <v>1.0564013040705194</v>
      </c>
      <c r="K48" s="251">
        <f t="shared" si="13"/>
        <v>-7.8990036393550733</v>
      </c>
      <c r="L48" s="251">
        <f t="shared" si="5"/>
        <v>1.0105239179954442</v>
      </c>
      <c r="M48" s="88"/>
    </row>
    <row r="49" spans="1:21" ht="18.75">
      <c r="A49" s="252" t="s">
        <v>6872</v>
      </c>
      <c r="B49" s="247" t="s">
        <v>4192</v>
      </c>
      <c r="C49" s="246">
        <v>1410</v>
      </c>
      <c r="D49" s="326">
        <v>30000</v>
      </c>
      <c r="E49" s="249" t="s">
        <v>5223</v>
      </c>
      <c r="F49" s="248">
        <v>441.358</v>
      </c>
      <c r="G49" s="323">
        <f>C49*D49*0.9912/(F49*1.003631981)</f>
        <v>94653.388523307105</v>
      </c>
      <c r="H49" s="259">
        <f t="shared" si="19"/>
        <v>3.1946854934089788</v>
      </c>
      <c r="I49" s="250">
        <f t="shared" si="14"/>
        <v>3.3641207815275309</v>
      </c>
      <c r="J49" s="251">
        <f t="shared" si="20"/>
        <v>1.0530366098534949</v>
      </c>
      <c r="K49" s="251">
        <f t="shared" si="13"/>
        <v>-7.5965399794479804</v>
      </c>
      <c r="L49" s="251">
        <f t="shared" si="5"/>
        <v>1.0031952300475977</v>
      </c>
      <c r="M49" s="88"/>
    </row>
    <row r="50" spans="1:21" ht="25.5" customHeight="1">
      <c r="A50" s="252" t="s">
        <v>6880</v>
      </c>
      <c r="B50" s="247" t="s">
        <v>4192</v>
      </c>
      <c r="C50" s="246">
        <v>1406.5</v>
      </c>
      <c r="D50" s="326">
        <v>1117</v>
      </c>
      <c r="E50" s="249" t="s">
        <v>5223</v>
      </c>
      <c r="F50" s="248">
        <v>434.4</v>
      </c>
      <c r="G50" s="323">
        <f>C50*D50*0.9912/(F50*1.003631981)</f>
        <v>3571.8227132948068</v>
      </c>
      <c r="H50" s="259">
        <f t="shared" si="19"/>
        <v>3.2377992633517496</v>
      </c>
      <c r="I50" s="250">
        <f t="shared" si="14"/>
        <v>3.3641207815275309</v>
      </c>
      <c r="J50" s="251">
        <f t="shared" si="20"/>
        <v>1.0390146231749444</v>
      </c>
      <c r="K50" s="251">
        <f t="shared" si="13"/>
        <v>-6.314963819058339</v>
      </c>
      <c r="L50" s="251">
        <f t="shared" si="5"/>
        <v>1.0134954661520577</v>
      </c>
      <c r="M50" s="88"/>
    </row>
    <row r="51" spans="1:21" ht="18.75">
      <c r="A51" s="252" t="s">
        <v>6875</v>
      </c>
      <c r="B51" s="247" t="s">
        <v>4192</v>
      </c>
      <c r="C51" s="246">
        <v>1396</v>
      </c>
      <c r="D51" s="326">
        <v>7000</v>
      </c>
      <c r="E51" s="249" t="s">
        <v>5223</v>
      </c>
      <c r="F51" s="248">
        <v>430.1</v>
      </c>
      <c r="G51" s="323">
        <f>C51*D51*0.9912/(F51*1.003631981)</f>
        <v>22438.861467769686</v>
      </c>
      <c r="H51" s="259">
        <f t="shared" si="19"/>
        <v>3.245756800744013</v>
      </c>
      <c r="I51" s="250">
        <f t="shared" si="14"/>
        <v>3.3641207815275309</v>
      </c>
      <c r="J51" s="251">
        <f t="shared" si="20"/>
        <v>1.0364672980909677</v>
      </c>
      <c r="K51" s="251">
        <f t="shared" si="13"/>
        <v>-6.0784224488448002</v>
      </c>
      <c r="L51" s="251">
        <f t="shared" si="5"/>
        <v>1.002457699426377</v>
      </c>
      <c r="M51" s="88"/>
      <c r="N51" t="s">
        <v>25</v>
      </c>
      <c r="O51" t="s">
        <v>25</v>
      </c>
    </row>
    <row r="52" spans="1:21" ht="36.75" customHeight="1">
      <c r="A52" s="252" t="s">
        <v>6876</v>
      </c>
      <c r="B52" s="247" t="s">
        <v>4192</v>
      </c>
      <c r="C52" s="246">
        <v>1398</v>
      </c>
      <c r="D52" s="326">
        <v>50000</v>
      </c>
      <c r="E52" s="249" t="s">
        <v>5223</v>
      </c>
      <c r="F52" s="248">
        <v>430.74200000000002</v>
      </c>
      <c r="G52" s="323">
        <f>C52*D52*0.9912/(F52*1.003631981)</f>
        <v>160267.97777198083</v>
      </c>
      <c r="H52" s="259">
        <f t="shared" si="19"/>
        <v>3.2455623087602321</v>
      </c>
      <c r="I52" s="250">
        <f t="shared" si="14"/>
        <v>3.3641207815275309</v>
      </c>
      <c r="J52" s="251">
        <f t="shared" si="20"/>
        <v>1.0365294089247008</v>
      </c>
      <c r="K52" s="251">
        <f t="shared" si="13"/>
        <v>-6.0842038103478995</v>
      </c>
      <c r="L52" s="251">
        <f t="shared" si="5"/>
        <v>0.99994007807863605</v>
      </c>
      <c r="M52" s="35"/>
      <c r="O52" t="s">
        <v>25</v>
      </c>
      <c r="U52" t="s">
        <v>25</v>
      </c>
    </row>
    <row r="53" spans="1:21" ht="25.5" customHeight="1">
      <c r="A53" s="252" t="s">
        <v>6880</v>
      </c>
      <c r="B53" s="247" t="s">
        <v>4192</v>
      </c>
      <c r="C53" s="246">
        <v>1406.5</v>
      </c>
      <c r="D53" s="326">
        <v>20870</v>
      </c>
      <c r="E53" s="249" t="s">
        <v>5223</v>
      </c>
      <c r="F53" s="248">
        <v>430.1</v>
      </c>
      <c r="G53" s="323">
        <f>C53*D53*0.9912/(F53*1.003631981)</f>
        <v>67403.049336646029</v>
      </c>
      <c r="H53" s="259">
        <f t="shared" si="19"/>
        <v>3.2701697279702393</v>
      </c>
      <c r="I53" s="250">
        <f t="shared" si="14"/>
        <v>3.3641207815275309</v>
      </c>
      <c r="J53" s="251">
        <f t="shared" si="20"/>
        <v>1.0287297178350452</v>
      </c>
      <c r="K53" s="251">
        <f t="shared" si="13"/>
        <v>-5.3527372308740828</v>
      </c>
      <c r="L53" s="251">
        <f t="shared" si="5"/>
        <v>1.0075818662127016</v>
      </c>
      <c r="M53" s="35"/>
      <c r="N53" s="401">
        <v>37134</v>
      </c>
      <c r="O53" s="401">
        <v>128862</v>
      </c>
    </row>
    <row r="54" spans="1:21" ht="18.75">
      <c r="A54" s="252" t="s">
        <v>6884</v>
      </c>
      <c r="B54" s="247" t="s">
        <v>4192</v>
      </c>
      <c r="C54" s="246">
        <v>1406.5</v>
      </c>
      <c r="D54" s="326">
        <v>17704</v>
      </c>
      <c r="E54" s="249" t="s">
        <v>5223</v>
      </c>
      <c r="F54" s="248">
        <v>428.87</v>
      </c>
      <c r="G54" s="323">
        <f t="shared" ref="G54:G65" si="21">C54*D54*0.9912/(F54*1.003631981)</f>
        <v>57341.925370211582</v>
      </c>
      <c r="H54" s="259">
        <f t="shared" ref="H54:H65" si="22">C54/F54</f>
        <v>3.2795485811551286</v>
      </c>
      <c r="I54" s="250">
        <f t="shared" si="14"/>
        <v>3.3641207815275309</v>
      </c>
      <c r="J54" s="251">
        <f t="shared" si="20"/>
        <v>1.0257877565401436</v>
      </c>
      <c r="K54" s="251">
        <f t="shared" si="13"/>
        <v>-5.0739466108586262</v>
      </c>
      <c r="L54" s="251">
        <f t="shared" si="5"/>
        <v>1.0028680019586356</v>
      </c>
      <c r="M54" s="35"/>
      <c r="N54" s="401">
        <f>N53*O54/O53</f>
        <v>11526.749546025982</v>
      </c>
      <c r="O54" s="401">
        <v>40000</v>
      </c>
      <c r="P54">
        <v>82045</v>
      </c>
      <c r="Q54">
        <f>P54*O53/N53</f>
        <v>284711.66020358703</v>
      </c>
    </row>
    <row r="55" spans="1:21" ht="18.75">
      <c r="A55" s="252" t="s">
        <v>6878</v>
      </c>
      <c r="B55" s="247" t="s">
        <v>4192</v>
      </c>
      <c r="C55" s="246">
        <v>1405</v>
      </c>
      <c r="D55" s="326">
        <v>309</v>
      </c>
      <c r="E55" s="249" t="s">
        <v>5223</v>
      </c>
      <c r="F55" s="248">
        <v>428.2</v>
      </c>
      <c r="G55" s="323">
        <f t="shared" si="21"/>
        <v>1001.3247302578393</v>
      </c>
      <c r="H55" s="259">
        <f t="shared" si="22"/>
        <v>3.2811770200840731</v>
      </c>
      <c r="I55" s="250">
        <f t="shared" si="14"/>
        <v>3.3641207815275309</v>
      </c>
      <c r="J55" s="251">
        <f t="shared" si="20"/>
        <v>1.0252786609609172</v>
      </c>
      <c r="K55" s="251">
        <f t="shared" si="13"/>
        <v>-5.0255405328757607</v>
      </c>
      <c r="L55" s="251">
        <f t="shared" si="5"/>
        <v>1.0004965436213697</v>
      </c>
      <c r="M55" s="88"/>
      <c r="N55" s="401">
        <f>N53-N54</f>
        <v>25607.250453974018</v>
      </c>
      <c r="O55" s="401">
        <f>O53-O54</f>
        <v>88862</v>
      </c>
      <c r="P55" t="s">
        <v>25</v>
      </c>
    </row>
    <row r="56" spans="1:21" ht="21" customHeight="1">
      <c r="A56" s="252" t="s">
        <v>6880</v>
      </c>
      <c r="B56" s="247" t="s">
        <v>4192</v>
      </c>
      <c r="C56" s="246">
        <v>1426</v>
      </c>
      <c r="D56" s="326">
        <v>7841</v>
      </c>
      <c r="E56" s="249" t="s">
        <v>5223</v>
      </c>
      <c r="F56" s="248">
        <v>430</v>
      </c>
      <c r="G56" s="323">
        <f t="shared" si="21"/>
        <v>25680.845932717737</v>
      </c>
      <c r="H56" s="259">
        <f t="shared" si="22"/>
        <v>3.3162790697674418</v>
      </c>
      <c r="I56" s="250">
        <f t="shared" si="14"/>
        <v>3.3641207815275309</v>
      </c>
      <c r="J56" s="251">
        <f t="shared" si="20"/>
        <v>1.0144263226205037</v>
      </c>
      <c r="K56" s="251">
        <f t="shared" si="13"/>
        <v>-3.9821163527418268</v>
      </c>
      <c r="L56" s="251">
        <f t="shared" si="5"/>
        <v>1.0106980054622197</v>
      </c>
      <c r="P56" t="s">
        <v>25</v>
      </c>
      <c r="S56">
        <v>110000</v>
      </c>
      <c r="T56">
        <v>27842</v>
      </c>
    </row>
    <row r="57" spans="1:21" ht="19.5" customHeight="1">
      <c r="A57" s="252" t="s">
        <v>6880</v>
      </c>
      <c r="B57" s="247" t="s">
        <v>4192</v>
      </c>
      <c r="C57" s="246">
        <v>1459.5</v>
      </c>
      <c r="D57" s="326">
        <v>23718</v>
      </c>
      <c r="E57" s="249" t="s">
        <v>5223</v>
      </c>
      <c r="F57" s="248">
        <v>440</v>
      </c>
      <c r="G57" s="323">
        <f t="shared" si="21"/>
        <v>77699.153820516891</v>
      </c>
      <c r="H57" s="259">
        <f t="shared" si="22"/>
        <v>3.3170454545454544</v>
      </c>
      <c r="I57" s="250">
        <f t="shared" si="14"/>
        <v>3.3641207815275309</v>
      </c>
      <c r="J57" s="251">
        <f t="shared" si="20"/>
        <v>1.0141919450990844</v>
      </c>
      <c r="K57" s="251">
        <f t="shared" si="13"/>
        <v>-3.9593352212729305</v>
      </c>
      <c r="L57" s="251">
        <f t="shared" si="5"/>
        <v>1.0002310977942113</v>
      </c>
      <c r="N57" s="253" t="s">
        <v>5753</v>
      </c>
      <c r="O57" s="341">
        <v>3790</v>
      </c>
      <c r="S57">
        <v>40000</v>
      </c>
      <c r="T57">
        <v>11527</v>
      </c>
    </row>
    <row r="58" spans="1:21" ht="20.25" customHeight="1">
      <c r="A58" s="252" t="s">
        <v>6884</v>
      </c>
      <c r="B58" s="247" t="s">
        <v>4192</v>
      </c>
      <c r="C58" s="246">
        <v>1432</v>
      </c>
      <c r="D58" s="326">
        <v>18604</v>
      </c>
      <c r="E58" s="249" t="s">
        <v>5223</v>
      </c>
      <c r="F58" s="248">
        <v>430.5</v>
      </c>
      <c r="G58" s="323">
        <f t="shared" si="21"/>
        <v>61117.135996457175</v>
      </c>
      <c r="H58" s="259">
        <f t="shared" si="22"/>
        <v>3.326364692218351</v>
      </c>
      <c r="I58" s="250">
        <f t="shared" si="14"/>
        <v>3.3641207815275309</v>
      </c>
      <c r="J58" s="251">
        <f t="shared" si="20"/>
        <v>1.011350556178493</v>
      </c>
      <c r="K58" s="251">
        <f t="shared" si="13"/>
        <v>-3.6823166991060474</v>
      </c>
      <c r="L58" s="251">
        <f t="shared" si="5"/>
        <v>1.002809499538249</v>
      </c>
      <c r="N58" s="253" t="s">
        <v>4192</v>
      </c>
      <c r="O58" s="327">
        <v>1894</v>
      </c>
      <c r="T58">
        <v>40431</v>
      </c>
    </row>
    <row r="59" spans="1:21" ht="21">
      <c r="A59" s="252" t="s">
        <v>6880</v>
      </c>
      <c r="B59" s="247" t="s">
        <v>4192</v>
      </c>
      <c r="C59" s="246">
        <v>1432</v>
      </c>
      <c r="D59" s="326">
        <v>2280</v>
      </c>
      <c r="E59" s="249" t="s">
        <v>5223</v>
      </c>
      <c r="F59" s="248">
        <v>430</v>
      </c>
      <c r="G59" s="323">
        <f t="shared" si="21"/>
        <v>7498.8766689287349</v>
      </c>
      <c r="H59" s="259">
        <f t="shared" si="22"/>
        <v>3.3302325581395347</v>
      </c>
      <c r="I59" s="250">
        <f t="shared" si="14"/>
        <v>3.3641207815275309</v>
      </c>
      <c r="J59" s="251">
        <f t="shared" si="20"/>
        <v>1.0101759330005855</v>
      </c>
      <c r="K59" s="251">
        <f t="shared" si="13"/>
        <v>-3.5673426487561777</v>
      </c>
      <c r="L59" s="251">
        <f t="shared" si="5"/>
        <v>1.0011627906976743</v>
      </c>
      <c r="N59" s="253" t="s">
        <v>5223</v>
      </c>
      <c r="O59" s="328">
        <v>563</v>
      </c>
      <c r="P59" t="s">
        <v>25</v>
      </c>
      <c r="T59">
        <f>T58-T56-T57</f>
        <v>1062</v>
      </c>
    </row>
    <row r="60" spans="1:21" ht="21">
      <c r="A60" s="252" t="s">
        <v>6886</v>
      </c>
      <c r="B60" s="247" t="s">
        <v>4192</v>
      </c>
      <c r="C60" s="246">
        <v>1396</v>
      </c>
      <c r="D60" s="326">
        <v>118210</v>
      </c>
      <c r="E60" s="249" t="s">
        <v>5223</v>
      </c>
      <c r="F60" s="248">
        <v>418.74299999999999</v>
      </c>
      <c r="G60" s="323">
        <f t="shared" si="21"/>
        <v>389205.4177951577</v>
      </c>
      <c r="H60" s="259">
        <f t="shared" si="22"/>
        <v>3.3337870722615066</v>
      </c>
      <c r="I60" s="250">
        <f t="shared" si="14"/>
        <v>3.3641207815275309</v>
      </c>
      <c r="J60" s="251">
        <f t="shared" si="20"/>
        <v>1.0090988742257756</v>
      </c>
      <c r="K60" s="251">
        <f>(1/J60-1.0256)*100</f>
        <v>-3.4616831212656685</v>
      </c>
      <c r="L60" s="251">
        <f t="shared" si="5"/>
        <v>1.0010673471176312</v>
      </c>
      <c r="N60" s="253" t="s">
        <v>6925</v>
      </c>
      <c r="O60" s="342">
        <v>1300</v>
      </c>
      <c r="P60" t="s">
        <v>6998</v>
      </c>
      <c r="S60" s="407"/>
    </row>
    <row r="61" spans="1:21" ht="21">
      <c r="A61" s="252" t="s">
        <v>6946</v>
      </c>
      <c r="B61" s="247" t="s">
        <v>4192</v>
      </c>
      <c r="C61" s="246">
        <v>1339.8</v>
      </c>
      <c r="D61" s="326">
        <v>154247</v>
      </c>
      <c r="E61" s="249" t="s">
        <v>5223</v>
      </c>
      <c r="F61" s="248">
        <v>400.65</v>
      </c>
      <c r="G61" s="323">
        <f t="shared" si="21"/>
        <v>509422.77120016614</v>
      </c>
      <c r="H61" s="259">
        <f t="shared" si="22"/>
        <v>3.3440658929239984</v>
      </c>
      <c r="I61" s="250">
        <f t="shared" si="14"/>
        <v>3.3641207815275309</v>
      </c>
      <c r="J61" s="251">
        <f>I61/H61</f>
        <v>1.0059971571271871</v>
      </c>
      <c r="K61" s="251">
        <f t="shared" ref="K61:K62" si="23">(1/J61-1.0256)*100</f>
        <v>-3.1561405640859963</v>
      </c>
      <c r="L61" s="251">
        <f t="shared" si="5"/>
        <v>1.0030832265047807</v>
      </c>
      <c r="N61" s="253" t="s">
        <v>4617</v>
      </c>
      <c r="O61" s="343">
        <v>494</v>
      </c>
    </row>
    <row r="62" spans="1:21" ht="24" customHeight="1">
      <c r="A62" s="252" t="s">
        <v>6949</v>
      </c>
      <c r="B62" s="247" t="s">
        <v>4192</v>
      </c>
      <c r="C62" s="246">
        <v>1340</v>
      </c>
      <c r="D62" s="326">
        <v>49049</v>
      </c>
      <c r="E62" s="249" t="s">
        <v>5223</v>
      </c>
      <c r="F62" s="248">
        <v>400.94</v>
      </c>
      <c r="G62" s="323">
        <f t="shared" si="21"/>
        <v>161898.33091314064</v>
      </c>
      <c r="H62" s="259">
        <f t="shared" si="22"/>
        <v>3.3421459570010477</v>
      </c>
      <c r="I62" s="250">
        <f t="shared" si="14"/>
        <v>3.3641207815275309</v>
      </c>
      <c r="J62" s="251">
        <f>I62/H62</f>
        <v>1.0065750642877971</v>
      </c>
      <c r="K62" s="251">
        <f t="shared" si="23"/>
        <v>-3.2132115210353751</v>
      </c>
      <c r="L62" s="251">
        <f t="shared" si="5"/>
        <v>0.99942586779554399</v>
      </c>
      <c r="N62" s="253" t="s">
        <v>5708</v>
      </c>
      <c r="O62" s="342">
        <v>1400</v>
      </c>
      <c r="P62">
        <f>O62*(1+20/81.5)+215-2000/81.5</f>
        <v>1934.0184049079755</v>
      </c>
      <c r="Q62" t="s">
        <v>7057</v>
      </c>
      <c r="R62" t="s">
        <v>7058</v>
      </c>
    </row>
    <row r="63" spans="1:21" ht="21">
      <c r="A63" s="252" t="s">
        <v>6980</v>
      </c>
      <c r="B63" s="247" t="s">
        <v>4192</v>
      </c>
      <c r="C63" s="246">
        <v>1429</v>
      </c>
      <c r="D63" s="326">
        <v>300000</v>
      </c>
      <c r="E63" s="249" t="s">
        <v>5223</v>
      </c>
      <c r="F63" s="248">
        <v>414.77749999999997</v>
      </c>
      <c r="G63" s="323">
        <f t="shared" si="21"/>
        <v>1020763.4133146395</v>
      </c>
      <c r="H63" s="259">
        <f>C63/F63</f>
        <v>3.4452206303379524</v>
      </c>
      <c r="I63" s="250">
        <f t="shared" si="14"/>
        <v>3.3641207815275309</v>
      </c>
      <c r="J63" s="251">
        <f t="shared" ref="J63:J64" si="24">I63/H63</f>
        <v>0.97646018716587502</v>
      </c>
      <c r="K63" s="251">
        <f t="shared" ref="K63:K64" si="25">(1/J63-1.0256)*100</f>
        <v>-0.14927059766276507</v>
      </c>
      <c r="L63" s="251">
        <f>H63/H62</f>
        <v>1.0308408653191781</v>
      </c>
      <c r="N63" s="253" t="s">
        <v>7048</v>
      </c>
      <c r="O63" s="344">
        <v>14100</v>
      </c>
      <c r="Q63">
        <v>13678.8</v>
      </c>
      <c r="R63">
        <v>13776</v>
      </c>
    </row>
    <row r="64" spans="1:21" ht="21">
      <c r="A64" s="252" t="s">
        <v>7028</v>
      </c>
      <c r="B64" s="247" t="s">
        <v>4192</v>
      </c>
      <c r="C64" s="246">
        <v>1860.47</v>
      </c>
      <c r="D64" s="326">
        <v>81381</v>
      </c>
      <c r="E64" s="249" t="s">
        <v>5223</v>
      </c>
      <c r="F64" s="248">
        <v>529.66999999999996</v>
      </c>
      <c r="G64" s="323">
        <f t="shared" si="21"/>
        <v>282310.55741653929</v>
      </c>
      <c r="H64" s="259">
        <f t="shared" si="22"/>
        <v>3.5125077878679183</v>
      </c>
      <c r="I64" s="250">
        <f t="shared" si="14"/>
        <v>3.3641207815275309</v>
      </c>
      <c r="J64" s="251">
        <f t="shared" si="24"/>
        <v>0.9577546826079899</v>
      </c>
      <c r="K64" s="251">
        <f t="shared" si="25"/>
        <v>1.8508703574254604</v>
      </c>
      <c r="L64" s="251">
        <f t="shared" si="5"/>
        <v>1.0195305801136356</v>
      </c>
      <c r="N64" s="253" t="s">
        <v>7056</v>
      </c>
      <c r="O64" s="426">
        <v>8400</v>
      </c>
      <c r="Q64">
        <v>8400</v>
      </c>
      <c r="R64">
        <f>Q64*1.0023</f>
        <v>8419.32</v>
      </c>
    </row>
    <row r="65" spans="1:20" ht="23.25">
      <c r="A65" s="252" t="s">
        <v>7028</v>
      </c>
      <c r="B65" s="247" t="s">
        <v>4192</v>
      </c>
      <c r="C65" s="246">
        <v>1863</v>
      </c>
      <c r="D65" s="326">
        <v>25607</v>
      </c>
      <c r="E65" s="249" t="s">
        <v>5223</v>
      </c>
      <c r="F65" s="248">
        <v>530.21199999999999</v>
      </c>
      <c r="G65" s="323">
        <f t="shared" si="21"/>
        <v>88860.510785065053</v>
      </c>
      <c r="H65" s="259">
        <f t="shared" si="22"/>
        <v>3.513688864077011</v>
      </c>
      <c r="I65" s="250">
        <f t="shared" si="14"/>
        <v>3.3641207815275309</v>
      </c>
      <c r="J65" s="251">
        <f t="shared" ref="J65" si="26">I65/H65</f>
        <v>0.95743274708281001</v>
      </c>
      <c r="K65" s="251">
        <f t="shared" ref="K65" si="27">(1/J65-1.0256)*100</f>
        <v>1.8859783777907646</v>
      </c>
      <c r="L65" s="251">
        <f t="shared" ref="L65" si="28">H65/H64</f>
        <v>1.0003362487090199</v>
      </c>
      <c r="N65" s="339" t="s">
        <v>5237</v>
      </c>
      <c r="O65" s="340">
        <v>238</v>
      </c>
    </row>
    <row r="66" spans="1:20" ht="26.25">
      <c r="A66" s="252"/>
      <c r="B66" s="247"/>
      <c r="C66" s="246"/>
      <c r="D66" s="326"/>
      <c r="E66" s="249"/>
      <c r="F66" s="248"/>
      <c r="G66" s="323"/>
      <c r="H66" s="259"/>
      <c r="I66" s="250"/>
      <c r="J66" s="251"/>
      <c r="K66" s="251"/>
      <c r="L66" s="251"/>
      <c r="N66" s="345" t="s">
        <v>4472</v>
      </c>
      <c r="O66" s="346">
        <v>908</v>
      </c>
      <c r="Q66">
        <f>O63/Q63</f>
        <v>1.0307921747521713</v>
      </c>
      <c r="R66">
        <f>Q66*O64*1.0023*1.0023</f>
        <v>8698.5298818317406</v>
      </c>
      <c r="T66" s="407"/>
    </row>
    <row r="67" spans="1:20" ht="25.5" hidden="1" customHeight="1">
      <c r="A67" s="247" t="s">
        <v>6891</v>
      </c>
      <c r="B67" s="247" t="s">
        <v>4192</v>
      </c>
      <c r="C67" s="246">
        <v>1424.84</v>
      </c>
      <c r="D67" s="326">
        <v>174750</v>
      </c>
      <c r="E67" s="274" t="s">
        <v>4617</v>
      </c>
      <c r="F67" s="404">
        <v>372.90320000000003</v>
      </c>
      <c r="G67" s="369">
        <f t="shared" ref="G67:G82" si="29">C67*D67*0.9912/(F67*1.003631981)</f>
        <v>659438.00738498231</v>
      </c>
      <c r="H67" s="411">
        <f t="shared" ref="H67:H83" si="30">C67/F67</f>
        <v>3.820937980687749</v>
      </c>
      <c r="I67" s="412">
        <f t="shared" ref="I67:I91" si="31">$O$58/$O$61</f>
        <v>3.834008097165992</v>
      </c>
      <c r="J67" s="251">
        <f t="shared" ref="J67:J83" si="32">I67/H67</f>
        <v>1.0034206565362493</v>
      </c>
      <c r="K67" s="251">
        <f t="shared" ref="K67:K82" si="33">(1/J67-1.0256)*100</f>
        <v>-2.9008995533396087</v>
      </c>
      <c r="L67" s="251">
        <v>1</v>
      </c>
    </row>
    <row r="68" spans="1:20" ht="18.75" hidden="1">
      <c r="A68" s="247" t="s">
        <v>6944</v>
      </c>
      <c r="B68" s="247" t="s">
        <v>4192</v>
      </c>
      <c r="C68" s="246">
        <v>1306</v>
      </c>
      <c r="D68" s="326">
        <v>11600</v>
      </c>
      <c r="E68" s="274" t="s">
        <v>4617</v>
      </c>
      <c r="F68" s="404">
        <v>379.7</v>
      </c>
      <c r="G68" s="369">
        <f t="shared" si="29"/>
        <v>39404.640586834226</v>
      </c>
      <c r="H68" s="411">
        <f t="shared" si="30"/>
        <v>3.4395575454306031</v>
      </c>
      <c r="I68" s="412">
        <f t="shared" si="31"/>
        <v>3.834008097165992</v>
      </c>
      <c r="J68" s="251">
        <f t="shared" si="32"/>
        <v>1.1146806083414449</v>
      </c>
      <c r="K68" s="251">
        <f t="shared" si="33"/>
        <v>-12.848203408515424</v>
      </c>
      <c r="L68" s="251">
        <f t="shared" ref="L68:L90" si="34">H68/H67</f>
        <v>0.9001866983487391</v>
      </c>
    </row>
    <row r="69" spans="1:20" ht="18.75" hidden="1">
      <c r="A69" s="247" t="s">
        <v>6944</v>
      </c>
      <c r="B69" s="247" t="s">
        <v>4192</v>
      </c>
      <c r="C69" s="246">
        <v>1315</v>
      </c>
      <c r="D69" s="326">
        <v>5000</v>
      </c>
      <c r="E69" s="274" t="s">
        <v>4617</v>
      </c>
      <c r="F69" s="404">
        <v>379.5</v>
      </c>
      <c r="G69" s="369">
        <f t="shared" si="29"/>
        <v>17110.818260062471</v>
      </c>
      <c r="H69" s="411">
        <f t="shared" si="30"/>
        <v>3.4650856389986826</v>
      </c>
      <c r="I69" s="412">
        <f t="shared" si="31"/>
        <v>3.834008097165992</v>
      </c>
      <c r="J69" s="251">
        <f t="shared" si="32"/>
        <v>1.1064684964825049</v>
      </c>
      <c r="K69" s="251">
        <f t="shared" si="33"/>
        <v>-12.182370345018533</v>
      </c>
      <c r="L69" s="251">
        <f t="shared" si="34"/>
        <v>1.0074219120427257</v>
      </c>
    </row>
    <row r="70" spans="1:20" ht="18.75" hidden="1">
      <c r="A70" s="247" t="s">
        <v>6944</v>
      </c>
      <c r="B70" s="247" t="s">
        <v>4192</v>
      </c>
      <c r="C70" s="246">
        <v>1316</v>
      </c>
      <c r="D70" s="326">
        <v>5000</v>
      </c>
      <c r="E70" s="274" t="s">
        <v>4617</v>
      </c>
      <c r="F70" s="404">
        <v>379.6</v>
      </c>
      <c r="G70" s="369">
        <f t="shared" si="29"/>
        <v>17119.319269587195</v>
      </c>
      <c r="H70" s="411">
        <f t="shared" si="30"/>
        <v>3.4668071654373023</v>
      </c>
      <c r="I70" s="412">
        <f t="shared" si="31"/>
        <v>3.834008097165992</v>
      </c>
      <c r="J70" s="251">
        <f t="shared" si="32"/>
        <v>1.1059190529515279</v>
      </c>
      <c r="K70" s="251">
        <f t="shared" si="33"/>
        <v>-12.137468863462143</v>
      </c>
      <c r="L70" s="251">
        <f t="shared" si="34"/>
        <v>1.0004968207478755</v>
      </c>
    </row>
    <row r="71" spans="1:20" ht="18.75" hidden="1">
      <c r="A71" s="247" t="s">
        <v>6944</v>
      </c>
      <c r="B71" s="247" t="s">
        <v>4192</v>
      </c>
      <c r="C71" s="246">
        <v>1317</v>
      </c>
      <c r="D71" s="326">
        <v>5000</v>
      </c>
      <c r="E71" s="274" t="s">
        <v>4617</v>
      </c>
      <c r="F71" s="404">
        <v>379.6</v>
      </c>
      <c r="G71" s="369">
        <f t="shared" si="29"/>
        <v>17132.327870855876</v>
      </c>
      <c r="H71" s="411">
        <f t="shared" si="30"/>
        <v>3.4694415173867226</v>
      </c>
      <c r="I71" s="412">
        <f t="shared" si="31"/>
        <v>3.834008097165992</v>
      </c>
      <c r="J71" s="251">
        <f t="shared" si="32"/>
        <v>1.1050793270191426</v>
      </c>
      <c r="K71" s="251">
        <f t="shared" si="33"/>
        <v>-12.068758733419182</v>
      </c>
      <c r="L71" s="251">
        <f t="shared" si="34"/>
        <v>1.0007598784194529</v>
      </c>
      <c r="M71" t="s">
        <v>25</v>
      </c>
    </row>
    <row r="72" spans="1:20" ht="27.75" hidden="1" customHeight="1">
      <c r="A72" s="247" t="s">
        <v>6944</v>
      </c>
      <c r="B72" s="247" t="s">
        <v>4192</v>
      </c>
      <c r="C72" s="246">
        <v>1318</v>
      </c>
      <c r="D72" s="326">
        <v>5000</v>
      </c>
      <c r="E72" s="274" t="s">
        <v>4617</v>
      </c>
      <c r="F72" s="404">
        <v>379.6</v>
      </c>
      <c r="G72" s="369">
        <f t="shared" si="29"/>
        <v>17145.33647212456</v>
      </c>
      <c r="H72" s="411">
        <f t="shared" si="30"/>
        <v>3.4720758693361433</v>
      </c>
      <c r="I72" s="412">
        <f t="shared" si="31"/>
        <v>3.834008097165992</v>
      </c>
      <c r="J72" s="251">
        <f t="shared" si="32"/>
        <v>1.1042408753294466</v>
      </c>
      <c r="K72" s="251">
        <f t="shared" si="33"/>
        <v>-12.000048603376213</v>
      </c>
      <c r="L72" s="251">
        <f t="shared" si="34"/>
        <v>1.0007593014426728</v>
      </c>
      <c r="M72" t="s">
        <v>25</v>
      </c>
      <c r="N72" t="s">
        <v>25</v>
      </c>
    </row>
    <row r="73" spans="1:20" ht="18.75" hidden="1">
      <c r="A73" s="247" t="s">
        <v>6944</v>
      </c>
      <c r="B73" s="247" t="s">
        <v>4192</v>
      </c>
      <c r="C73" s="246">
        <v>1316</v>
      </c>
      <c r="D73" s="326">
        <v>5000</v>
      </c>
      <c r="E73" s="274" t="s">
        <v>4617</v>
      </c>
      <c r="F73" s="404">
        <v>378</v>
      </c>
      <c r="G73" s="369">
        <f t="shared" si="29"/>
        <v>17191.78199665423</v>
      </c>
      <c r="H73" s="411">
        <f t="shared" si="30"/>
        <v>3.4814814814814814</v>
      </c>
      <c r="I73" s="412">
        <f t="shared" si="31"/>
        <v>3.834008097165992</v>
      </c>
      <c r="J73" s="251">
        <f t="shared" si="32"/>
        <v>1.1012576449306573</v>
      </c>
      <c r="K73" s="251">
        <f t="shared" si="33"/>
        <v>-11.754727990926517</v>
      </c>
      <c r="L73" s="251">
        <f t="shared" si="34"/>
        <v>1.0027089304782779</v>
      </c>
    </row>
    <row r="74" spans="1:20" ht="18.75" hidden="1">
      <c r="A74" s="247" t="s">
        <v>6944</v>
      </c>
      <c r="B74" s="247" t="s">
        <v>4192</v>
      </c>
      <c r="C74" s="246">
        <v>1317</v>
      </c>
      <c r="D74" s="326">
        <v>5000</v>
      </c>
      <c r="E74" s="274" t="s">
        <v>4617</v>
      </c>
      <c r="F74" s="404">
        <v>378</v>
      </c>
      <c r="G74" s="369">
        <f t="shared" si="29"/>
        <v>17204.845660785428</v>
      </c>
      <c r="H74" s="411">
        <f t="shared" si="30"/>
        <v>3.4841269841269842</v>
      </c>
      <c r="I74" s="412">
        <f t="shared" si="31"/>
        <v>3.834008097165992</v>
      </c>
      <c r="J74" s="251">
        <f t="shared" si="32"/>
        <v>1.100421458412107</v>
      </c>
      <c r="K74" s="251">
        <f t="shared" si="33"/>
        <v>-11.685727024354275</v>
      </c>
      <c r="L74" s="251">
        <f t="shared" si="34"/>
        <v>1.0007598784194529</v>
      </c>
      <c r="M74" t="s">
        <v>25</v>
      </c>
    </row>
    <row r="75" spans="1:20" ht="27.75" hidden="1" customHeight="1">
      <c r="A75" s="247" t="s">
        <v>6944</v>
      </c>
      <c r="B75" s="247" t="s">
        <v>4192</v>
      </c>
      <c r="C75" s="246">
        <v>1318</v>
      </c>
      <c r="D75" s="326">
        <v>5000</v>
      </c>
      <c r="E75" s="274" t="s">
        <v>4617</v>
      </c>
      <c r="F75" s="404">
        <v>378</v>
      </c>
      <c r="G75" s="369">
        <f t="shared" si="29"/>
        <v>17217.909324916622</v>
      </c>
      <c r="H75" s="411">
        <f t="shared" si="30"/>
        <v>3.486772486772487</v>
      </c>
      <c r="I75" s="412">
        <f t="shared" si="31"/>
        <v>3.834008097165992</v>
      </c>
      <c r="J75" s="251">
        <f t="shared" si="32"/>
        <v>1.0995865407653602</v>
      </c>
      <c r="K75" s="251">
        <f t="shared" si="33"/>
        <v>-11.616726057782023</v>
      </c>
      <c r="L75" s="251">
        <f t="shared" si="34"/>
        <v>1.0007593014426728</v>
      </c>
      <c r="Q75" t="s">
        <v>25</v>
      </c>
      <c r="R75" t="s">
        <v>25</v>
      </c>
    </row>
    <row r="76" spans="1:20" ht="18.75" hidden="1">
      <c r="A76" s="247" t="s">
        <v>6944</v>
      </c>
      <c r="B76" s="247" t="s">
        <v>4192</v>
      </c>
      <c r="C76" s="246">
        <v>1319</v>
      </c>
      <c r="D76" s="326">
        <v>5000</v>
      </c>
      <c r="E76" s="274" t="s">
        <v>4617</v>
      </c>
      <c r="F76" s="404">
        <v>378</v>
      </c>
      <c r="G76" s="369">
        <f t="shared" si="29"/>
        <v>17230.972989047819</v>
      </c>
      <c r="H76" s="411">
        <f t="shared" si="30"/>
        <v>3.4894179894179893</v>
      </c>
      <c r="I76" s="412">
        <f t="shared" si="31"/>
        <v>3.834008097165992</v>
      </c>
      <c r="J76" s="251">
        <f t="shared" si="32"/>
        <v>1.0987528891044314</v>
      </c>
      <c r="K76" s="251">
        <f t="shared" si="33"/>
        <v>-11.547725091209793</v>
      </c>
      <c r="L76" s="251">
        <f t="shared" si="34"/>
        <v>1.0007587253414263</v>
      </c>
      <c r="N76" t="s">
        <v>25</v>
      </c>
      <c r="Q76" t="s">
        <v>25</v>
      </c>
      <c r="R76" t="s">
        <v>25</v>
      </c>
    </row>
    <row r="77" spans="1:20" ht="18.75" hidden="1">
      <c r="A77" s="247" t="s">
        <v>6946</v>
      </c>
      <c r="B77" s="247" t="s">
        <v>4192</v>
      </c>
      <c r="C77" s="246">
        <v>1339.8</v>
      </c>
      <c r="D77" s="326">
        <v>66105</v>
      </c>
      <c r="E77" s="274" t="s">
        <v>4617</v>
      </c>
      <c r="F77" s="404">
        <v>378.53</v>
      </c>
      <c r="G77" s="369">
        <f t="shared" si="29"/>
        <v>231079.15984035551</v>
      </c>
      <c r="H77" s="411">
        <f t="shared" si="30"/>
        <v>3.5394816791271499</v>
      </c>
      <c r="I77" s="412">
        <f t="shared" si="31"/>
        <v>3.834008097165992</v>
      </c>
      <c r="J77" s="251">
        <f t="shared" si="32"/>
        <v>1.0832117368415008</v>
      </c>
      <c r="K77" s="251">
        <f t="shared" si="33"/>
        <v>-10.2419456447301</v>
      </c>
      <c r="L77" s="251">
        <f t="shared" si="34"/>
        <v>1.0143472893935275</v>
      </c>
      <c r="O77" t="s">
        <v>25</v>
      </c>
      <c r="T77" t="s">
        <v>25</v>
      </c>
    </row>
    <row r="78" spans="1:20" ht="18.75" hidden="1">
      <c r="A78" s="247" t="s">
        <v>6949</v>
      </c>
      <c r="B78" s="247" t="s">
        <v>4192</v>
      </c>
      <c r="C78" s="246">
        <v>1340</v>
      </c>
      <c r="D78" s="326">
        <v>1813</v>
      </c>
      <c r="E78" s="274" t="s">
        <v>4617</v>
      </c>
      <c r="F78" s="404">
        <v>377.53</v>
      </c>
      <c r="G78" s="369">
        <f t="shared" si="29"/>
        <v>6355.3275095196968</v>
      </c>
      <c r="H78" s="411">
        <f t="shared" si="30"/>
        <v>3.5493868036977196</v>
      </c>
      <c r="I78" s="412">
        <f t="shared" si="31"/>
        <v>3.834008097165992</v>
      </c>
      <c r="J78" s="251">
        <f t="shared" si="32"/>
        <v>1.0801888633754304</v>
      </c>
      <c r="K78" s="251">
        <f t="shared" si="33"/>
        <v>-9.9835965667015021</v>
      </c>
      <c r="L78" s="251">
        <f t="shared" si="34"/>
        <v>1.0027984675352275</v>
      </c>
      <c r="Q78" t="s">
        <v>25</v>
      </c>
      <c r="R78" t="s">
        <v>25</v>
      </c>
    </row>
    <row r="79" spans="1:20" ht="18.75" hidden="1">
      <c r="A79" s="247" t="s">
        <v>6953</v>
      </c>
      <c r="B79" s="247" t="s">
        <v>4192</v>
      </c>
      <c r="C79" s="246">
        <v>1320</v>
      </c>
      <c r="D79" s="326">
        <v>158287.5</v>
      </c>
      <c r="E79" s="274" t="s">
        <v>4617</v>
      </c>
      <c r="F79" s="404">
        <v>369.05</v>
      </c>
      <c r="G79" s="369">
        <f t="shared" si="29"/>
        <v>559142.0353652609</v>
      </c>
      <c r="H79" s="411">
        <f t="shared" si="30"/>
        <v>3.576751117734724</v>
      </c>
      <c r="I79" s="412">
        <f t="shared" si="31"/>
        <v>3.834008097165992</v>
      </c>
      <c r="J79" s="251">
        <f t="shared" si="32"/>
        <v>1.0719247638326588</v>
      </c>
      <c r="K79" s="251">
        <f t="shared" si="33"/>
        <v>-9.2698705300446989</v>
      </c>
      <c r="L79" s="251">
        <f t="shared" si="34"/>
        <v>1.0077095891629777</v>
      </c>
      <c r="Q79" t="s">
        <v>25</v>
      </c>
    </row>
    <row r="80" spans="1:20" ht="18.75" hidden="1">
      <c r="A80" s="247" t="s">
        <v>6956</v>
      </c>
      <c r="B80" s="247" t="s">
        <v>4192</v>
      </c>
      <c r="C80" s="246">
        <v>1380</v>
      </c>
      <c r="D80" s="326">
        <v>1476.3</v>
      </c>
      <c r="E80" s="274" t="s">
        <v>4617</v>
      </c>
      <c r="F80" s="404">
        <v>383.6</v>
      </c>
      <c r="G80" s="369">
        <f t="shared" si="29"/>
        <v>5245.198269471055</v>
      </c>
      <c r="H80" s="411">
        <f t="shared" si="30"/>
        <v>3.5974973931178309</v>
      </c>
      <c r="I80" s="412">
        <f t="shared" si="31"/>
        <v>3.834008097165992</v>
      </c>
      <c r="J80" s="251">
        <f t="shared" si="32"/>
        <v>1.0657431203426628</v>
      </c>
      <c r="K80" s="251">
        <f t="shared" si="33"/>
        <v>-8.7287585955539537</v>
      </c>
      <c r="L80" s="251">
        <f t="shared" si="34"/>
        <v>1.0058003128258604</v>
      </c>
    </row>
    <row r="81" spans="1:24" ht="18.75">
      <c r="A81" s="247" t="s">
        <v>6959</v>
      </c>
      <c r="B81" s="247" t="s">
        <v>4192</v>
      </c>
      <c r="C81" s="246">
        <v>1367.8</v>
      </c>
      <c r="D81" s="326">
        <v>13625</v>
      </c>
      <c r="E81" s="274" t="s">
        <v>4617</v>
      </c>
      <c r="F81" s="404">
        <v>379.39</v>
      </c>
      <c r="G81" s="369">
        <f t="shared" si="29"/>
        <v>48513.212305542147</v>
      </c>
      <c r="H81" s="411">
        <f t="shared" si="30"/>
        <v>3.6052610769920137</v>
      </c>
      <c r="I81" s="412">
        <f t="shared" si="31"/>
        <v>3.834008097165992</v>
      </c>
      <c r="J81" s="251">
        <f t="shared" si="32"/>
        <v>1.063448115209684</v>
      </c>
      <c r="K81" s="251">
        <f t="shared" si="33"/>
        <v>-8.5262633561745247</v>
      </c>
      <c r="L81" s="251">
        <f t="shared" si="34"/>
        <v>1.0021580790827076</v>
      </c>
      <c r="Q81" t="s">
        <v>25</v>
      </c>
    </row>
    <row r="82" spans="1:24" ht="18.75">
      <c r="A82" s="247" t="s">
        <v>6961</v>
      </c>
      <c r="B82" s="247" t="s">
        <v>4192</v>
      </c>
      <c r="C82" s="246">
        <v>1365</v>
      </c>
      <c r="D82" s="326">
        <v>8000</v>
      </c>
      <c r="E82" s="274" t="s">
        <v>4617</v>
      </c>
      <c r="F82" s="404">
        <v>378.02</v>
      </c>
      <c r="G82" s="369">
        <f t="shared" si="29"/>
        <v>28529.532963433961</v>
      </c>
      <c r="H82" s="411">
        <f t="shared" si="30"/>
        <v>3.6109200571398339</v>
      </c>
      <c r="I82" s="412">
        <f t="shared" si="31"/>
        <v>3.834008097165992</v>
      </c>
      <c r="J82" s="251">
        <f t="shared" si="32"/>
        <v>1.0617814951580133</v>
      </c>
      <c r="K82" s="251">
        <f t="shared" si="33"/>
        <v>-8.3786637683696981</v>
      </c>
      <c r="L82" s="251">
        <f t="shared" si="34"/>
        <v>1.0015696450345675</v>
      </c>
    </row>
    <row r="83" spans="1:24" ht="18.75">
      <c r="A83" s="247" t="s">
        <v>6963</v>
      </c>
      <c r="B83" s="247" t="s">
        <v>4192</v>
      </c>
      <c r="C83" s="246">
        <v>1367</v>
      </c>
      <c r="D83" s="326">
        <v>21502</v>
      </c>
      <c r="E83" s="274" t="s">
        <v>4617</v>
      </c>
      <c r="F83" s="404">
        <v>375.024</v>
      </c>
      <c r="G83" s="369">
        <f>C83*D83*0.9912/(F83*1.003631981)</f>
        <v>77406.086690312324</v>
      </c>
      <c r="H83" s="411">
        <f t="shared" si="30"/>
        <v>3.6451000469303296</v>
      </c>
      <c r="I83" s="412">
        <f t="shared" si="31"/>
        <v>3.834008097165992</v>
      </c>
      <c r="J83" s="251">
        <f t="shared" si="32"/>
        <v>1.0518252030955224</v>
      </c>
      <c r="K83" s="251">
        <f>(1/J83-1.0256)*100</f>
        <v>-7.4871687865056717</v>
      </c>
      <c r="L83" s="251">
        <f t="shared" si="34"/>
        <v>1.0094657287476947</v>
      </c>
      <c r="Q83" t="s">
        <v>25</v>
      </c>
    </row>
    <row r="84" spans="1:24" ht="21">
      <c r="A84" s="247" t="s">
        <v>6965</v>
      </c>
      <c r="B84" s="247" t="s">
        <v>4192</v>
      </c>
      <c r="C84" s="246">
        <v>1368</v>
      </c>
      <c r="D84" s="326">
        <v>27258</v>
      </c>
      <c r="E84" s="274" t="s">
        <v>4617</v>
      </c>
      <c r="F84" s="274">
        <v>375</v>
      </c>
      <c r="G84" s="369">
        <f t="shared" ref="G84:G91" si="35">C84*D84*0.9912/(F84*1.003631981)</f>
        <v>98205.456428953723</v>
      </c>
      <c r="H84" s="274">
        <f t="shared" ref="H84:H91" si="36">C84/F84</f>
        <v>3.6480000000000001</v>
      </c>
      <c r="I84" s="412">
        <f t="shared" si="31"/>
        <v>3.834008097165992</v>
      </c>
      <c r="J84" s="28">
        <f t="shared" ref="J84:J88" si="37">I84/H84</f>
        <v>1.0509890617231337</v>
      </c>
      <c r="K84" s="253">
        <f t="shared" ref="K84:K88" si="38">(1/J84-1.0256)*100</f>
        <v>-7.4115311510031701</v>
      </c>
      <c r="L84" s="251">
        <f t="shared" si="34"/>
        <v>1.0007955757132407</v>
      </c>
      <c r="N84" s="28" t="s">
        <v>4792</v>
      </c>
      <c r="O84" s="28"/>
      <c r="P84" s="28"/>
    </row>
    <row r="85" spans="1:24" ht="21">
      <c r="A85" s="247" t="s">
        <v>6968</v>
      </c>
      <c r="B85" s="247" t="s">
        <v>4192</v>
      </c>
      <c r="C85" s="246">
        <v>1370</v>
      </c>
      <c r="D85" s="326">
        <v>35232</v>
      </c>
      <c r="E85" s="274" t="s">
        <v>4617</v>
      </c>
      <c r="F85" s="274">
        <v>373.7</v>
      </c>
      <c r="G85" s="369">
        <f t="shared" si="35"/>
        <v>127562.07296610349</v>
      </c>
      <c r="H85" s="274">
        <f t="shared" si="36"/>
        <v>3.666042279903666</v>
      </c>
      <c r="I85" s="412">
        <f t="shared" si="31"/>
        <v>3.834008097165992</v>
      </c>
      <c r="J85" s="28">
        <f t="shared" si="37"/>
        <v>1.0458166612488549</v>
      </c>
      <c r="K85" s="253">
        <f t="shared" si="38"/>
        <v>-6.940945814550636</v>
      </c>
      <c r="L85" s="251">
        <f t="shared" si="34"/>
        <v>1.0049458004121892</v>
      </c>
      <c r="N85" s="28">
        <v>16320</v>
      </c>
      <c r="O85" s="28">
        <f>N85*1.0127</f>
        <v>16527.263999999999</v>
      </c>
      <c r="P85" s="28">
        <v>6492</v>
      </c>
      <c r="R85">
        <v>1579</v>
      </c>
    </row>
    <row r="86" spans="1:24" ht="21">
      <c r="A86" s="247" t="s">
        <v>6971</v>
      </c>
      <c r="B86" s="247" t="s">
        <v>4192</v>
      </c>
      <c r="C86" s="246">
        <v>1347</v>
      </c>
      <c r="D86" s="326">
        <v>135000</v>
      </c>
      <c r="E86" s="274" t="s">
        <v>4617</v>
      </c>
      <c r="F86" s="274">
        <v>364.71</v>
      </c>
      <c r="G86" s="369">
        <f t="shared" si="35"/>
        <v>492425.45446427498</v>
      </c>
      <c r="H86" s="274">
        <f t="shared" si="36"/>
        <v>3.693345397713252</v>
      </c>
      <c r="I86" s="412">
        <f t="shared" si="31"/>
        <v>3.834008097165992</v>
      </c>
      <c r="J86" s="28">
        <f t="shared" si="37"/>
        <v>1.0380854440366807</v>
      </c>
      <c r="K86" s="253">
        <f t="shared" si="38"/>
        <v>-6.2288159202562703</v>
      </c>
      <c r="L86" s="251">
        <f t="shared" si="34"/>
        <v>1.0074475730842645</v>
      </c>
      <c r="R86">
        <v>1062</v>
      </c>
    </row>
    <row r="87" spans="1:24" ht="21">
      <c r="A87" s="247" t="s">
        <v>6973</v>
      </c>
      <c r="B87" s="247" t="s">
        <v>4192</v>
      </c>
      <c r="C87" s="246">
        <v>1330</v>
      </c>
      <c r="D87" s="326">
        <v>90859</v>
      </c>
      <c r="E87" s="274" t="s">
        <v>4617</v>
      </c>
      <c r="F87" s="274">
        <v>355.81599999999997</v>
      </c>
      <c r="G87" s="369">
        <f t="shared" si="35"/>
        <v>335413.79625798215</v>
      </c>
      <c r="H87" s="274">
        <f t="shared" si="36"/>
        <v>3.7378869977741309</v>
      </c>
      <c r="I87" s="412">
        <f t="shared" si="31"/>
        <v>3.834008097165992</v>
      </c>
      <c r="J87" s="28">
        <f t="shared" si="37"/>
        <v>1.0257153572189581</v>
      </c>
      <c r="K87" s="253">
        <f t="shared" si="38"/>
        <v>-5.0670656335575099</v>
      </c>
      <c r="L87" s="251">
        <f t="shared" si="34"/>
        <v>1.012059960622274</v>
      </c>
    </row>
    <row r="88" spans="1:24" ht="21">
      <c r="A88" s="247" t="s">
        <v>6973</v>
      </c>
      <c r="B88" s="247" t="s">
        <v>4192</v>
      </c>
      <c r="C88" s="246">
        <v>1325</v>
      </c>
      <c r="D88" s="326">
        <v>51984.7</v>
      </c>
      <c r="E88" s="274" t="s">
        <v>4617</v>
      </c>
      <c r="F88" s="274">
        <v>350.387</v>
      </c>
      <c r="G88" s="369">
        <f t="shared" si="35"/>
        <v>194146.80021926897</v>
      </c>
      <c r="H88" s="274">
        <f t="shared" si="36"/>
        <v>3.781532990664608</v>
      </c>
      <c r="I88" s="412">
        <f t="shared" si="31"/>
        <v>3.834008097165992</v>
      </c>
      <c r="J88" s="28">
        <f t="shared" si="37"/>
        <v>1.0138766755786419</v>
      </c>
      <c r="K88" s="253">
        <f t="shared" si="38"/>
        <v>-3.9286749003000998</v>
      </c>
      <c r="L88" s="251">
        <f t="shared" si="34"/>
        <v>1.011676648576179</v>
      </c>
    </row>
    <row r="89" spans="1:24" ht="21">
      <c r="A89" s="247" t="s">
        <v>6982</v>
      </c>
      <c r="B89" s="247" t="s">
        <v>4192</v>
      </c>
      <c r="C89" s="246">
        <v>1470.07</v>
      </c>
      <c r="D89" s="326">
        <v>14868</v>
      </c>
      <c r="E89" s="274" t="s">
        <v>4617</v>
      </c>
      <c r="F89" s="274">
        <v>374</v>
      </c>
      <c r="G89" s="369">
        <f t="shared" si="35"/>
        <v>57717.268110700286</v>
      </c>
      <c r="H89" s="274">
        <f t="shared" si="36"/>
        <v>3.930668449197861</v>
      </c>
      <c r="I89" s="412">
        <f t="shared" si="31"/>
        <v>3.834008097165992</v>
      </c>
      <c r="J89" s="28">
        <f t="shared" ref="J89" si="39">I89/H89</f>
        <v>0.97540867328772163</v>
      </c>
      <c r="K89" s="253">
        <f t="shared" ref="K89" si="40">(1/J89-1.0256)*100</f>
        <v>-3.8869382062123314E-2</v>
      </c>
      <c r="L89" s="251">
        <f t="shared" si="34"/>
        <v>1.0394378308747856</v>
      </c>
      <c r="P89" t="s">
        <v>25</v>
      </c>
    </row>
    <row r="90" spans="1:24" ht="21.75" thickBot="1">
      <c r="A90" s="247" t="s">
        <v>6985</v>
      </c>
      <c r="B90" s="247" t="s">
        <v>4192</v>
      </c>
      <c r="C90" s="246">
        <v>1503</v>
      </c>
      <c r="D90" s="326">
        <v>544618</v>
      </c>
      <c r="E90" s="274" t="s">
        <v>4617</v>
      </c>
      <c r="F90" s="274">
        <v>375.71530000000001</v>
      </c>
      <c r="G90" s="369">
        <f t="shared" si="35"/>
        <v>2151685.9907239522</v>
      </c>
      <c r="H90" s="274">
        <f t="shared" ref="H90" si="41">C90/F90</f>
        <v>4.0003694286604778</v>
      </c>
      <c r="I90" s="412">
        <f t="shared" si="31"/>
        <v>3.834008097165992</v>
      </c>
      <c r="J90" s="28">
        <f t="shared" ref="J90" si="42">I90/H90</f>
        <v>0.95841350793689273</v>
      </c>
      <c r="K90" s="253">
        <f t="shared" ref="K90" si="43">(1/J90-1.0256)*100</f>
        <v>1.7790970305319842</v>
      </c>
      <c r="L90" s="251">
        <f t="shared" si="34"/>
        <v>1.0177326020659008</v>
      </c>
      <c r="Q90" s="75" t="s">
        <v>912</v>
      </c>
      <c r="R90" s="75">
        <v>1903.1</v>
      </c>
      <c r="S90" s="75">
        <f>R90/0.9912</f>
        <v>1919.9959644874898</v>
      </c>
    </row>
    <row r="91" spans="1:24" ht="21">
      <c r="A91" s="247"/>
      <c r="B91" s="247"/>
      <c r="C91" s="246"/>
      <c r="D91" s="326"/>
      <c r="E91" s="274"/>
      <c r="F91" s="274"/>
      <c r="G91" s="369" t="e">
        <f t="shared" si="35"/>
        <v>#DIV/0!</v>
      </c>
      <c r="H91" s="274" t="e">
        <f t="shared" si="36"/>
        <v>#DIV/0!</v>
      </c>
      <c r="I91" s="412">
        <f t="shared" si="31"/>
        <v>3.834008097165992</v>
      </c>
      <c r="J91" s="28" t="e">
        <f t="shared" ref="J91" si="44">I91/H91</f>
        <v>#DIV/0!</v>
      </c>
      <c r="K91" s="253" t="e">
        <f t="shared" ref="K91" si="45">(1/J91-1.0256)*100</f>
        <v>#DIV/0!</v>
      </c>
      <c r="L91" s="28" t="e">
        <f>H91/#REF!</f>
        <v>#DIV/0!</v>
      </c>
      <c r="N91" s="382" t="s">
        <v>7039</v>
      </c>
      <c r="O91" s="383">
        <f>O93*O94*1.003631981/(O92*0.9912)</f>
        <v>36452.358257280008</v>
      </c>
      <c r="Q91" s="75" t="s">
        <v>61</v>
      </c>
      <c r="R91" s="75">
        <v>18965</v>
      </c>
      <c r="S91" s="75">
        <f>R91/1.003631981</f>
        <v>18896.368747739216</v>
      </c>
    </row>
    <row r="92" spans="1:24" ht="21">
      <c r="A92" s="247" t="s">
        <v>6850</v>
      </c>
      <c r="B92" s="247" t="s">
        <v>4192</v>
      </c>
      <c r="C92" s="246">
        <v>1410</v>
      </c>
      <c r="D92" s="326">
        <v>90337</v>
      </c>
      <c r="E92" s="338" t="s">
        <v>5237</v>
      </c>
      <c r="F92" s="338">
        <v>221.1</v>
      </c>
      <c r="G92" s="338">
        <f>C92*D92*0.9912/(F92*1.003631981)</f>
        <v>568961.44201163284</v>
      </c>
      <c r="H92" s="338">
        <f>C92/F92</f>
        <v>6.3772048846675711</v>
      </c>
      <c r="I92" s="338">
        <f>$O$58/$O$65</f>
        <v>7.9579831932773111</v>
      </c>
      <c r="J92" s="28">
        <f>I92/H92</f>
        <v>1.247879492222421</v>
      </c>
      <c r="K92" s="253">
        <f>(1/J92-1.0256)*100</f>
        <v>-22.424056887493048</v>
      </c>
      <c r="L92" s="28">
        <v>1</v>
      </c>
      <c r="N92" s="384" t="s">
        <v>7038</v>
      </c>
      <c r="O92" s="385">
        <v>1957</v>
      </c>
      <c r="Q92" s="75" t="s">
        <v>6274</v>
      </c>
      <c r="R92" s="75">
        <v>14984</v>
      </c>
      <c r="S92" s="75">
        <f>R92*0.9912/1.003631981</f>
        <v>14798.393316643422</v>
      </c>
      <c r="W92" t="s">
        <v>25</v>
      </c>
    </row>
    <row r="93" spans="1:24" ht="21">
      <c r="A93" s="247" t="s">
        <v>7059</v>
      </c>
      <c r="B93" s="247" t="s">
        <v>4192</v>
      </c>
      <c r="C93" s="246">
        <v>1893</v>
      </c>
      <c r="D93" s="326">
        <v>1</v>
      </c>
      <c r="E93" s="338" t="s">
        <v>5237</v>
      </c>
      <c r="F93" s="338">
        <v>239.97149999999999</v>
      </c>
      <c r="G93" s="338">
        <f>C93*D93*0.9912/(F93*1.003631981)</f>
        <v>7.7907227514383859</v>
      </c>
      <c r="H93" s="338">
        <f>C93/F93</f>
        <v>7.8884367518642842</v>
      </c>
      <c r="I93" s="338">
        <f>$O$58/$O$65</f>
        <v>7.9579831932773111</v>
      </c>
      <c r="J93" s="28">
        <f>I93/H93</f>
        <v>1.0088162513816936</v>
      </c>
      <c r="K93" s="253">
        <f>(1/J93-1.0256)*100</f>
        <v>-3.4339204359187137</v>
      </c>
      <c r="L93" s="28">
        <f t="shared" ref="L93" si="46">H93/H92</f>
        <v>1.2369740183242506</v>
      </c>
      <c r="M93" s="430"/>
      <c r="N93" s="384" t="s">
        <v>7040</v>
      </c>
      <c r="O93" s="385">
        <v>132681</v>
      </c>
      <c r="Q93" s="75" t="s">
        <v>1048</v>
      </c>
      <c r="R93" s="75">
        <v>1155794</v>
      </c>
      <c r="S93" s="75">
        <f>R93*1.00125</f>
        <v>1157238.7424999999</v>
      </c>
    </row>
    <row r="94" spans="1:24" ht="21.75" thickBot="1">
      <c r="A94" s="247"/>
      <c r="B94" s="247"/>
      <c r="C94" s="246"/>
      <c r="D94" s="326"/>
      <c r="E94" s="338"/>
      <c r="F94" s="338"/>
      <c r="G94" s="338" t="s">
        <v>25</v>
      </c>
      <c r="H94" s="338"/>
      <c r="I94" s="338"/>
      <c r="J94" s="28"/>
      <c r="K94" s="253"/>
      <c r="L94" s="28"/>
      <c r="M94" t="s">
        <v>25</v>
      </c>
      <c r="N94" s="386" t="s">
        <v>7041</v>
      </c>
      <c r="O94" s="387">
        <v>531</v>
      </c>
    </row>
    <row r="95" spans="1:24" ht="21">
      <c r="A95" s="249" t="s">
        <v>7049</v>
      </c>
      <c r="B95" s="249" t="s">
        <v>5223</v>
      </c>
      <c r="C95" s="248">
        <v>528</v>
      </c>
      <c r="D95" s="323">
        <v>6398991</v>
      </c>
      <c r="E95" s="402" t="s">
        <v>7048</v>
      </c>
      <c r="F95" s="402">
        <v>13559.5</v>
      </c>
      <c r="G95" s="405">
        <f>C95*D95*0.9912/(F95*1.00115)</f>
        <v>246697.01131118368</v>
      </c>
      <c r="H95" s="402">
        <f>C95/F95</f>
        <v>3.8939488919207933E-2</v>
      </c>
      <c r="I95" s="402">
        <f>$O$59/$O$63</f>
        <v>3.9929078014184397E-2</v>
      </c>
      <c r="J95" s="402">
        <f>I95/H95</f>
        <v>1.0254135101010102</v>
      </c>
      <c r="K95" s="403">
        <f>(1/J95-1.015)*100</f>
        <v>-3.9783670051808384</v>
      </c>
      <c r="L95" s="402">
        <v>1</v>
      </c>
      <c r="M95">
        <f>F95*1.0023</f>
        <v>13590.68685</v>
      </c>
      <c r="N95" t="s">
        <v>25</v>
      </c>
      <c r="Q95" t="s">
        <v>25</v>
      </c>
    </row>
    <row r="96" spans="1:24" ht="21">
      <c r="A96" s="249" t="s">
        <v>7049</v>
      </c>
      <c r="B96" s="249" t="s">
        <v>5223</v>
      </c>
      <c r="C96" s="248">
        <v>528</v>
      </c>
      <c r="D96" s="323">
        <v>3468980</v>
      </c>
      <c r="E96" s="402" t="s">
        <v>7048</v>
      </c>
      <c r="F96" s="402">
        <v>13496.5</v>
      </c>
      <c r="G96" s="405">
        <f>C96*D96*0.9912/(F96*1.00115)</f>
        <v>134362.07468054199</v>
      </c>
      <c r="H96" s="402">
        <f t="shared" ref="H96" si="47">C96/F96</f>
        <v>3.9121253658355871E-2</v>
      </c>
      <c r="I96" s="402">
        <f>$O$59/$O$63</f>
        <v>3.9929078014184397E-2</v>
      </c>
      <c r="J96" s="402">
        <f t="shared" ref="J96" si="48">I96/H96</f>
        <v>1.0206492451106812</v>
      </c>
      <c r="K96" s="403">
        <f t="shared" ref="K96" si="49">(1/J96-1.015)*100</f>
        <v>-3.5231480314710795</v>
      </c>
      <c r="L96" s="402">
        <f>H96/H95</f>
        <v>1.004667876856963</v>
      </c>
      <c r="M96" s="400">
        <f>F96*1.0023</f>
        <v>13527.541949999999</v>
      </c>
      <c r="O96" t="s">
        <v>25</v>
      </c>
      <c r="X96" t="s">
        <v>25</v>
      </c>
    </row>
    <row r="97" spans="1:24" ht="21">
      <c r="A97" s="249" t="s">
        <v>7050</v>
      </c>
      <c r="B97" s="249" t="s">
        <v>5223</v>
      </c>
      <c r="C97" s="248">
        <v>528</v>
      </c>
      <c r="D97" s="323">
        <v>808381</v>
      </c>
      <c r="E97" s="402" t="s">
        <v>7048</v>
      </c>
      <c r="F97" s="402">
        <v>13384</v>
      </c>
      <c r="G97" s="405">
        <f t="shared" ref="G97" si="50">C97*D97*0.9912/(F97*1.00115)</f>
        <v>31573.754924932564</v>
      </c>
      <c r="H97" s="402">
        <f>C97/F97</f>
        <v>3.9450089659294682E-2</v>
      </c>
      <c r="I97" s="402">
        <f>$O$59/$O$63</f>
        <v>3.9929078014184397E-2</v>
      </c>
      <c r="J97" s="402">
        <f>I97/H97</f>
        <v>1.0121416290565226</v>
      </c>
      <c r="K97" s="403">
        <f>(1/J97-1.015)*100</f>
        <v>-2.6995978337379989</v>
      </c>
      <c r="L97" s="402">
        <f t="shared" ref="L97" si="51">H97/H96</f>
        <v>1.0084055588762701</v>
      </c>
      <c r="M97" s="400">
        <f>F97*1.0023</f>
        <v>13414.7832</v>
      </c>
      <c r="N97" s="159"/>
      <c r="O97" s="388" t="s">
        <v>5223</v>
      </c>
      <c r="P97" s="388" t="s">
        <v>1198</v>
      </c>
      <c r="Q97" s="389" t="s">
        <v>4617</v>
      </c>
      <c r="R97" s="389" t="s">
        <v>1198</v>
      </c>
      <c r="S97" s="389" t="s">
        <v>7048</v>
      </c>
      <c r="T97" s="11"/>
      <c r="U97" s="395" t="s">
        <v>7047</v>
      </c>
      <c r="V97" s="399"/>
      <c r="W97" s="399"/>
    </row>
    <row r="98" spans="1:24" ht="21">
      <c r="A98" s="249"/>
      <c r="B98" s="249"/>
      <c r="C98" s="248"/>
      <c r="D98" s="323"/>
      <c r="E98" s="402"/>
      <c r="F98" s="402"/>
      <c r="G98" s="405"/>
      <c r="H98" s="402"/>
      <c r="I98" s="402"/>
      <c r="J98" s="402"/>
      <c r="K98" s="403"/>
      <c r="L98" s="402"/>
      <c r="M98" s="400"/>
      <c r="N98" s="398" t="s">
        <v>5365</v>
      </c>
      <c r="O98" s="390"/>
      <c r="P98" s="388"/>
      <c r="Q98" s="389"/>
      <c r="R98" s="389"/>
      <c r="S98" s="429">
        <v>71134</v>
      </c>
      <c r="T98" s="391">
        <f>S98*O64</f>
        <v>597525600</v>
      </c>
      <c r="U98" s="396">
        <v>106108675</v>
      </c>
      <c r="V98" s="410">
        <v>7335</v>
      </c>
      <c r="W98" s="410"/>
      <c r="X98" s="410"/>
    </row>
    <row r="99" spans="1:24" ht="21">
      <c r="A99" s="274" t="s">
        <v>7050</v>
      </c>
      <c r="B99" s="274" t="s">
        <v>4617</v>
      </c>
      <c r="C99" s="404">
        <v>460</v>
      </c>
      <c r="D99" s="369">
        <v>1444626</v>
      </c>
      <c r="E99" s="402" t="s">
        <v>7048</v>
      </c>
      <c r="F99" s="402">
        <v>13384</v>
      </c>
      <c r="G99" s="405">
        <f>C99*D99*0.9912/(F99*1.00115)</f>
        <v>49157.464280094631</v>
      </c>
      <c r="H99" s="402">
        <f>C99/F99</f>
        <v>3.4369396294082484E-2</v>
      </c>
      <c r="I99" s="402">
        <f>$O$61/$O$63</f>
        <v>3.5035460992907802E-2</v>
      </c>
      <c r="J99" s="402">
        <f>I99/H99</f>
        <v>1.0193795868023436</v>
      </c>
      <c r="K99" s="403">
        <f>(1/J99-1.015)*100</f>
        <v>-3.4011158407767139</v>
      </c>
      <c r="L99" s="402">
        <v>1</v>
      </c>
      <c r="M99" s="400">
        <f>F99*1.0023</f>
        <v>13414.7832</v>
      </c>
      <c r="N99" s="159" t="s">
        <v>723</v>
      </c>
      <c r="O99" s="390"/>
      <c r="P99" s="388"/>
      <c r="Q99" s="391"/>
      <c r="R99" s="389"/>
      <c r="S99" s="391">
        <v>222382</v>
      </c>
      <c r="T99" s="391">
        <f>S99*O63</f>
        <v>3135586200</v>
      </c>
      <c r="U99" s="396">
        <v>1000</v>
      </c>
      <c r="V99" s="410"/>
      <c r="W99" s="410"/>
      <c r="X99" s="410"/>
    </row>
    <row r="100" spans="1:24" ht="21">
      <c r="A100" s="274" t="s">
        <v>7050</v>
      </c>
      <c r="B100" s="274" t="s">
        <v>4617</v>
      </c>
      <c r="C100" s="404">
        <v>460</v>
      </c>
      <c r="D100" s="369">
        <v>374246</v>
      </c>
      <c r="E100" s="402" t="s">
        <v>7048</v>
      </c>
      <c r="F100" s="402">
        <v>13280</v>
      </c>
      <c r="G100" s="405">
        <f t="shared" ref="G100:G102" si="52">C100*D100*0.9912/(F100*1.00115)</f>
        <v>12834.503287484455</v>
      </c>
      <c r="H100" s="402">
        <f t="shared" ref="H100:H102" si="53">C100/F100</f>
        <v>3.463855421686747E-2</v>
      </c>
      <c r="I100" s="402">
        <f>$O$61/$O$63</f>
        <v>3.5035460992907802E-2</v>
      </c>
      <c r="J100" s="402">
        <f t="shared" ref="J100:J102" si="54">I100/H100</f>
        <v>1.0114585260561209</v>
      </c>
      <c r="K100" s="403">
        <f t="shared" ref="K100:K102" si="55">(1/J100-1.015)*100</f>
        <v>-2.6328715672406133</v>
      </c>
      <c r="L100" s="402">
        <f>H100/H99</f>
        <v>1.007831325301205</v>
      </c>
      <c r="M100" s="400">
        <f>F100*1.0023</f>
        <v>13310.544</v>
      </c>
      <c r="N100" s="159" t="s">
        <v>433</v>
      </c>
      <c r="O100" s="390"/>
      <c r="P100" s="388"/>
      <c r="Q100" s="391"/>
      <c r="R100" s="389"/>
      <c r="S100" s="391">
        <v>256935</v>
      </c>
      <c r="T100" s="391">
        <f>S100*O63</f>
        <v>3622783500</v>
      </c>
      <c r="U100" s="396">
        <v>4932</v>
      </c>
      <c r="V100" s="410"/>
      <c r="W100" s="410"/>
      <c r="X100" s="410"/>
    </row>
    <row r="101" spans="1:24" ht="21">
      <c r="A101" s="274" t="s">
        <v>7050</v>
      </c>
      <c r="B101" s="274" t="s">
        <v>4617</v>
      </c>
      <c r="C101" s="404">
        <v>460</v>
      </c>
      <c r="D101" s="369">
        <v>213560</v>
      </c>
      <c r="E101" s="402" t="s">
        <v>7048</v>
      </c>
      <c r="F101" s="402">
        <v>13260</v>
      </c>
      <c r="G101" s="405">
        <f t="shared" si="52"/>
        <v>7334.9365514725932</v>
      </c>
      <c r="H101" s="402">
        <f t="shared" si="53"/>
        <v>3.4690799396681751E-2</v>
      </c>
      <c r="I101" s="402">
        <f>$O$61/$O$63</f>
        <v>3.5035460992907802E-2</v>
      </c>
      <c r="J101" s="402">
        <f t="shared" si="54"/>
        <v>1.0099352451433856</v>
      </c>
      <c r="K101" s="403">
        <f t="shared" si="55"/>
        <v>-2.4837507098759537</v>
      </c>
      <c r="L101" s="402">
        <f t="shared" ref="L101:L102" si="56">H101/H100</f>
        <v>1.0015082956259427</v>
      </c>
      <c r="M101" s="400">
        <f>F101*1.0023</f>
        <v>13290.498</v>
      </c>
      <c r="N101" s="186"/>
      <c r="O101" s="425"/>
      <c r="P101" s="186"/>
      <c r="Q101" s="425"/>
      <c r="R101" s="186"/>
      <c r="S101" s="186"/>
      <c r="T101" s="106"/>
      <c r="U101" s="425"/>
      <c r="V101" s="410"/>
      <c r="W101" s="410"/>
      <c r="X101" s="410"/>
    </row>
    <row r="102" spans="1:24" ht="21">
      <c r="A102" s="274"/>
      <c r="B102" s="274"/>
      <c r="C102" s="404"/>
      <c r="D102" s="369"/>
      <c r="E102" s="402"/>
      <c r="F102" s="402"/>
      <c r="G102" s="405" t="e">
        <f t="shared" si="52"/>
        <v>#DIV/0!</v>
      </c>
      <c r="H102" s="402" t="e">
        <f t="shared" si="53"/>
        <v>#DIV/0!</v>
      </c>
      <c r="I102" s="402">
        <f>$O$61/$O$63</f>
        <v>3.5035460992907802E-2</v>
      </c>
      <c r="J102" s="402" t="e">
        <f t="shared" si="54"/>
        <v>#DIV/0!</v>
      </c>
      <c r="K102" s="403" t="e">
        <f t="shared" si="55"/>
        <v>#DIV/0!</v>
      </c>
      <c r="L102" s="402" t="e">
        <f t="shared" si="56"/>
        <v>#DIV/0!</v>
      </c>
      <c r="M102" s="400">
        <f>F102*1.0023</f>
        <v>0</v>
      </c>
      <c r="N102" s="159" t="s">
        <v>6</v>
      </c>
      <c r="O102" s="394">
        <f>D95+D96+D97</f>
        <v>10676352</v>
      </c>
      <c r="P102" s="388"/>
      <c r="Q102" s="394">
        <f>D99+D100+D101+D103</f>
        <v>3306658</v>
      </c>
      <c r="R102" s="389"/>
      <c r="S102" s="389"/>
      <c r="T102" s="391">
        <f>(T98+T99+T100)*(1-0.00115)</f>
        <v>7347436020.4049997</v>
      </c>
      <c r="U102" s="396">
        <f>SUM(U98:U101)</f>
        <v>106114607</v>
      </c>
      <c r="V102" s="410"/>
      <c r="W102" s="410"/>
      <c r="X102" s="410"/>
    </row>
    <row r="103" spans="1:24" ht="21">
      <c r="A103" s="274" t="s">
        <v>7050</v>
      </c>
      <c r="B103" s="274" t="s">
        <v>4617</v>
      </c>
      <c r="C103" s="404">
        <v>460</v>
      </c>
      <c r="D103" s="369">
        <v>1274226</v>
      </c>
      <c r="E103" s="427" t="s">
        <v>7056</v>
      </c>
      <c r="F103" s="427">
        <v>8158.1</v>
      </c>
      <c r="G103" s="401">
        <f>C103*D103*0.9912/(F103*1.00115)</f>
        <v>71134.029595877335</v>
      </c>
      <c r="H103" s="427">
        <f>C103/F103</f>
        <v>5.63856780377784E-2</v>
      </c>
      <c r="I103" s="427">
        <f>$O$61/$O$64</f>
        <v>5.8809523809523812E-2</v>
      </c>
      <c r="J103" s="427">
        <f>I103/H103</f>
        <v>1.0429869047619049</v>
      </c>
      <c r="K103" s="428">
        <f>(1/J103-1.015)*100</f>
        <v>-5.6215191260448272</v>
      </c>
      <c r="L103" s="427">
        <v>1</v>
      </c>
      <c r="M103" s="413"/>
      <c r="N103" s="159"/>
      <c r="O103" s="388" t="s">
        <v>25</v>
      </c>
      <c r="P103" s="388"/>
      <c r="Q103" s="389"/>
      <c r="R103" s="389"/>
      <c r="S103" s="389"/>
      <c r="T103" s="11"/>
      <c r="U103" s="395"/>
      <c r="V103" s="399"/>
      <c r="W103" s="399"/>
    </row>
    <row r="104" spans="1:24" ht="21">
      <c r="A104" s="274"/>
      <c r="B104" s="274"/>
      <c r="C104" s="404"/>
      <c r="D104" s="369"/>
      <c r="E104" s="427"/>
      <c r="F104" s="427"/>
      <c r="G104" s="401"/>
      <c r="H104" s="427"/>
      <c r="I104" s="427"/>
      <c r="J104" s="427"/>
      <c r="K104" s="428"/>
      <c r="L104" s="427">
        <f>H104/H103</f>
        <v>0</v>
      </c>
      <c r="N104" s="159" t="s">
        <v>7044</v>
      </c>
      <c r="O104" s="388" t="s">
        <v>25</v>
      </c>
      <c r="P104" s="392">
        <f>528/1.0127</f>
        <v>521.3784931371581</v>
      </c>
      <c r="Q104" s="389"/>
      <c r="R104" s="393">
        <f>460/1.0127</f>
        <v>454.23126296040289</v>
      </c>
      <c r="S104" s="393"/>
      <c r="T104" s="11" t="s">
        <v>25</v>
      </c>
      <c r="U104" s="395"/>
      <c r="V104" s="399"/>
      <c r="W104" s="399"/>
    </row>
    <row r="105" spans="1:24" ht="21">
      <c r="A105" s="247" t="s">
        <v>6978</v>
      </c>
      <c r="B105" s="247" t="s">
        <v>4192</v>
      </c>
      <c r="C105" s="246">
        <v>1314</v>
      </c>
      <c r="D105" s="247">
        <v>1</v>
      </c>
      <c r="E105" s="347" t="s">
        <v>4472</v>
      </c>
      <c r="F105" s="347">
        <v>785.87</v>
      </c>
      <c r="G105" s="347">
        <f>C105*D105*0.9912/(F105*1.003631981)</f>
        <v>1.6513208201489087</v>
      </c>
      <c r="H105" s="347">
        <f>C105/F105</f>
        <v>1.6720322699683154</v>
      </c>
      <c r="I105" s="347">
        <f>$O$58/$O$66</f>
        <v>2.0859030837004404</v>
      </c>
      <c r="J105" s="347">
        <f>I105/H105</f>
        <v>1.2475256136892428</v>
      </c>
      <c r="K105" s="348">
        <f>(1/J105-1.0256)*100</f>
        <v>-22.401325177865338</v>
      </c>
      <c r="L105" s="347">
        <v>1</v>
      </c>
      <c r="N105" s="253"/>
      <c r="O105" s="253"/>
      <c r="P105" s="253"/>
      <c r="Q105" s="253"/>
      <c r="R105" s="253"/>
      <c r="S105" s="253"/>
      <c r="T105" s="11"/>
      <c r="U105" s="397"/>
      <c r="V105" s="399"/>
      <c r="W105" s="399"/>
    </row>
    <row r="106" spans="1:24" ht="21">
      <c r="A106" s="247"/>
      <c r="B106" s="247"/>
      <c r="C106" s="246"/>
      <c r="D106" s="247"/>
      <c r="E106" s="347"/>
      <c r="F106" s="347"/>
      <c r="G106" s="347"/>
      <c r="H106" s="347"/>
      <c r="I106" s="347"/>
      <c r="J106" s="347"/>
      <c r="K106" s="348"/>
      <c r="L106" s="347"/>
      <c r="N106" s="253"/>
      <c r="O106" s="253"/>
      <c r="P106" s="414">
        <f>O102*O59</f>
        <v>6010786176</v>
      </c>
      <c r="Q106" s="253"/>
      <c r="R106" s="409">
        <f>Q102*O61</f>
        <v>1633489052</v>
      </c>
      <c r="S106" s="253"/>
      <c r="T106" s="391">
        <f>T102+U102</f>
        <v>7453550627.4049997</v>
      </c>
      <c r="U106" s="397"/>
      <c r="V106" s="399"/>
      <c r="W106" s="399"/>
    </row>
    <row r="107" spans="1:24" ht="21">
      <c r="A107" s="331" t="s">
        <v>5365</v>
      </c>
      <c r="B107" s="28"/>
      <c r="C107" s="1"/>
      <c r="D107" s="28"/>
      <c r="E107" s="28"/>
      <c r="F107" s="1"/>
      <c r="G107" s="28"/>
      <c r="H107" s="28"/>
      <c r="I107" s="28"/>
      <c r="J107" s="28"/>
      <c r="K107" s="28"/>
      <c r="L107" s="28"/>
      <c r="N107" s="253"/>
      <c r="O107" s="253"/>
      <c r="P107" s="253"/>
      <c r="Q107" s="253"/>
      <c r="R107" s="253"/>
      <c r="S107" s="253"/>
      <c r="T107" s="11"/>
      <c r="U107" s="397"/>
      <c r="V107" s="399"/>
      <c r="W107" s="399" t="s">
        <v>25</v>
      </c>
    </row>
    <row r="108" spans="1:24">
      <c r="A108" s="252" t="s">
        <v>6835</v>
      </c>
      <c r="B108" s="247" t="s">
        <v>4192</v>
      </c>
      <c r="C108" s="246">
        <v>1451</v>
      </c>
      <c r="D108" s="247">
        <v>17691.107498245256</v>
      </c>
      <c r="E108" s="249" t="s">
        <v>5223</v>
      </c>
      <c r="F108" s="248">
        <v>486.84610260918487</v>
      </c>
      <c r="G108" s="249">
        <f>C108*D108*0.9912/(F108*1.003631981)</f>
        <v>52073.592214102311</v>
      </c>
      <c r="H108" s="249">
        <f>C108/F108</f>
        <v>2.9804079610036203</v>
      </c>
      <c r="I108" s="249">
        <f t="shared" ref="I108:I134" si="57">$O$58/$O$59</f>
        <v>3.3641207815275309</v>
      </c>
      <c r="J108" s="249">
        <f>I108/H108</f>
        <v>1.1287450662944476</v>
      </c>
      <c r="K108" s="249">
        <f>(1/J108-1.0256)*100</f>
        <v>-13.966035794876541</v>
      </c>
      <c r="L108" s="249">
        <v>1</v>
      </c>
      <c r="N108" s="2"/>
      <c r="O108" s="2"/>
      <c r="P108" s="2"/>
      <c r="Q108" s="2"/>
      <c r="R108" s="2"/>
      <c r="S108" s="2"/>
      <c r="T108" s="2"/>
      <c r="U108" s="2"/>
    </row>
    <row r="109" spans="1:24" ht="15.75" thickBot="1">
      <c r="A109" s="252" t="s">
        <v>6840</v>
      </c>
      <c r="B109" s="247" t="s">
        <v>4192</v>
      </c>
      <c r="C109" s="246">
        <v>1452</v>
      </c>
      <c r="D109" s="247">
        <v>17689.516255997321</v>
      </c>
      <c r="E109" s="249" t="s">
        <v>5223</v>
      </c>
      <c r="F109" s="248">
        <v>486.84610260918487</v>
      </c>
      <c r="G109" s="249">
        <f>C109*D109*0.9912/(F109*1.003631981)</f>
        <v>52104.793252817282</v>
      </c>
      <c r="H109" s="249">
        <f>C109/F109</f>
        <v>2.9824619981924583</v>
      </c>
      <c r="I109" s="249">
        <f t="shared" si="57"/>
        <v>3.3641207815275309</v>
      </c>
      <c r="J109" s="249">
        <f>I109/H109</f>
        <v>1.1279676936592586</v>
      </c>
      <c r="K109" s="249">
        <f>(1/J109-1.0256)*100</f>
        <v>-13.904978617615949</v>
      </c>
      <c r="L109" s="249">
        <f>H109/H108</f>
        <v>1.0006891798759476</v>
      </c>
      <c r="O109" t="s">
        <v>25</v>
      </c>
    </row>
    <row r="110" spans="1:24">
      <c r="A110" s="252" t="s">
        <v>6840</v>
      </c>
      <c r="B110" s="247" t="s">
        <v>4192</v>
      </c>
      <c r="C110" s="246">
        <v>1453</v>
      </c>
      <c r="D110" s="247">
        <v>17687.925013749384</v>
      </c>
      <c r="E110" s="249" t="s">
        <v>5223</v>
      </c>
      <c r="F110" s="248">
        <v>486.84610260918487</v>
      </c>
      <c r="G110" s="249">
        <f t="shared" ref="G110:G134" si="58">C110*D110*0.9912/(F110*1.003631981)</f>
        <v>52135.987835563785</v>
      </c>
      <c r="H110" s="249">
        <f t="shared" ref="H110:H126" si="59">C110/F110</f>
        <v>2.9845160353812958</v>
      </c>
      <c r="I110" s="249">
        <f t="shared" si="57"/>
        <v>3.3641207815275309</v>
      </c>
      <c r="J110" s="249">
        <f t="shared" ref="J110:J126" si="60">I110/H110</f>
        <v>1.1271913910483438</v>
      </c>
      <c r="K110" s="249">
        <f t="shared" ref="K110:K126" si="61">(1/J110-1.0256)*100</f>
        <v>-13.843921440355356</v>
      </c>
      <c r="L110" s="249">
        <f t="shared" ref="L110:L126" si="62">H110/H109</f>
        <v>1.0006887052341598</v>
      </c>
      <c r="N110" s="415"/>
      <c r="O110" s="416" t="s">
        <v>4192</v>
      </c>
      <c r="P110" s="416" t="s">
        <v>5223</v>
      </c>
      <c r="Q110" s="417" t="s">
        <v>7048</v>
      </c>
      <c r="S110" s="406"/>
      <c r="U110" t="s">
        <v>25</v>
      </c>
    </row>
    <row r="111" spans="1:24" ht="21">
      <c r="A111" s="252" t="s">
        <v>6840</v>
      </c>
      <c r="B111" s="247" t="s">
        <v>4192</v>
      </c>
      <c r="C111" s="246">
        <v>1454</v>
      </c>
      <c r="D111" s="247">
        <v>17686.33377150145</v>
      </c>
      <c r="E111" s="249" t="s">
        <v>5223</v>
      </c>
      <c r="F111" s="248">
        <v>486.84610260918487</v>
      </c>
      <c r="G111" s="249">
        <f t="shared" si="58"/>
        <v>52167.175962341818</v>
      </c>
      <c r="H111" s="249">
        <f t="shared" si="59"/>
        <v>2.9865700725701338</v>
      </c>
      <c r="I111" s="249">
        <f t="shared" si="57"/>
        <v>3.3641207815275309</v>
      </c>
      <c r="J111" s="249">
        <f t="shared" si="60"/>
        <v>1.1264161562539501</v>
      </c>
      <c r="K111" s="249">
        <f t="shared" si="61"/>
        <v>-13.782864263094751</v>
      </c>
      <c r="L111" s="249">
        <f t="shared" si="62"/>
        <v>1.0006882312456986</v>
      </c>
      <c r="N111" s="418" t="s">
        <v>7043</v>
      </c>
      <c r="O111" s="159"/>
      <c r="P111" s="159">
        <v>5148</v>
      </c>
      <c r="Q111" s="419"/>
      <c r="R111" s="408">
        <f>(P106+R106)*1.0037158</f>
        <v>7672679825.8922024</v>
      </c>
      <c r="S111" s="406"/>
    </row>
    <row r="112" spans="1:24">
      <c r="A112" s="252" t="s">
        <v>6840</v>
      </c>
      <c r="B112" s="247" t="s">
        <v>4192</v>
      </c>
      <c r="C112" s="246">
        <v>1455</v>
      </c>
      <c r="D112" s="247">
        <v>17684.742529253512</v>
      </c>
      <c r="E112" s="249" t="s">
        <v>5223</v>
      </c>
      <c r="F112" s="248">
        <v>486.84610260918487</v>
      </c>
      <c r="G112" s="249">
        <f t="shared" si="58"/>
        <v>52198.357633151376</v>
      </c>
      <c r="H112" s="249">
        <f t="shared" si="59"/>
        <v>2.9886241097589714</v>
      </c>
      <c r="I112" s="249">
        <f t="shared" si="57"/>
        <v>3.3641207815275309</v>
      </c>
      <c r="J112" s="249">
        <f t="shared" si="60"/>
        <v>1.1256419870743941</v>
      </c>
      <c r="K112" s="249">
        <f t="shared" si="61"/>
        <v>-13.721807085834159</v>
      </c>
      <c r="L112" s="249">
        <f t="shared" si="62"/>
        <v>1.0006877579092159</v>
      </c>
      <c r="M112" t="s">
        <v>25</v>
      </c>
      <c r="N112" s="418" t="s">
        <v>1049</v>
      </c>
      <c r="O112" s="159">
        <v>1592</v>
      </c>
      <c r="P112" s="159"/>
      <c r="Q112" s="419"/>
      <c r="S112" s="406"/>
      <c r="T112" s="215"/>
    </row>
    <row r="113" spans="1:18">
      <c r="A113" s="252" t="s">
        <v>6840</v>
      </c>
      <c r="B113" s="247" t="s">
        <v>4192</v>
      </c>
      <c r="C113" s="246">
        <v>1456</v>
      </c>
      <c r="D113" s="247">
        <v>17683.151287005578</v>
      </c>
      <c r="E113" s="249" t="s">
        <v>5223</v>
      </c>
      <c r="F113" s="248">
        <v>486.84610260918487</v>
      </c>
      <c r="G113" s="249">
        <f t="shared" si="58"/>
        <v>52229.532847992486</v>
      </c>
      <c r="H113" s="249">
        <f t="shared" si="59"/>
        <v>2.9906781469478094</v>
      </c>
      <c r="I113" s="249">
        <f t="shared" si="57"/>
        <v>3.3641207815275309</v>
      </c>
      <c r="J113" s="249">
        <f t="shared" si="60"/>
        <v>1.1248688813140408</v>
      </c>
      <c r="K113" s="249">
        <f t="shared" si="61"/>
        <v>-13.660749908573566</v>
      </c>
      <c r="L113" s="249">
        <f t="shared" si="62"/>
        <v>1.0006872852233677</v>
      </c>
      <c r="N113" s="418" t="s">
        <v>5365</v>
      </c>
      <c r="O113" s="159"/>
      <c r="P113" s="159"/>
      <c r="Q113" s="420">
        <f>S99+S100-G95-G96-G97-G99-G100</f>
        <v>4692.1915157626718</v>
      </c>
    </row>
    <row r="114" spans="1:18">
      <c r="A114" s="252" t="s">
        <v>6840</v>
      </c>
      <c r="B114" s="247" t="s">
        <v>4192</v>
      </c>
      <c r="C114" s="246">
        <v>1457</v>
      </c>
      <c r="D114" s="247">
        <v>17681.56004475764</v>
      </c>
      <c r="E114" s="249" t="s">
        <v>5223</v>
      </c>
      <c r="F114" s="248">
        <v>486.84610260918487</v>
      </c>
      <c r="G114" s="249">
        <f t="shared" si="58"/>
        <v>52260.701606865121</v>
      </c>
      <c r="H114" s="249">
        <f t="shared" si="59"/>
        <v>2.992732184136647</v>
      </c>
      <c r="I114" s="249">
        <f t="shared" si="57"/>
        <v>3.3641207815275309</v>
      </c>
      <c r="J114" s="249">
        <f t="shared" si="60"/>
        <v>1.1240968367832831</v>
      </c>
      <c r="K114" s="249">
        <f t="shared" si="61"/>
        <v>-13.599692731312974</v>
      </c>
      <c r="L114" s="249">
        <f t="shared" si="62"/>
        <v>1.0006868131868132</v>
      </c>
      <c r="N114" s="418" t="s">
        <v>723</v>
      </c>
      <c r="O114" s="159"/>
      <c r="P114" s="159">
        <v>304</v>
      </c>
      <c r="Q114" s="419"/>
    </row>
    <row r="115" spans="1:18" ht="27" customHeight="1">
      <c r="A115" s="252" t="s">
        <v>6840</v>
      </c>
      <c r="B115" s="247" t="s">
        <v>4192</v>
      </c>
      <c r="C115" s="246">
        <v>1458</v>
      </c>
      <c r="D115" s="247">
        <v>17679.968802509706</v>
      </c>
      <c r="E115" s="249" t="s">
        <v>5223</v>
      </c>
      <c r="F115" s="248">
        <v>486.84610260918487</v>
      </c>
      <c r="G115" s="249">
        <f t="shared" si="58"/>
        <v>52291.863909769287</v>
      </c>
      <c r="H115" s="249">
        <f t="shared" si="59"/>
        <v>2.994786221325485</v>
      </c>
      <c r="I115" s="249">
        <f t="shared" si="57"/>
        <v>3.3641207815275309</v>
      </c>
      <c r="J115" s="249">
        <f t="shared" si="60"/>
        <v>1.1233258512985209</v>
      </c>
      <c r="K115" s="249">
        <f t="shared" si="61"/>
        <v>-13.53863555405238</v>
      </c>
      <c r="L115" s="249">
        <f t="shared" si="62"/>
        <v>1.0006863417982157</v>
      </c>
      <c r="N115" s="418" t="s">
        <v>433</v>
      </c>
      <c r="O115" s="159"/>
      <c r="P115" s="159"/>
      <c r="Q115" s="419"/>
    </row>
    <row r="116" spans="1:18">
      <c r="A116" s="252" t="s">
        <v>6840</v>
      </c>
      <c r="B116" s="247" t="s">
        <v>4192</v>
      </c>
      <c r="C116" s="246">
        <v>1471</v>
      </c>
      <c r="D116" s="247">
        <v>17679.827973587173</v>
      </c>
      <c r="E116" s="249" t="s">
        <v>5223</v>
      </c>
      <c r="F116" s="248">
        <v>491.15716618608906</v>
      </c>
      <c r="G116" s="249">
        <f t="shared" si="58"/>
        <v>52294.621540620959</v>
      </c>
      <c r="H116" s="249">
        <f t="shared" si="59"/>
        <v>2.9949680087588688</v>
      </c>
      <c r="I116" s="249">
        <f t="shared" si="57"/>
        <v>3.3641207815275309</v>
      </c>
      <c r="J116" s="249">
        <f t="shared" si="60"/>
        <v>1.1232576680916337</v>
      </c>
      <c r="K116" s="249">
        <f t="shared" si="61"/>
        <v>-13.53323184101145</v>
      </c>
      <c r="L116" s="249">
        <f t="shared" si="62"/>
        <v>1.0000607013055187</v>
      </c>
      <c r="N116" s="418"/>
      <c r="O116" s="159"/>
      <c r="P116" s="159"/>
      <c r="Q116" s="419"/>
    </row>
    <row r="117" spans="1:18" ht="21.75" thickBot="1">
      <c r="A117" s="252" t="s">
        <v>6840</v>
      </c>
      <c r="B117" s="247" t="s">
        <v>4192</v>
      </c>
      <c r="C117" s="246">
        <v>1459</v>
      </c>
      <c r="D117" s="247">
        <v>17678.377560261768</v>
      </c>
      <c r="E117" s="249" t="s">
        <v>5223</v>
      </c>
      <c r="F117" s="248">
        <v>486.84610260918487</v>
      </c>
      <c r="G117" s="249">
        <f t="shared" si="58"/>
        <v>52323.019756704976</v>
      </c>
      <c r="H117" s="249">
        <f t="shared" si="59"/>
        <v>2.9968402585143226</v>
      </c>
      <c r="I117" s="249">
        <f t="shared" si="57"/>
        <v>3.3641207815275309</v>
      </c>
      <c r="J117" s="249">
        <f t="shared" si="60"/>
        <v>1.1225559226821409</v>
      </c>
      <c r="K117" s="249">
        <f t="shared" si="61"/>
        <v>-13.477578376791788</v>
      </c>
      <c r="L117" s="249">
        <f t="shared" si="62"/>
        <v>1.0006251318044059</v>
      </c>
      <c r="N117" s="421" t="s">
        <v>916</v>
      </c>
      <c r="O117" s="422">
        <f>O112*O58+(P111+P114)*O59+Q113*O63</f>
        <v>72244624.372253671</v>
      </c>
      <c r="P117" s="423"/>
      <c r="Q117" s="424"/>
      <c r="R117" s="408">
        <f>T106-R111+O117</f>
        <v>-146884574.11494899</v>
      </c>
    </row>
    <row r="118" spans="1:18">
      <c r="A118" s="252" t="s">
        <v>6840</v>
      </c>
      <c r="B118" s="247" t="s">
        <v>4192</v>
      </c>
      <c r="C118" s="246">
        <v>1472</v>
      </c>
      <c r="D118" s="247">
        <v>17678.250698246309</v>
      </c>
      <c r="E118" s="249" t="s">
        <v>5223</v>
      </c>
      <c r="F118" s="248">
        <v>491.15716618608906</v>
      </c>
      <c r="G118" s="249">
        <f t="shared" si="58"/>
        <v>52325.503383182397</v>
      </c>
      <c r="H118" s="249">
        <f t="shared" si="59"/>
        <v>2.9970040169225389</v>
      </c>
      <c r="I118" s="249">
        <f t="shared" si="57"/>
        <v>3.3641207815275309</v>
      </c>
      <c r="J118" s="249">
        <f t="shared" si="60"/>
        <v>1.1224945854366803</v>
      </c>
      <c r="K118" s="249">
        <f t="shared" si="61"/>
        <v>-13.472710584615132</v>
      </c>
      <c r="L118" s="249">
        <f t="shared" si="62"/>
        <v>1.0000546436893829</v>
      </c>
      <c r="P118" t="s">
        <v>25</v>
      </c>
    </row>
    <row r="119" spans="1:18">
      <c r="A119" s="252" t="s">
        <v>6840</v>
      </c>
      <c r="B119" s="247" t="s">
        <v>4192</v>
      </c>
      <c r="C119" s="246">
        <v>1460</v>
      </c>
      <c r="D119" s="247">
        <v>17676.786318013834</v>
      </c>
      <c r="E119" s="249" t="s">
        <v>5223</v>
      </c>
      <c r="F119" s="248">
        <v>486.84610260918487</v>
      </c>
      <c r="G119" s="249">
        <f t="shared" si="58"/>
        <v>52354.169147672219</v>
      </c>
      <c r="H119" s="249">
        <f t="shared" si="59"/>
        <v>2.9988942957031606</v>
      </c>
      <c r="I119" s="249">
        <f t="shared" si="57"/>
        <v>3.3641207815275309</v>
      </c>
      <c r="J119" s="249">
        <f t="shared" si="60"/>
        <v>1.1217870487624955</v>
      </c>
      <c r="K119" s="249">
        <f t="shared" si="61"/>
        <v>-13.416521199531184</v>
      </c>
      <c r="L119" s="249">
        <f t="shared" si="62"/>
        <v>1.0006307228051574</v>
      </c>
      <c r="P119" t="s">
        <v>25</v>
      </c>
    </row>
    <row r="120" spans="1:18">
      <c r="A120" s="252" t="s">
        <v>6840</v>
      </c>
      <c r="B120" s="247" t="s">
        <v>4192</v>
      </c>
      <c r="C120" s="246">
        <v>1473</v>
      </c>
      <c r="D120" s="247">
        <v>17676.673422905442</v>
      </c>
      <c r="E120" s="249" t="s">
        <v>5223</v>
      </c>
      <c r="F120" s="248">
        <v>491.15716618608906</v>
      </c>
      <c r="G120" s="249">
        <f t="shared" si="58"/>
        <v>52356.378882610712</v>
      </c>
      <c r="H120" s="249">
        <f t="shared" si="59"/>
        <v>2.9990400250862095</v>
      </c>
      <c r="I120" s="249">
        <f t="shared" si="57"/>
        <v>3.3641207815275309</v>
      </c>
      <c r="J120" s="249">
        <f t="shared" si="60"/>
        <v>1.1217325388749444</v>
      </c>
      <c r="K120" s="249">
        <f t="shared" si="61"/>
        <v>-13.412189328218794</v>
      </c>
      <c r="L120" s="249">
        <f t="shared" si="62"/>
        <v>1.0000485943713513</v>
      </c>
      <c r="N120" s="28"/>
      <c r="O120" s="28" t="s">
        <v>4192</v>
      </c>
      <c r="P120" s="28" t="s">
        <v>5223</v>
      </c>
    </row>
    <row r="121" spans="1:18" ht="15.75">
      <c r="A121" s="252" t="s">
        <v>6840</v>
      </c>
      <c r="B121" s="247" t="s">
        <v>4192</v>
      </c>
      <c r="C121" s="246">
        <v>1461</v>
      </c>
      <c r="D121" s="247">
        <v>17675.1950757659</v>
      </c>
      <c r="E121" s="249" t="s">
        <v>5223</v>
      </c>
      <c r="F121" s="248">
        <v>486.84610260918487</v>
      </c>
      <c r="G121" s="249">
        <f t="shared" si="58"/>
        <v>52385.312082670986</v>
      </c>
      <c r="H121" s="249">
        <f t="shared" si="59"/>
        <v>3.0009483328919981</v>
      </c>
      <c r="I121" s="249">
        <f t="shared" si="57"/>
        <v>3.3641207815275309</v>
      </c>
      <c r="J121" s="249">
        <f t="shared" si="60"/>
        <v>1.1210192273738833</v>
      </c>
      <c r="K121" s="249">
        <f t="shared" si="61"/>
        <v>-13.355464022270592</v>
      </c>
      <c r="L121" s="249">
        <f t="shared" si="62"/>
        <v>1.0006363062145973</v>
      </c>
      <c r="N121" s="28" t="s">
        <v>6935</v>
      </c>
      <c r="O121" s="337">
        <f>10070+23765</f>
        <v>33835</v>
      </c>
      <c r="P121" s="337">
        <v>0</v>
      </c>
    </row>
    <row r="122" spans="1:18" ht="15.75">
      <c r="A122" s="252" t="s">
        <v>6840</v>
      </c>
      <c r="B122" s="247" t="s">
        <v>4192</v>
      </c>
      <c r="C122" s="246">
        <v>1462</v>
      </c>
      <c r="D122" s="247">
        <v>17673.603833517962</v>
      </c>
      <c r="E122" s="249" t="s">
        <v>5223</v>
      </c>
      <c r="F122" s="248">
        <v>486.84610260918487</v>
      </c>
      <c r="G122" s="249">
        <f t="shared" si="58"/>
        <v>52416.448561701269</v>
      </c>
      <c r="H122" s="249">
        <f t="shared" si="59"/>
        <v>3.0030023700808361</v>
      </c>
      <c r="I122" s="249">
        <f t="shared" si="57"/>
        <v>3.3641207815275309</v>
      </c>
      <c r="J122" s="249">
        <f t="shared" si="60"/>
        <v>1.1202524563565277</v>
      </c>
      <c r="K122" s="249">
        <f t="shared" si="61"/>
        <v>-13.294406845009998</v>
      </c>
      <c r="L122" s="249">
        <f t="shared" si="62"/>
        <v>1.000684462696783</v>
      </c>
      <c r="N122" s="28" t="s">
        <v>6936</v>
      </c>
      <c r="O122" s="337">
        <v>0</v>
      </c>
      <c r="P122" s="337">
        <f>33614+80633</f>
        <v>114247</v>
      </c>
      <c r="Q122" s="215"/>
    </row>
    <row r="123" spans="1:18">
      <c r="A123" s="252" t="s">
        <v>6840</v>
      </c>
      <c r="B123" s="247" t="s">
        <v>4192</v>
      </c>
      <c r="C123" s="246">
        <v>1474</v>
      </c>
      <c r="D123" s="247">
        <v>17675.096147564578</v>
      </c>
      <c r="E123" s="249" t="s">
        <v>5223</v>
      </c>
      <c r="F123" s="248">
        <v>491.15716618608906</v>
      </c>
      <c r="G123" s="249">
        <f t="shared" si="58"/>
        <v>52387.248038905906</v>
      </c>
      <c r="H123" s="249">
        <f t="shared" si="59"/>
        <v>3.0010760332498796</v>
      </c>
      <c r="I123" s="249">
        <f t="shared" si="57"/>
        <v>3.3641207815275309</v>
      </c>
      <c r="J123" s="249">
        <f t="shared" si="60"/>
        <v>1.1209715262976887</v>
      </c>
      <c r="K123" s="249">
        <f t="shared" si="61"/>
        <v>-13.351668071822475</v>
      </c>
      <c r="L123" s="249">
        <f>H123/H122</f>
        <v>0.9993585297000932</v>
      </c>
      <c r="N123" s="28"/>
      <c r="O123" s="28"/>
      <c r="P123" s="28"/>
      <c r="Q123" t="s">
        <v>25</v>
      </c>
    </row>
    <row r="124" spans="1:18">
      <c r="A124" s="252" t="s">
        <v>6840</v>
      </c>
      <c r="B124" s="247" t="s">
        <v>4192</v>
      </c>
      <c r="C124" s="246">
        <v>1463</v>
      </c>
      <c r="D124" s="247">
        <v>17672.012591270028</v>
      </c>
      <c r="E124" s="249" t="s">
        <v>5223</v>
      </c>
      <c r="F124" s="248">
        <v>486.84610260918487</v>
      </c>
      <c r="G124" s="249">
        <f t="shared" si="58"/>
        <v>52447.578584763112</v>
      </c>
      <c r="H124" s="249">
        <f t="shared" si="59"/>
        <v>3.0050564072696737</v>
      </c>
      <c r="I124" s="249">
        <f t="shared" si="57"/>
        <v>3.3641207815275309</v>
      </c>
      <c r="J124" s="249">
        <f t="shared" si="60"/>
        <v>1.1194867335565575</v>
      </c>
      <c r="K124" s="249">
        <f t="shared" si="61"/>
        <v>-13.233349667749405</v>
      </c>
      <c r="L124" s="249">
        <f t="shared" si="62"/>
        <v>1.0013263156200289</v>
      </c>
      <c r="N124" s="28" t="s">
        <v>6940</v>
      </c>
      <c r="O124" s="28"/>
      <c r="P124" s="28"/>
      <c r="Q124" t="s">
        <v>25</v>
      </c>
    </row>
    <row r="125" spans="1:18">
      <c r="A125" s="252" t="s">
        <v>6840</v>
      </c>
      <c r="B125" s="247" t="s">
        <v>4192</v>
      </c>
      <c r="C125" s="246">
        <v>1475</v>
      </c>
      <c r="D125" s="247">
        <v>17673.518872223714</v>
      </c>
      <c r="E125" s="249" t="s">
        <v>5223</v>
      </c>
      <c r="F125" s="248">
        <v>491.15716618608906</v>
      </c>
      <c r="G125" s="249">
        <f t="shared" si="58"/>
        <v>52418.110852067985</v>
      </c>
      <c r="H125" s="249">
        <f t="shared" si="59"/>
        <v>3.0031120414135497</v>
      </c>
      <c r="I125" s="249">
        <f t="shared" si="57"/>
        <v>3.3641207815275309</v>
      </c>
      <c r="J125" s="249">
        <f t="shared" si="60"/>
        <v>1.1202115456018937</v>
      </c>
      <c r="K125" s="249">
        <f t="shared" si="61"/>
        <v>-13.291146815426158</v>
      </c>
      <c r="L125" s="249">
        <f t="shared" si="62"/>
        <v>0.99935296859938461</v>
      </c>
      <c r="N125" s="28"/>
      <c r="O125" s="28" t="s">
        <v>25</v>
      </c>
      <c r="P125" s="28"/>
      <c r="Q125" t="s">
        <v>25</v>
      </c>
    </row>
    <row r="126" spans="1:18">
      <c r="A126" s="252" t="s">
        <v>6840</v>
      </c>
      <c r="B126" s="247" t="s">
        <v>4192</v>
      </c>
      <c r="C126" s="246">
        <v>1464</v>
      </c>
      <c r="D126" s="247">
        <v>17670.42134902209</v>
      </c>
      <c r="E126" s="249" t="s">
        <v>5223</v>
      </c>
      <c r="F126" s="248">
        <v>486.84610260918487</v>
      </c>
      <c r="G126" s="249">
        <f t="shared" si="58"/>
        <v>52478.702151856465</v>
      </c>
      <c r="H126" s="249">
        <f t="shared" si="59"/>
        <v>3.0071104444585113</v>
      </c>
      <c r="I126" s="249">
        <f t="shared" si="57"/>
        <v>3.3641207815275309</v>
      </c>
      <c r="J126" s="249">
        <f t="shared" si="60"/>
        <v>1.1187220568259861</v>
      </c>
      <c r="K126" s="249">
        <f t="shared" si="61"/>
        <v>-13.172292490488823</v>
      </c>
      <c r="L126" s="249">
        <f t="shared" si="62"/>
        <v>1.0013314198703953</v>
      </c>
      <c r="N126" s="28"/>
      <c r="O126" s="28"/>
      <c r="P126" s="28" t="s">
        <v>25</v>
      </c>
    </row>
    <row r="127" spans="1:18">
      <c r="A127" s="252" t="s">
        <v>6840</v>
      </c>
      <c r="B127" s="247" t="s">
        <v>4192</v>
      </c>
      <c r="C127" s="246">
        <v>1465</v>
      </c>
      <c r="D127" s="247">
        <v>14196.57</v>
      </c>
      <c r="E127" s="249" t="s">
        <v>5223</v>
      </c>
      <c r="F127" s="248">
        <v>486.84610260918487</v>
      </c>
      <c r="G127" s="249">
        <f t="shared" si="58"/>
        <v>42190.644222022223</v>
      </c>
      <c r="H127" s="249">
        <f t="shared" ref="H127:H134" si="63">C127/F127</f>
        <v>3.0091644816473493</v>
      </c>
      <c r="I127" s="249">
        <f t="shared" si="57"/>
        <v>3.3641207815275309</v>
      </c>
      <c r="J127" s="249">
        <f>I127/H127</f>
        <v>1.1179584240226919</v>
      </c>
      <c r="K127" s="249">
        <f>(1/J127-1.0256)*100</f>
        <v>-13.111235313228221</v>
      </c>
      <c r="L127" s="249">
        <f t="shared" ref="L127:L134" si="64">H127/H126</f>
        <v>1.0006830601092898</v>
      </c>
      <c r="N127" s="36"/>
      <c r="O127" s="36"/>
      <c r="P127" s="36"/>
      <c r="R127" t="s">
        <v>25</v>
      </c>
    </row>
    <row r="128" spans="1:18">
      <c r="A128" s="252" t="s">
        <v>6853</v>
      </c>
      <c r="B128" s="247" t="s">
        <v>4192</v>
      </c>
      <c r="C128" s="246">
        <v>1462</v>
      </c>
      <c r="D128" s="247">
        <v>28337.821220000002</v>
      </c>
      <c r="E128" s="249" t="s">
        <v>5223</v>
      </c>
      <c r="F128" s="248">
        <v>480</v>
      </c>
      <c r="G128" s="249">
        <f t="shared" si="58"/>
        <v>85243.130965768403</v>
      </c>
      <c r="H128" s="249">
        <f t="shared" si="63"/>
        <v>3.0458333333333334</v>
      </c>
      <c r="I128" s="249">
        <f t="shared" si="57"/>
        <v>3.3641207815275309</v>
      </c>
      <c r="J128" s="249">
        <f>I128/H128</f>
        <v>1.1044992989967271</v>
      </c>
      <c r="K128" s="249">
        <f>(1/J128-1.0256)*100</f>
        <v>-12.021237240408311</v>
      </c>
      <c r="L128" s="249">
        <f t="shared" si="64"/>
        <v>1.0121857252767752</v>
      </c>
      <c r="N128" s="36"/>
      <c r="O128" s="221" t="s">
        <v>5579</v>
      </c>
      <c r="P128" s="36"/>
      <c r="Q128" t="s">
        <v>25</v>
      </c>
    </row>
    <row r="129" spans="1:19">
      <c r="A129" s="252" t="s">
        <v>6863</v>
      </c>
      <c r="B129" s="247" t="s">
        <v>4192</v>
      </c>
      <c r="C129" s="246">
        <v>1408</v>
      </c>
      <c r="D129" s="247">
        <v>10000</v>
      </c>
      <c r="E129" s="249" t="s">
        <v>5223</v>
      </c>
      <c r="F129" s="248">
        <v>460.7</v>
      </c>
      <c r="G129" s="249">
        <f t="shared" si="58"/>
        <v>30183.614406606379</v>
      </c>
      <c r="H129" s="249">
        <f t="shared" si="63"/>
        <v>3.0562187974820927</v>
      </c>
      <c r="I129" s="249">
        <f t="shared" si="57"/>
        <v>3.3641207815275309</v>
      </c>
      <c r="J129" s="249">
        <f>I129/H129</f>
        <v>1.1007460540125946</v>
      </c>
      <c r="K129" s="249">
        <f>(1/J129-1.0256)*100</f>
        <v>-11.712524657739266</v>
      </c>
      <c r="L129" s="249">
        <f t="shared" si="64"/>
        <v>1.0034097283114942</v>
      </c>
      <c r="N129" s="36"/>
      <c r="O129" s="36"/>
      <c r="P129" s="371"/>
      <c r="Q129" t="s">
        <v>25</v>
      </c>
    </row>
    <row r="130" spans="1:19">
      <c r="A130" s="252" t="s">
        <v>6863</v>
      </c>
      <c r="B130" s="247" t="s">
        <v>4192</v>
      </c>
      <c r="C130" s="246">
        <v>1417</v>
      </c>
      <c r="D130" s="247">
        <v>10000</v>
      </c>
      <c r="E130" s="249" t="s">
        <v>5223</v>
      </c>
      <c r="F130" s="248">
        <v>460.7</v>
      </c>
      <c r="G130" s="249">
        <f t="shared" si="58"/>
        <v>30376.549441875883</v>
      </c>
      <c r="H130" s="249">
        <f t="shared" si="63"/>
        <v>3.0757542869546342</v>
      </c>
      <c r="I130" s="249">
        <f t="shared" si="57"/>
        <v>3.3641207815275309</v>
      </c>
      <c r="J130" s="249">
        <f t="shared" ref="J130:J136" si="65">I130/H130</f>
        <v>1.0937547241000236</v>
      </c>
      <c r="K130" s="249">
        <f t="shared" ref="K130:K136" si="66">(1/J130-1.0256)*100</f>
        <v>-11.131823465920853</v>
      </c>
      <c r="L130" s="249">
        <f t="shared" si="64"/>
        <v>1.0063920454545454</v>
      </c>
      <c r="N130" t="s">
        <v>25</v>
      </c>
    </row>
    <row r="131" spans="1:19">
      <c r="A131" s="252" t="s">
        <v>6865</v>
      </c>
      <c r="B131" s="247" t="s">
        <v>4192</v>
      </c>
      <c r="C131" s="246">
        <v>1426</v>
      </c>
      <c r="D131" s="247">
        <v>26511</v>
      </c>
      <c r="E131" s="249" t="s">
        <v>5223</v>
      </c>
      <c r="F131" s="248">
        <v>460.6</v>
      </c>
      <c r="G131" s="249">
        <f t="shared" si="58"/>
        <v>81060.355338675217</v>
      </c>
      <c r="H131" s="249">
        <f t="shared" si="63"/>
        <v>3.0959617889709072</v>
      </c>
      <c r="I131" s="249">
        <f t="shared" si="57"/>
        <v>3.3641207815275309</v>
      </c>
      <c r="J131" s="249">
        <f t="shared" si="65"/>
        <v>1.0866157306953583</v>
      </c>
      <c r="K131" s="249">
        <f t="shared" si="66"/>
        <v>-10.531146399650437</v>
      </c>
      <c r="L131" s="249">
        <f t="shared" si="64"/>
        <v>1.0065699337889182</v>
      </c>
      <c r="P131" t="s">
        <v>25</v>
      </c>
      <c r="Q131" t="s">
        <v>25</v>
      </c>
    </row>
    <row r="132" spans="1:19">
      <c r="A132" s="252" t="s">
        <v>6865</v>
      </c>
      <c r="B132" s="247" t="s">
        <v>4192</v>
      </c>
      <c r="C132" s="246">
        <v>1432</v>
      </c>
      <c r="D132" s="247">
        <v>4860</v>
      </c>
      <c r="E132" s="249" t="s">
        <v>5223</v>
      </c>
      <c r="F132" s="248">
        <v>460.1</v>
      </c>
      <c r="G132" s="249">
        <f t="shared" si="58"/>
        <v>14938.736108785723</v>
      </c>
      <c r="H132" s="249">
        <f t="shared" si="63"/>
        <v>3.1123668767659205</v>
      </c>
      <c r="I132" s="249">
        <f t="shared" si="57"/>
        <v>3.3641207815275309</v>
      </c>
      <c r="J132" s="249">
        <f t="shared" si="65"/>
        <v>1.0808882483106264</v>
      </c>
      <c r="K132" s="249">
        <f t="shared" si="66"/>
        <v>-10.043497802575862</v>
      </c>
      <c r="L132" s="249">
        <f t="shared" si="64"/>
        <v>1.0052988663663276</v>
      </c>
      <c r="P132" t="s">
        <v>25</v>
      </c>
    </row>
    <row r="133" spans="1:19">
      <c r="A133" s="252" t="s">
        <v>6868</v>
      </c>
      <c r="B133" s="247" t="s">
        <v>4192</v>
      </c>
      <c r="C133" s="246">
        <v>1398</v>
      </c>
      <c r="D133" s="247">
        <v>10000</v>
      </c>
      <c r="E133" s="249" t="s">
        <v>5223</v>
      </c>
      <c r="F133" s="248">
        <v>444</v>
      </c>
      <c r="G133" s="249">
        <f t="shared" si="58"/>
        <v>31096.463640296653</v>
      </c>
      <c r="H133" s="249">
        <f t="shared" si="63"/>
        <v>3.1486486486486487</v>
      </c>
      <c r="I133" s="249">
        <f t="shared" si="57"/>
        <v>3.3641207815275309</v>
      </c>
      <c r="J133" s="249">
        <f>I133/H133</f>
        <v>1.0684332095838509</v>
      </c>
      <c r="K133" s="249">
        <f>(1/J133-1.0256)*100</f>
        <v>-8.9650058506235872</v>
      </c>
      <c r="L133" s="249">
        <f t="shared" si="64"/>
        <v>1.0116572927676279</v>
      </c>
      <c r="O133" t="s">
        <v>25</v>
      </c>
      <c r="P133" t="s">
        <v>25</v>
      </c>
    </row>
    <row r="134" spans="1:19">
      <c r="A134" s="252" t="s">
        <v>6868</v>
      </c>
      <c r="B134" s="247" t="s">
        <v>4192</v>
      </c>
      <c r="C134" s="246">
        <v>1398</v>
      </c>
      <c r="D134" s="247">
        <v>12000</v>
      </c>
      <c r="E134" s="249" t="s">
        <v>5223</v>
      </c>
      <c r="F134" s="248">
        <v>442.97</v>
      </c>
      <c r="G134" s="249">
        <f t="shared" si="58"/>
        <v>37402.523483644618</v>
      </c>
      <c r="H134" s="249">
        <f t="shared" si="63"/>
        <v>3.1559699302435829</v>
      </c>
      <c r="I134" s="249">
        <f t="shared" si="57"/>
        <v>3.3641207815275309</v>
      </c>
      <c r="J134" s="249">
        <f>I134/H134</f>
        <v>1.0659546370481048</v>
      </c>
      <c r="K134" s="249">
        <f>(1/J134-1.0256)*100</f>
        <v>-8.7473774695281392</v>
      </c>
      <c r="L134" s="249">
        <f t="shared" si="64"/>
        <v>1.0023252138971035</v>
      </c>
    </row>
    <row r="135" spans="1:19">
      <c r="A135" s="252"/>
      <c r="B135" s="247"/>
      <c r="C135" s="246"/>
      <c r="D135" s="247"/>
      <c r="E135" s="249"/>
      <c r="F135" s="248"/>
      <c r="G135" s="249"/>
      <c r="H135" s="249"/>
      <c r="I135" s="249"/>
      <c r="J135" s="249"/>
      <c r="K135" s="249"/>
      <c r="L135" s="249"/>
      <c r="P135" t="s">
        <v>25</v>
      </c>
      <c r="Q135" t="s">
        <v>25</v>
      </c>
    </row>
    <row r="136" spans="1:19">
      <c r="A136" s="252"/>
      <c r="B136" s="247"/>
      <c r="C136" s="246"/>
      <c r="D136" s="247"/>
      <c r="E136" s="249"/>
      <c r="F136" s="248"/>
      <c r="G136" s="249"/>
      <c r="H136" s="249"/>
      <c r="I136" s="249">
        <f>$O$58/$O$59</f>
        <v>3.3641207815275309</v>
      </c>
      <c r="J136" s="249" t="e">
        <f t="shared" si="65"/>
        <v>#DIV/0!</v>
      </c>
      <c r="K136" s="249" t="e">
        <f t="shared" si="66"/>
        <v>#DIV/0!</v>
      </c>
      <c r="L136" s="249">
        <f>H136/H133</f>
        <v>0</v>
      </c>
      <c r="O136" t="s">
        <v>25</v>
      </c>
      <c r="P136" t="s">
        <v>25</v>
      </c>
    </row>
    <row r="137" spans="1:19">
      <c r="P137" t="s">
        <v>25</v>
      </c>
      <c r="S137" t="s">
        <v>25</v>
      </c>
    </row>
    <row r="138" spans="1:19">
      <c r="N138" t="s">
        <v>25</v>
      </c>
      <c r="O138" t="s">
        <v>25</v>
      </c>
      <c r="P138" t="s">
        <v>25</v>
      </c>
    </row>
    <row r="139" spans="1:19">
      <c r="N139" t="s">
        <v>25</v>
      </c>
      <c r="Q139" t="s">
        <v>25</v>
      </c>
    </row>
    <row r="140" spans="1:19">
      <c r="O140" t="s">
        <v>25</v>
      </c>
    </row>
    <row r="141" spans="1:19">
      <c r="N141" t="s">
        <v>25</v>
      </c>
    </row>
    <row r="142" spans="1:19">
      <c r="N142" t="s">
        <v>25</v>
      </c>
    </row>
    <row r="143" spans="1:19">
      <c r="N143" t="s">
        <v>25</v>
      </c>
    </row>
    <row r="144" spans="1:19">
      <c r="K144" t="s">
        <v>25</v>
      </c>
      <c r="N144" t="s">
        <v>25</v>
      </c>
    </row>
    <row r="145" spans="1:16">
      <c r="J145" t="s">
        <v>25</v>
      </c>
      <c r="M145" t="s">
        <v>25</v>
      </c>
      <c r="N145" t="s">
        <v>25</v>
      </c>
    </row>
    <row r="146" spans="1:16">
      <c r="N146" t="s">
        <v>25</v>
      </c>
    </row>
    <row r="147" spans="1:16">
      <c r="N147" t="s">
        <v>25</v>
      </c>
    </row>
    <row r="148" spans="1:16">
      <c r="M148" t="s">
        <v>25</v>
      </c>
    </row>
    <row r="149" spans="1:16">
      <c r="M149" t="s">
        <v>25</v>
      </c>
      <c r="N149" t="s">
        <v>25</v>
      </c>
      <c r="O149" t="s">
        <v>25</v>
      </c>
    </row>
    <row r="150" spans="1:16">
      <c r="O150" t="s">
        <v>25</v>
      </c>
    </row>
    <row r="151" spans="1:16">
      <c r="P151" t="s">
        <v>25</v>
      </c>
    </row>
    <row r="153" spans="1:16">
      <c r="N153" t="s">
        <v>25</v>
      </c>
      <c r="O153" t="s">
        <v>25</v>
      </c>
    </row>
    <row r="154" spans="1:16">
      <c r="N154" t="s">
        <v>25</v>
      </c>
      <c r="O154" t="s">
        <v>25</v>
      </c>
    </row>
    <row r="155" spans="1:16">
      <c r="D155">
        <v>28000</v>
      </c>
      <c r="N155" t="s">
        <v>25</v>
      </c>
    </row>
    <row r="156" spans="1:16">
      <c r="N156" t="s">
        <v>25</v>
      </c>
      <c r="O156" t="s">
        <v>25</v>
      </c>
    </row>
    <row r="157" spans="1:16">
      <c r="A157" t="s">
        <v>6693</v>
      </c>
      <c r="B157">
        <v>10330</v>
      </c>
      <c r="C157">
        <v>11900</v>
      </c>
      <c r="D157" s="7">
        <f t="shared" ref="D157:D179" si="67">B157*$D$155</f>
        <v>289240000</v>
      </c>
      <c r="E157" s="7">
        <f t="shared" ref="E157:E179" si="68">C157*$D$155</f>
        <v>333200000</v>
      </c>
      <c r="F157" s="7">
        <v>440000000</v>
      </c>
      <c r="G157">
        <f>(F157-E157)*100/E157</f>
        <v>32.052821128451377</v>
      </c>
      <c r="M157" t="s">
        <v>25</v>
      </c>
    </row>
    <row r="158" spans="1:16">
      <c r="A158" t="s">
        <v>6694</v>
      </c>
      <c r="C158">
        <v>18000</v>
      </c>
      <c r="D158" s="7">
        <f t="shared" si="67"/>
        <v>0</v>
      </c>
      <c r="E158" s="7">
        <f t="shared" si="68"/>
        <v>504000000</v>
      </c>
      <c r="F158" s="7">
        <v>700000000</v>
      </c>
      <c r="G158">
        <f t="shared" ref="G158:G175" si="69">(F158-E158)*100/E158</f>
        <v>38.888888888888886</v>
      </c>
      <c r="O158" t="s">
        <v>25</v>
      </c>
    </row>
    <row r="159" spans="1:16">
      <c r="A159" t="s">
        <v>6695</v>
      </c>
      <c r="C159">
        <v>19000</v>
      </c>
      <c r="D159" s="7">
        <f t="shared" si="67"/>
        <v>0</v>
      </c>
      <c r="E159" s="7">
        <f t="shared" si="68"/>
        <v>532000000</v>
      </c>
      <c r="F159" s="7">
        <v>650000000</v>
      </c>
      <c r="G159">
        <f t="shared" si="69"/>
        <v>22.180451127819548</v>
      </c>
      <c r="N159" t="s">
        <v>25</v>
      </c>
      <c r="O159" t="s">
        <v>25</v>
      </c>
    </row>
    <row r="160" spans="1:16">
      <c r="A160" t="s">
        <v>6696</v>
      </c>
      <c r="C160">
        <v>23000</v>
      </c>
      <c r="D160" s="7">
        <f t="shared" si="67"/>
        <v>0</v>
      </c>
      <c r="E160" s="7">
        <f t="shared" si="68"/>
        <v>644000000</v>
      </c>
      <c r="F160" s="7">
        <v>930000000</v>
      </c>
      <c r="G160">
        <f t="shared" si="69"/>
        <v>44.409937888198755</v>
      </c>
      <c r="O160" t="s">
        <v>25</v>
      </c>
    </row>
    <row r="161" spans="1:16">
      <c r="A161" t="s">
        <v>6697</v>
      </c>
      <c r="C161">
        <v>13000</v>
      </c>
      <c r="D161" s="7">
        <f t="shared" si="67"/>
        <v>0</v>
      </c>
      <c r="E161" s="7">
        <f t="shared" si="68"/>
        <v>364000000</v>
      </c>
      <c r="F161" s="7">
        <v>600000000</v>
      </c>
      <c r="G161">
        <f t="shared" si="69"/>
        <v>64.835164835164832</v>
      </c>
      <c r="N161" t="s">
        <v>25</v>
      </c>
      <c r="O161" t="s">
        <v>25</v>
      </c>
    </row>
    <row r="162" spans="1:16">
      <c r="A162" t="s">
        <v>6698</v>
      </c>
      <c r="C162">
        <v>13000</v>
      </c>
      <c r="D162" s="7">
        <f t="shared" si="67"/>
        <v>0</v>
      </c>
      <c r="E162" s="7">
        <f t="shared" si="68"/>
        <v>364000000</v>
      </c>
      <c r="F162" s="7">
        <v>400000000</v>
      </c>
      <c r="G162">
        <f t="shared" si="69"/>
        <v>9.8901098901098905</v>
      </c>
      <c r="O162" t="s">
        <v>25</v>
      </c>
    </row>
    <row r="163" spans="1:16">
      <c r="A163" t="s">
        <v>6699</v>
      </c>
      <c r="C163">
        <v>13600</v>
      </c>
      <c r="D163" s="7">
        <f t="shared" si="67"/>
        <v>0</v>
      </c>
      <c r="E163" s="7">
        <f t="shared" si="68"/>
        <v>380800000</v>
      </c>
      <c r="F163" s="7">
        <v>520000000</v>
      </c>
      <c r="G163">
        <f t="shared" si="69"/>
        <v>36.554621848739494</v>
      </c>
    </row>
    <row r="164" spans="1:16">
      <c r="A164" t="s">
        <v>6700</v>
      </c>
      <c r="C164">
        <v>28000</v>
      </c>
      <c r="D164" s="7">
        <f t="shared" si="67"/>
        <v>0</v>
      </c>
      <c r="E164" s="7">
        <f t="shared" si="68"/>
        <v>784000000</v>
      </c>
      <c r="F164" s="7">
        <v>900000000</v>
      </c>
      <c r="G164">
        <f t="shared" si="69"/>
        <v>14.795918367346939</v>
      </c>
      <c r="P164" t="s">
        <v>25</v>
      </c>
    </row>
    <row r="165" spans="1:16">
      <c r="A165" t="s">
        <v>6701</v>
      </c>
      <c r="C165">
        <v>19000</v>
      </c>
      <c r="D165" s="7">
        <f t="shared" si="67"/>
        <v>0</v>
      </c>
      <c r="E165" s="7">
        <f t="shared" si="68"/>
        <v>532000000</v>
      </c>
      <c r="F165" s="7">
        <v>700000000</v>
      </c>
      <c r="G165">
        <f t="shared" si="69"/>
        <v>31.578947368421051</v>
      </c>
    </row>
    <row r="166" spans="1:16">
      <c r="A166" t="s">
        <v>6702</v>
      </c>
      <c r="C166">
        <v>15000</v>
      </c>
      <c r="D166" s="7">
        <f t="shared" si="67"/>
        <v>0</v>
      </c>
      <c r="E166" s="7">
        <f t="shared" si="68"/>
        <v>420000000</v>
      </c>
      <c r="F166" s="7">
        <v>700000000</v>
      </c>
      <c r="G166">
        <f t="shared" si="69"/>
        <v>66.666666666666671</v>
      </c>
      <c r="N166" t="s">
        <v>25</v>
      </c>
      <c r="O166" t="s">
        <v>25</v>
      </c>
    </row>
    <row r="167" spans="1:16">
      <c r="A167" t="s">
        <v>6703</v>
      </c>
      <c r="C167">
        <v>21000</v>
      </c>
      <c r="D167" s="7">
        <f t="shared" si="67"/>
        <v>0</v>
      </c>
      <c r="E167" s="7">
        <f t="shared" si="68"/>
        <v>588000000</v>
      </c>
      <c r="F167" s="7">
        <v>700000000</v>
      </c>
      <c r="G167">
        <f t="shared" si="69"/>
        <v>19.047619047619047</v>
      </c>
      <c r="O167" t="s">
        <v>25</v>
      </c>
    </row>
    <row r="168" spans="1:16">
      <c r="A168" t="s">
        <v>6704</v>
      </c>
      <c r="C168">
        <v>17000</v>
      </c>
      <c r="D168" s="7">
        <f t="shared" si="67"/>
        <v>0</v>
      </c>
      <c r="E168" s="7">
        <f t="shared" si="68"/>
        <v>476000000</v>
      </c>
      <c r="F168" s="7">
        <v>700000000</v>
      </c>
      <c r="G168">
        <f t="shared" si="69"/>
        <v>47.058823529411768</v>
      </c>
    </row>
    <row r="169" spans="1:16">
      <c r="A169" t="s">
        <v>6705</v>
      </c>
      <c r="C169">
        <v>11000</v>
      </c>
      <c r="D169" s="7">
        <f t="shared" si="67"/>
        <v>0</v>
      </c>
      <c r="E169" s="7">
        <f t="shared" si="68"/>
        <v>308000000</v>
      </c>
      <c r="F169" s="7">
        <v>370000000</v>
      </c>
      <c r="G169">
        <f t="shared" si="69"/>
        <v>20.129870129870131</v>
      </c>
    </row>
    <row r="170" spans="1:16">
      <c r="D170" s="7">
        <f t="shared" si="67"/>
        <v>0</v>
      </c>
      <c r="E170" s="7">
        <f t="shared" si="68"/>
        <v>0</v>
      </c>
      <c r="F170" s="7"/>
      <c r="G170" t="e">
        <f t="shared" si="69"/>
        <v>#DIV/0!</v>
      </c>
      <c r="O170" t="s">
        <v>25</v>
      </c>
    </row>
    <row r="171" spans="1:16">
      <c r="D171" s="7">
        <f t="shared" si="67"/>
        <v>0</v>
      </c>
      <c r="E171" s="7">
        <f t="shared" si="68"/>
        <v>0</v>
      </c>
      <c r="F171" s="7"/>
      <c r="G171" t="e">
        <f t="shared" si="69"/>
        <v>#DIV/0!</v>
      </c>
    </row>
    <row r="172" spans="1:16">
      <c r="D172" s="7">
        <f t="shared" si="67"/>
        <v>0</v>
      </c>
      <c r="E172" s="7">
        <f t="shared" si="68"/>
        <v>0</v>
      </c>
      <c r="F172" s="7"/>
      <c r="G172" t="e">
        <f t="shared" si="69"/>
        <v>#DIV/0!</v>
      </c>
      <c r="O172" t="s">
        <v>25</v>
      </c>
    </row>
    <row r="173" spans="1:16">
      <c r="D173" s="7">
        <f t="shared" si="67"/>
        <v>0</v>
      </c>
      <c r="E173" s="7">
        <f t="shared" si="68"/>
        <v>0</v>
      </c>
      <c r="F173" s="7"/>
      <c r="G173" t="e">
        <f t="shared" si="69"/>
        <v>#DIV/0!</v>
      </c>
      <c r="O173" t="s">
        <v>25</v>
      </c>
      <c r="P173" t="s">
        <v>25</v>
      </c>
    </row>
    <row r="174" spans="1:16">
      <c r="D174" s="7">
        <f t="shared" si="67"/>
        <v>0</v>
      </c>
      <c r="E174" s="7">
        <f t="shared" si="68"/>
        <v>0</v>
      </c>
      <c r="F174" s="7"/>
      <c r="G174" t="e">
        <f t="shared" si="69"/>
        <v>#DIV/0!</v>
      </c>
      <c r="O174" t="s">
        <v>25</v>
      </c>
      <c r="P174" t="s">
        <v>25</v>
      </c>
    </row>
    <row r="175" spans="1:16">
      <c r="D175" s="7">
        <f t="shared" si="67"/>
        <v>0</v>
      </c>
      <c r="E175" s="7">
        <f t="shared" si="68"/>
        <v>0</v>
      </c>
      <c r="F175" s="7"/>
      <c r="G175" t="e">
        <f t="shared" si="69"/>
        <v>#DIV/0!</v>
      </c>
    </row>
    <row r="176" spans="1:16">
      <c r="D176" s="7">
        <f t="shared" si="67"/>
        <v>0</v>
      </c>
      <c r="E176" s="7">
        <f t="shared" si="68"/>
        <v>0</v>
      </c>
      <c r="O176" t="s">
        <v>25</v>
      </c>
    </row>
    <row r="177" spans="4:20">
      <c r="D177" s="7">
        <f t="shared" si="67"/>
        <v>0</v>
      </c>
      <c r="E177" s="7">
        <f t="shared" si="68"/>
        <v>0</v>
      </c>
      <c r="O177" t="s">
        <v>25</v>
      </c>
      <c r="R177" t="s">
        <v>25</v>
      </c>
    </row>
    <row r="178" spans="4:20">
      <c r="D178" s="7">
        <f t="shared" si="67"/>
        <v>0</v>
      </c>
      <c r="E178" s="7">
        <f t="shared" si="68"/>
        <v>0</v>
      </c>
    </row>
    <row r="179" spans="4:20">
      <c r="D179" s="7">
        <f t="shared" si="67"/>
        <v>0</v>
      </c>
      <c r="E179" s="7">
        <f t="shared" si="68"/>
        <v>0</v>
      </c>
      <c r="N179" t="s">
        <v>25</v>
      </c>
    </row>
    <row r="182" spans="4:20">
      <c r="O182" t="s">
        <v>5448</v>
      </c>
    </row>
    <row r="183" spans="4:20">
      <c r="N183" t="s">
        <v>25</v>
      </c>
      <c r="O183" t="s">
        <v>5449</v>
      </c>
    </row>
    <row r="184" spans="4:20">
      <c r="N184" t="s">
        <v>25</v>
      </c>
      <c r="O184" t="s">
        <v>5450</v>
      </c>
    </row>
    <row r="185" spans="4:20">
      <c r="O185" t="s">
        <v>5451</v>
      </c>
    </row>
    <row r="186" spans="4:20">
      <c r="O186" t="s">
        <v>5452</v>
      </c>
    </row>
    <row r="187" spans="4:20">
      <c r="O187" t="s">
        <v>5453</v>
      </c>
    </row>
    <row r="189" spans="4:20">
      <c r="O189" t="s">
        <v>25</v>
      </c>
    </row>
    <row r="190" spans="4:20">
      <c r="N190" t="s">
        <v>25</v>
      </c>
      <c r="T190" t="s">
        <v>25</v>
      </c>
    </row>
    <row r="191" spans="4:20">
      <c r="O191" t="s">
        <v>25</v>
      </c>
    </row>
    <row r="193" spans="14:15">
      <c r="O193" t="s">
        <v>25</v>
      </c>
    </row>
    <row r="194" spans="14:15">
      <c r="O194" t="s">
        <v>25</v>
      </c>
    </row>
    <row r="197" spans="14:15">
      <c r="N197" t="s">
        <v>25</v>
      </c>
    </row>
    <row r="199" spans="14:15">
      <c r="O199" t="s">
        <v>25</v>
      </c>
    </row>
    <row r="200" spans="14:15">
      <c r="N200" t="s">
        <v>25</v>
      </c>
    </row>
    <row r="202" spans="14:15">
      <c r="N202" t="s">
        <v>25</v>
      </c>
    </row>
    <row r="204" spans="14:15">
      <c r="N204" t="s">
        <v>25</v>
      </c>
    </row>
    <row r="205" spans="14:15">
      <c r="N205" t="s">
        <v>25</v>
      </c>
      <c r="O205" t="s">
        <v>25</v>
      </c>
    </row>
    <row r="206" spans="14:15">
      <c r="N206" t="s">
        <v>25</v>
      </c>
    </row>
    <row r="213" spans="14:16">
      <c r="O213" t="s">
        <v>25</v>
      </c>
    </row>
    <row r="214" spans="14:16">
      <c r="O214" t="s">
        <v>25</v>
      </c>
    </row>
    <row r="216" spans="14:16">
      <c r="O216" t="s">
        <v>25</v>
      </c>
    </row>
    <row r="217" spans="14:16">
      <c r="P217" t="s">
        <v>25</v>
      </c>
    </row>
    <row r="222" spans="14:16">
      <c r="N222" t="s">
        <v>25</v>
      </c>
    </row>
    <row r="232" spans="15:15">
      <c r="O232" t="s">
        <v>25</v>
      </c>
    </row>
    <row r="243" spans="15:15">
      <c r="O243" t="s">
        <v>25</v>
      </c>
    </row>
    <row r="252" spans="15:15">
      <c r="O252" t="s">
        <v>25</v>
      </c>
    </row>
    <row r="259" spans="14:15">
      <c r="O259" t="s">
        <v>25</v>
      </c>
    </row>
    <row r="263" spans="14:15">
      <c r="N263" t="s">
        <v>25</v>
      </c>
    </row>
    <row r="265" spans="14:15">
      <c r="N265" t="s">
        <v>25</v>
      </c>
    </row>
  </sheetData>
  <phoneticPr fontId="27" type="noConversion"/>
  <conditionalFormatting sqref="K1:K14 K16:K136">
    <cfRule type="cellIs" dxfId="9" priority="13" operator="lessThan">
      <formula>0</formula>
    </cfRule>
    <cfRule type="cellIs" dxfId="8" priority="14" operator="greaterThan">
      <formula>0</formula>
    </cfRule>
    <cfRule type="cellIs" dxfId="7" priority="15" operator="greaterThan">
      <formula>0</formula>
    </cfRule>
  </conditionalFormatting>
  <conditionalFormatting sqref="K15">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L1"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6" ht="45">
      <c r="A1" s="11" t="s">
        <v>180</v>
      </c>
      <c r="B1" s="11" t="s">
        <v>267</v>
      </c>
      <c r="C1" s="11" t="s">
        <v>8</v>
      </c>
      <c r="D1" s="32" t="s">
        <v>280</v>
      </c>
      <c r="E1" s="32" t="s">
        <v>281</v>
      </c>
      <c r="F1" s="32" t="s">
        <v>285</v>
      </c>
      <c r="G1" s="11" t="s">
        <v>282</v>
      </c>
    </row>
    <row r="2" spans="1:26">
      <c r="A2" s="11" t="s">
        <v>279</v>
      </c>
      <c r="B2" s="3">
        <v>50000</v>
      </c>
      <c r="C2" s="11" t="s">
        <v>1</v>
      </c>
      <c r="D2" s="11">
        <v>4</v>
      </c>
      <c r="E2" s="11">
        <f>D2+E3</f>
        <v>841</v>
      </c>
      <c r="F2" s="11">
        <f>IF(B2&gt;0,1,0)</f>
        <v>1</v>
      </c>
      <c r="G2" s="11">
        <f>B2*(E2-F2)</f>
        <v>42000000</v>
      </c>
      <c r="M2" s="22"/>
      <c r="N2" s="22"/>
      <c r="O2" s="22"/>
    </row>
    <row r="3" spans="1:26">
      <c r="A3" s="11" t="s">
        <v>278</v>
      </c>
      <c r="B3" s="3">
        <v>3000000</v>
      </c>
      <c r="C3" s="11"/>
      <c r="D3" s="11">
        <v>1</v>
      </c>
      <c r="E3" s="11">
        <f t="shared" ref="E3:E66" si="0">D3+E4</f>
        <v>837</v>
      </c>
      <c r="F3" s="11">
        <f t="shared" ref="F3:F38" si="1">IF(B3&gt;0,1,0)</f>
        <v>1</v>
      </c>
      <c r="G3" s="11">
        <f t="shared" ref="G3:G23" si="2">B3*(E3-F3)</f>
        <v>2508000000</v>
      </c>
      <c r="K3" s="25"/>
      <c r="X3" s="22"/>
      <c r="Y3" s="22"/>
      <c r="Z3" s="22"/>
    </row>
    <row r="4" spans="1:26">
      <c r="A4" s="11" t="s">
        <v>277</v>
      </c>
      <c r="B4" s="3">
        <v>3000000</v>
      </c>
      <c r="C4" s="11"/>
      <c r="D4" s="11">
        <v>0</v>
      </c>
      <c r="E4" s="11">
        <f t="shared" si="0"/>
        <v>836</v>
      </c>
      <c r="F4" s="11">
        <f t="shared" si="1"/>
        <v>1</v>
      </c>
      <c r="G4" s="11">
        <f t="shared" si="2"/>
        <v>2505000000</v>
      </c>
      <c r="V4" s="25"/>
    </row>
    <row r="5" spans="1:26">
      <c r="A5" s="11" t="s">
        <v>277</v>
      </c>
      <c r="B5" s="3">
        <v>15000000</v>
      </c>
      <c r="C5" s="11"/>
      <c r="D5" s="11">
        <v>1</v>
      </c>
      <c r="E5" s="11">
        <f t="shared" si="0"/>
        <v>836</v>
      </c>
      <c r="F5" s="11">
        <f t="shared" si="1"/>
        <v>1</v>
      </c>
      <c r="G5" s="11">
        <f t="shared" si="2"/>
        <v>12525000000</v>
      </c>
      <c r="L5" t="s">
        <v>129</v>
      </c>
      <c r="M5" t="s">
        <v>128</v>
      </c>
      <c r="N5" t="s">
        <v>130</v>
      </c>
      <c r="O5" t="s">
        <v>287</v>
      </c>
      <c r="V5" s="25"/>
    </row>
    <row r="6" spans="1:26">
      <c r="A6" s="11" t="s">
        <v>276</v>
      </c>
      <c r="B6" s="3">
        <v>3000000</v>
      </c>
      <c r="C6" s="11"/>
      <c r="D6" s="11">
        <v>1</v>
      </c>
      <c r="E6" s="11">
        <f t="shared" si="0"/>
        <v>835</v>
      </c>
      <c r="F6" s="11">
        <f t="shared" si="1"/>
        <v>1</v>
      </c>
      <c r="G6" s="11">
        <f t="shared" si="2"/>
        <v>2502000000</v>
      </c>
      <c r="K6" t="s">
        <v>288</v>
      </c>
      <c r="L6" s="30">
        <v>410023079974</v>
      </c>
      <c r="M6" s="29" t="s">
        <v>816</v>
      </c>
      <c r="N6" t="s">
        <v>1030</v>
      </c>
      <c r="O6" t="s">
        <v>279</v>
      </c>
      <c r="P6">
        <v>54682</v>
      </c>
      <c r="Q6" t="s">
        <v>3885</v>
      </c>
      <c r="R6" t="s">
        <v>4095</v>
      </c>
      <c r="V6" s="25"/>
    </row>
    <row r="7" spans="1:26">
      <c r="A7" s="11" t="s">
        <v>275</v>
      </c>
      <c r="B7" s="3">
        <v>-3000000</v>
      </c>
      <c r="C7" s="11"/>
      <c r="D7" s="11">
        <v>0</v>
      </c>
      <c r="E7" s="11">
        <f t="shared" si="0"/>
        <v>834</v>
      </c>
      <c r="F7" s="11">
        <f t="shared" si="1"/>
        <v>0</v>
      </c>
      <c r="G7" s="11">
        <f t="shared" si="2"/>
        <v>-2502000000</v>
      </c>
      <c r="K7" t="s">
        <v>289</v>
      </c>
      <c r="L7" s="30">
        <v>410023384051</v>
      </c>
      <c r="M7" s="29" t="s">
        <v>309</v>
      </c>
      <c r="N7" t="s">
        <v>3886</v>
      </c>
      <c r="O7" t="s">
        <v>292</v>
      </c>
      <c r="V7" s="25"/>
    </row>
    <row r="8" spans="1:26">
      <c r="A8" s="11" t="s">
        <v>275</v>
      </c>
      <c r="B8" s="3">
        <v>-200000</v>
      </c>
      <c r="C8" s="11"/>
      <c r="D8" s="11">
        <v>0</v>
      </c>
      <c r="E8" s="11">
        <f t="shared" si="0"/>
        <v>834</v>
      </c>
      <c r="F8" s="11">
        <f t="shared" si="1"/>
        <v>0</v>
      </c>
      <c r="G8" s="11">
        <f t="shared" si="2"/>
        <v>-166800000</v>
      </c>
      <c r="K8" t="s">
        <v>290</v>
      </c>
      <c r="L8" s="30">
        <v>410023383764</v>
      </c>
      <c r="M8" s="29" t="s">
        <v>308</v>
      </c>
      <c r="N8" t="s">
        <v>293</v>
      </c>
      <c r="O8" t="s">
        <v>292</v>
      </c>
      <c r="P8">
        <v>43034</v>
      </c>
      <c r="Q8" t="s">
        <v>4096</v>
      </c>
      <c r="R8" t="s">
        <v>4097</v>
      </c>
      <c r="V8" s="25"/>
    </row>
    <row r="9" spans="1:26">
      <c r="A9" s="11" t="s">
        <v>275</v>
      </c>
      <c r="B9" s="3">
        <v>3000000</v>
      </c>
      <c r="C9" s="11"/>
      <c r="D9" s="11">
        <v>1</v>
      </c>
      <c r="E9" s="11">
        <f t="shared" si="0"/>
        <v>834</v>
      </c>
      <c r="F9" s="11">
        <f t="shared" si="1"/>
        <v>1</v>
      </c>
      <c r="G9" s="11">
        <f>B9*(E9-F9)</f>
        <v>2499000000</v>
      </c>
      <c r="K9" t="s">
        <v>291</v>
      </c>
      <c r="L9" s="30">
        <v>410021971552</v>
      </c>
      <c r="M9" s="29" t="s">
        <v>670</v>
      </c>
      <c r="N9" t="s">
        <v>671</v>
      </c>
      <c r="O9" t="s">
        <v>294</v>
      </c>
      <c r="V9" s="25"/>
    </row>
    <row r="10" spans="1:26">
      <c r="A10" s="11" t="s">
        <v>222</v>
      </c>
      <c r="B10" s="3">
        <v>3000000</v>
      </c>
      <c r="C10" s="11"/>
      <c r="D10" s="11">
        <v>0</v>
      </c>
      <c r="E10" s="11">
        <f t="shared" si="0"/>
        <v>833</v>
      </c>
      <c r="F10" s="11">
        <f t="shared" si="1"/>
        <v>1</v>
      </c>
      <c r="G10" s="11">
        <f t="shared" si="2"/>
        <v>2496000000</v>
      </c>
      <c r="K10" t="s">
        <v>1031</v>
      </c>
      <c r="L10" s="30">
        <v>410021484671</v>
      </c>
      <c r="M10" s="29" t="s">
        <v>1032</v>
      </c>
      <c r="N10" t="s">
        <v>1034</v>
      </c>
      <c r="O10" t="s">
        <v>1035</v>
      </c>
      <c r="P10">
        <v>3781963292</v>
      </c>
      <c r="Q10" t="s">
        <v>3884</v>
      </c>
      <c r="V10" s="25"/>
    </row>
    <row r="11" spans="1:26">
      <c r="A11" s="11" t="s">
        <v>222</v>
      </c>
      <c r="B11" s="3">
        <v>25000000</v>
      </c>
      <c r="C11" s="11"/>
      <c r="D11" s="11">
        <v>3</v>
      </c>
      <c r="E11" s="11">
        <f t="shared" si="0"/>
        <v>833</v>
      </c>
      <c r="F11" s="11">
        <f t="shared" si="1"/>
        <v>1</v>
      </c>
      <c r="G11" s="11">
        <f t="shared" si="2"/>
        <v>20800000000</v>
      </c>
      <c r="K11" t="s">
        <v>295</v>
      </c>
      <c r="L11" s="24" t="s">
        <v>297</v>
      </c>
      <c r="V11" s="25"/>
    </row>
    <row r="12" spans="1:26">
      <c r="A12" s="11" t="s">
        <v>228</v>
      </c>
      <c r="B12" s="3">
        <v>998330</v>
      </c>
      <c r="C12" s="11"/>
      <c r="D12" s="11">
        <v>0</v>
      </c>
      <c r="E12" s="11">
        <f t="shared" si="0"/>
        <v>830</v>
      </c>
      <c r="F12" s="11">
        <f t="shared" si="1"/>
        <v>1</v>
      </c>
      <c r="G12" s="11">
        <f t="shared" si="2"/>
        <v>827615570</v>
      </c>
      <c r="K12" t="s">
        <v>296</v>
      </c>
      <c r="L12" t="s">
        <v>298</v>
      </c>
      <c r="V12" s="25"/>
    </row>
    <row r="13" spans="1:26">
      <c r="A13" s="11" t="s">
        <v>228</v>
      </c>
      <c r="B13" s="3">
        <v>3000000</v>
      </c>
      <c r="C13" s="11"/>
      <c r="D13" s="11">
        <v>0</v>
      </c>
      <c r="E13" s="11">
        <f t="shared" si="0"/>
        <v>830</v>
      </c>
      <c r="F13" s="11">
        <f t="shared" si="1"/>
        <v>1</v>
      </c>
      <c r="G13" s="11">
        <f t="shared" si="2"/>
        <v>2487000000</v>
      </c>
      <c r="K13" t="s">
        <v>1101</v>
      </c>
      <c r="L13" t="s">
        <v>1098</v>
      </c>
      <c r="N13" t="s">
        <v>1103</v>
      </c>
      <c r="P13" t="s">
        <v>1097</v>
      </c>
      <c r="V13" s="25"/>
    </row>
    <row r="14" spans="1:26">
      <c r="A14" s="11" t="s">
        <v>228</v>
      </c>
      <c r="B14" s="3">
        <v>1191096</v>
      </c>
      <c r="C14" s="11"/>
      <c r="D14" s="11">
        <v>12</v>
      </c>
      <c r="E14" s="11">
        <f t="shared" si="0"/>
        <v>830</v>
      </c>
      <c r="F14" s="11">
        <f t="shared" si="1"/>
        <v>1</v>
      </c>
      <c r="G14" s="11">
        <f t="shared" si="2"/>
        <v>987418584</v>
      </c>
      <c r="K14" t="s">
        <v>1100</v>
      </c>
      <c r="L14" t="s">
        <v>1099</v>
      </c>
      <c r="M14" t="s">
        <v>1102</v>
      </c>
      <c r="N14" t="s">
        <v>1104</v>
      </c>
      <c r="V14" s="25"/>
    </row>
    <row r="15" spans="1:26">
      <c r="A15" s="11" t="s">
        <v>274</v>
      </c>
      <c r="B15" s="3">
        <v>2000000</v>
      </c>
      <c r="C15" s="11"/>
      <c r="D15" s="11">
        <v>12</v>
      </c>
      <c r="E15" s="11">
        <f t="shared" si="0"/>
        <v>818</v>
      </c>
      <c r="F15" s="11">
        <f t="shared" si="1"/>
        <v>1</v>
      </c>
      <c r="G15" s="11">
        <f t="shared" si="2"/>
        <v>1634000000</v>
      </c>
      <c r="K15" t="s">
        <v>4619</v>
      </c>
      <c r="L15">
        <v>451474</v>
      </c>
      <c r="M15" s="177" t="s">
        <v>4760</v>
      </c>
      <c r="N15" s="84"/>
      <c r="O15" s="86"/>
      <c r="P15" s="87"/>
      <c r="Q15" s="87"/>
      <c r="R15" s="85"/>
      <c r="S15" s="85"/>
      <c r="V15" s="25"/>
    </row>
    <row r="16" spans="1:26">
      <c r="A16" s="11" t="s">
        <v>250</v>
      </c>
      <c r="B16" s="3">
        <v>3000000</v>
      </c>
      <c r="C16" s="11"/>
      <c r="D16" s="11">
        <v>1</v>
      </c>
      <c r="E16" s="11">
        <f t="shared" si="0"/>
        <v>806</v>
      </c>
      <c r="F16" s="11">
        <f t="shared" si="1"/>
        <v>1</v>
      </c>
      <c r="G16" s="11">
        <f t="shared" si="2"/>
        <v>2415000000</v>
      </c>
      <c r="V16" s="25"/>
    </row>
    <row r="17" spans="1:27">
      <c r="A17" s="11" t="s">
        <v>273</v>
      </c>
      <c r="B17" s="3">
        <v>3000000</v>
      </c>
      <c r="C17" s="11"/>
      <c r="D17" s="11">
        <v>1</v>
      </c>
      <c r="E17" s="11">
        <f t="shared" si="0"/>
        <v>805</v>
      </c>
      <c r="F17" s="11">
        <f t="shared" si="1"/>
        <v>1</v>
      </c>
      <c r="G17" s="11">
        <f t="shared" si="2"/>
        <v>2412000000</v>
      </c>
      <c r="K17" t="s">
        <v>1108</v>
      </c>
      <c r="L17">
        <v>200011228</v>
      </c>
      <c r="M17" t="s">
        <v>1109</v>
      </c>
      <c r="V17" s="25"/>
    </row>
    <row r="18" spans="1:27">
      <c r="A18" s="11" t="s">
        <v>272</v>
      </c>
      <c r="B18" s="3">
        <v>1900000</v>
      </c>
      <c r="C18" s="11"/>
      <c r="D18" s="11">
        <v>15</v>
      </c>
      <c r="E18" s="11">
        <f t="shared" si="0"/>
        <v>804</v>
      </c>
      <c r="F18" s="11">
        <f t="shared" si="1"/>
        <v>1</v>
      </c>
      <c r="G18" s="11">
        <f t="shared" si="2"/>
        <v>1525700000</v>
      </c>
      <c r="K18" t="s">
        <v>3851</v>
      </c>
      <c r="L18">
        <v>1376839683</v>
      </c>
      <c r="V18" s="25"/>
    </row>
    <row r="19" spans="1:27">
      <c r="A19" s="11" t="s">
        <v>262</v>
      </c>
      <c r="B19" s="3">
        <v>804513</v>
      </c>
      <c r="C19" s="11" t="s">
        <v>271</v>
      </c>
      <c r="D19" s="11">
        <v>1</v>
      </c>
      <c r="E19" s="11">
        <f t="shared" si="0"/>
        <v>789</v>
      </c>
      <c r="F19" s="11">
        <f t="shared" si="1"/>
        <v>1</v>
      </c>
      <c r="G19" s="11">
        <f t="shared" si="2"/>
        <v>633956244</v>
      </c>
      <c r="K19" t="s">
        <v>3988</v>
      </c>
      <c r="L19" t="s">
        <v>3989</v>
      </c>
      <c r="N19" t="s">
        <v>5663</v>
      </c>
      <c r="O19" t="s">
        <v>6767</v>
      </c>
      <c r="V19" s="25"/>
    </row>
    <row r="20" spans="1:27">
      <c r="A20" s="11" t="s">
        <v>270</v>
      </c>
      <c r="B20" s="3">
        <v>3000000</v>
      </c>
      <c r="C20" s="11" t="s">
        <v>269</v>
      </c>
      <c r="D20" s="11">
        <v>6</v>
      </c>
      <c r="E20" s="11">
        <f t="shared" si="0"/>
        <v>788</v>
      </c>
      <c r="F20" s="11">
        <f t="shared" si="1"/>
        <v>1</v>
      </c>
      <c r="G20" s="11">
        <f t="shared" si="2"/>
        <v>2361000000</v>
      </c>
      <c r="K20" t="s">
        <v>3990</v>
      </c>
      <c r="L20" t="s">
        <v>4136</v>
      </c>
      <c r="M20" t="s">
        <v>3991</v>
      </c>
      <c r="N20" t="s">
        <v>4137</v>
      </c>
      <c r="O20" t="s">
        <v>6802</v>
      </c>
      <c r="P20" t="s">
        <v>4066</v>
      </c>
      <c r="V20" s="25"/>
    </row>
    <row r="21" spans="1:27">
      <c r="A21" s="11" t="s">
        <v>268</v>
      </c>
      <c r="B21" s="3">
        <v>500000</v>
      </c>
      <c r="C21" s="11" t="s">
        <v>269</v>
      </c>
      <c r="D21" s="11">
        <v>14</v>
      </c>
      <c r="E21" s="11">
        <f>D21+E22</f>
        <v>782</v>
      </c>
      <c r="F21" s="11">
        <f t="shared" si="1"/>
        <v>1</v>
      </c>
      <c r="G21" s="11">
        <f t="shared" si="2"/>
        <v>390500000</v>
      </c>
      <c r="J21">
        <v>61940674</v>
      </c>
      <c r="K21" t="s">
        <v>4298</v>
      </c>
      <c r="L21" s="29" t="s">
        <v>4300</v>
      </c>
      <c r="M21" t="s">
        <v>4299</v>
      </c>
      <c r="N21" s="143" t="s">
        <v>4301</v>
      </c>
      <c r="V21" s="25"/>
    </row>
    <row r="22" spans="1:27">
      <c r="A22" s="11" t="s">
        <v>324</v>
      </c>
      <c r="B22" s="3">
        <v>-3000000</v>
      </c>
      <c r="C22" s="11" t="s">
        <v>325</v>
      </c>
      <c r="D22" s="11">
        <v>8</v>
      </c>
      <c r="E22" s="11">
        <f t="shared" si="0"/>
        <v>768</v>
      </c>
      <c r="F22" s="11">
        <f t="shared" si="1"/>
        <v>0</v>
      </c>
      <c r="G22" s="11">
        <f t="shared" si="2"/>
        <v>-2304000000</v>
      </c>
      <c r="V22" s="25"/>
    </row>
    <row r="23" spans="1:27">
      <c r="A23" s="11" t="s">
        <v>384</v>
      </c>
      <c r="B23" s="3">
        <v>3000000</v>
      </c>
      <c r="C23" s="11" t="s">
        <v>385</v>
      </c>
      <c r="D23" s="11">
        <v>0</v>
      </c>
      <c r="E23" s="11">
        <f t="shared" si="0"/>
        <v>760</v>
      </c>
      <c r="F23" s="11">
        <f t="shared" si="1"/>
        <v>1</v>
      </c>
      <c r="G23" s="11">
        <f t="shared" si="2"/>
        <v>2277000000</v>
      </c>
      <c r="K23" t="s">
        <v>4268</v>
      </c>
      <c r="L23">
        <v>9149046982</v>
      </c>
      <c r="M23" t="s">
        <v>4269</v>
      </c>
      <c r="N23" t="s">
        <v>4270</v>
      </c>
      <c r="O23" t="s">
        <v>4271</v>
      </c>
      <c r="V23" s="25"/>
    </row>
    <row r="24" spans="1:27">
      <c r="A24" s="11" t="s">
        <v>384</v>
      </c>
      <c r="B24" s="3">
        <v>630843</v>
      </c>
      <c r="C24" s="11" t="s">
        <v>381</v>
      </c>
      <c r="D24" s="11">
        <v>2</v>
      </c>
      <c r="E24" s="11">
        <f t="shared" si="0"/>
        <v>760</v>
      </c>
      <c r="F24" s="11">
        <f t="shared" si="1"/>
        <v>1</v>
      </c>
      <c r="G24" s="11">
        <f>B24*(E24-F24)</f>
        <v>478809837</v>
      </c>
      <c r="K24" t="s">
        <v>4272</v>
      </c>
      <c r="L24">
        <v>9147829303</v>
      </c>
    </row>
    <row r="25" spans="1:27">
      <c r="A25" s="11" t="s">
        <v>390</v>
      </c>
      <c r="B25" s="3">
        <v>-3200900</v>
      </c>
      <c r="C25" s="11" t="s">
        <v>392</v>
      </c>
      <c r="D25" s="11">
        <v>2</v>
      </c>
      <c r="E25" s="11">
        <f t="shared" si="0"/>
        <v>758</v>
      </c>
      <c r="F25" s="11">
        <f t="shared" si="1"/>
        <v>0</v>
      </c>
      <c r="G25" s="11">
        <f t="shared" ref="G25:G30" si="3">B25*(E25-F25)</f>
        <v>-2426282200</v>
      </c>
      <c r="K25" t="s">
        <v>4273</v>
      </c>
      <c r="L25">
        <v>9149092419</v>
      </c>
    </row>
    <row r="26" spans="1:27">
      <c r="A26" s="11" t="s">
        <v>402</v>
      </c>
      <c r="B26" s="3">
        <v>-3000900</v>
      </c>
      <c r="C26" s="11" t="s">
        <v>403</v>
      </c>
      <c r="D26" s="11">
        <v>2</v>
      </c>
      <c r="E26" s="11">
        <f t="shared" si="0"/>
        <v>756</v>
      </c>
      <c r="F26" s="11">
        <f t="shared" si="1"/>
        <v>0</v>
      </c>
      <c r="G26" s="11">
        <f t="shared" si="3"/>
        <v>-2268680400</v>
      </c>
    </row>
    <row r="27" spans="1:27">
      <c r="A27" s="11" t="s">
        <v>408</v>
      </c>
      <c r="B27" s="3">
        <v>1000000</v>
      </c>
      <c r="C27" s="11" t="s">
        <v>410</v>
      </c>
      <c r="D27" s="11">
        <v>0</v>
      </c>
      <c r="E27" s="11">
        <f t="shared" si="0"/>
        <v>754</v>
      </c>
      <c r="F27" s="11">
        <f t="shared" si="1"/>
        <v>1</v>
      </c>
      <c r="G27" s="11">
        <f t="shared" si="3"/>
        <v>753000000</v>
      </c>
    </row>
    <row r="28" spans="1:27">
      <c r="A28" s="11" t="s">
        <v>408</v>
      </c>
      <c r="B28" s="3">
        <v>6000000</v>
      </c>
      <c r="C28" s="11" t="s">
        <v>411</v>
      </c>
      <c r="D28" s="11">
        <v>0</v>
      </c>
      <c r="E28" s="11">
        <f t="shared" si="0"/>
        <v>754</v>
      </c>
      <c r="F28" s="11">
        <f t="shared" si="1"/>
        <v>1</v>
      </c>
      <c r="G28" s="11">
        <f t="shared" si="3"/>
        <v>4518000000</v>
      </c>
    </row>
    <row r="29" spans="1:27">
      <c r="A29" s="11" t="s">
        <v>408</v>
      </c>
      <c r="B29" s="3">
        <v>5800000</v>
      </c>
      <c r="C29" s="11" t="s">
        <v>412</v>
      </c>
      <c r="D29" s="11">
        <v>0</v>
      </c>
      <c r="E29" s="11">
        <f t="shared" si="0"/>
        <v>754</v>
      </c>
      <c r="F29" s="11">
        <f t="shared" si="1"/>
        <v>1</v>
      </c>
      <c r="G29" s="11">
        <f t="shared" si="3"/>
        <v>4367400000</v>
      </c>
      <c r="V29" s="7"/>
      <c r="AA29" s="7"/>
    </row>
    <row r="30" spans="1:27">
      <c r="A30" s="11" t="s">
        <v>408</v>
      </c>
      <c r="B30" s="3">
        <v>-5000</v>
      </c>
      <c r="C30" s="11" t="s">
        <v>413</v>
      </c>
      <c r="D30" s="11">
        <v>1</v>
      </c>
      <c r="E30" s="11">
        <f t="shared" si="0"/>
        <v>754</v>
      </c>
      <c r="F30" s="11">
        <f t="shared" si="1"/>
        <v>0</v>
      </c>
      <c r="G30" s="11">
        <f t="shared" si="3"/>
        <v>-3770000</v>
      </c>
    </row>
    <row r="31" spans="1:27">
      <c r="A31" s="11" t="s">
        <v>423</v>
      </c>
      <c r="B31" s="3">
        <v>-26000000</v>
      </c>
      <c r="C31" s="11" t="s">
        <v>424</v>
      </c>
      <c r="D31" s="11">
        <v>2</v>
      </c>
      <c r="E31" s="11">
        <f t="shared" si="0"/>
        <v>753</v>
      </c>
      <c r="F31" s="11">
        <f t="shared" si="1"/>
        <v>0</v>
      </c>
      <c r="G31" s="11">
        <f>B31*(E31-F31)</f>
        <v>-19578000000</v>
      </c>
    </row>
    <row r="32" spans="1:27">
      <c r="A32" s="11" t="s">
        <v>420</v>
      </c>
      <c r="B32" s="3">
        <v>-26200000</v>
      </c>
      <c r="C32" s="11" t="s">
        <v>422</v>
      </c>
      <c r="D32" s="11">
        <v>19</v>
      </c>
      <c r="E32" s="11">
        <f t="shared" si="0"/>
        <v>751</v>
      </c>
      <c r="F32" s="11">
        <f t="shared" si="1"/>
        <v>0</v>
      </c>
      <c r="G32" s="11">
        <f>B32*(E32-F32)</f>
        <v>-19676200000</v>
      </c>
      <c r="AA32" s="25"/>
    </row>
    <row r="33" spans="1:23">
      <c r="A33" s="11" t="s">
        <v>451</v>
      </c>
      <c r="B33" s="3">
        <v>327005</v>
      </c>
      <c r="C33" s="11" t="s">
        <v>459</v>
      </c>
      <c r="D33" s="11">
        <v>18</v>
      </c>
      <c r="E33" s="11">
        <f t="shared" si="0"/>
        <v>732</v>
      </c>
      <c r="F33" s="11">
        <f t="shared" si="1"/>
        <v>1</v>
      </c>
      <c r="G33" s="11">
        <f>B33*(E33-F33)</f>
        <v>239040655</v>
      </c>
      <c r="K33" s="83" t="s">
        <v>4959</v>
      </c>
      <c r="L33" t="s">
        <v>4960</v>
      </c>
      <c r="M33" t="s">
        <v>4961</v>
      </c>
      <c r="N33" t="s">
        <v>4962</v>
      </c>
      <c r="O33">
        <v>1198011980</v>
      </c>
    </row>
    <row r="34" spans="1:23">
      <c r="A34" s="11" t="s">
        <v>472</v>
      </c>
      <c r="B34" s="3">
        <v>28400000</v>
      </c>
      <c r="C34" s="11" t="s">
        <v>529</v>
      </c>
      <c r="D34" s="11">
        <v>0</v>
      </c>
      <c r="E34" s="11">
        <f t="shared" si="0"/>
        <v>714</v>
      </c>
      <c r="F34" s="11">
        <f t="shared" si="1"/>
        <v>1</v>
      </c>
      <c r="G34" s="11">
        <f t="shared" ref="G34:G195" si="4">B34*(E34-F34)</f>
        <v>20249200000</v>
      </c>
      <c r="L34" s="83" t="s">
        <v>4964</v>
      </c>
      <c r="M34" t="s">
        <v>4965</v>
      </c>
      <c r="N34" t="s">
        <v>4963</v>
      </c>
      <c r="O34">
        <v>1198011980</v>
      </c>
      <c r="W34" s="25"/>
    </row>
    <row r="35" spans="1:23">
      <c r="A35" s="12" t="s">
        <v>472</v>
      </c>
      <c r="B35" s="47">
        <v>11000000</v>
      </c>
      <c r="C35" s="12" t="s">
        <v>474</v>
      </c>
      <c r="D35" s="11">
        <v>15</v>
      </c>
      <c r="E35" s="11">
        <f t="shared" si="0"/>
        <v>714</v>
      </c>
      <c r="F35" s="11">
        <f t="shared" si="1"/>
        <v>1</v>
      </c>
      <c r="G35" s="12">
        <f t="shared" si="4"/>
        <v>7843000000</v>
      </c>
    </row>
    <row r="36" spans="1:23">
      <c r="A36" s="11" t="s">
        <v>486</v>
      </c>
      <c r="B36" s="3">
        <v>418701</v>
      </c>
      <c r="C36" s="11" t="s">
        <v>487</v>
      </c>
      <c r="D36" s="11">
        <v>0</v>
      </c>
      <c r="E36" s="11">
        <f t="shared" si="0"/>
        <v>699</v>
      </c>
      <c r="F36" s="11">
        <f t="shared" si="1"/>
        <v>1</v>
      </c>
      <c r="G36" s="11">
        <f t="shared" si="4"/>
        <v>292253298</v>
      </c>
    </row>
    <row r="37" spans="1:23">
      <c r="A37" s="11" t="s">
        <v>486</v>
      </c>
      <c r="B37" s="3">
        <v>-900</v>
      </c>
      <c r="C37" s="11" t="s">
        <v>488</v>
      </c>
      <c r="D37" s="11">
        <v>1</v>
      </c>
      <c r="E37" s="11">
        <f t="shared" si="0"/>
        <v>699</v>
      </c>
      <c r="F37" s="11">
        <f t="shared" si="1"/>
        <v>0</v>
      </c>
      <c r="G37" s="11">
        <f t="shared" si="4"/>
        <v>-629100</v>
      </c>
      <c r="J37" s="25"/>
    </row>
    <row r="38" spans="1:23">
      <c r="A38" s="12" t="s">
        <v>492</v>
      </c>
      <c r="B38" s="47">
        <v>2000000</v>
      </c>
      <c r="C38" s="12" t="s">
        <v>493</v>
      </c>
      <c r="D38" s="11">
        <v>0</v>
      </c>
      <c r="E38" s="11">
        <f t="shared" si="0"/>
        <v>698</v>
      </c>
      <c r="F38" s="11">
        <f t="shared" si="1"/>
        <v>1</v>
      </c>
      <c r="G38" s="12">
        <f t="shared" si="4"/>
        <v>1394000000</v>
      </c>
      <c r="J38" s="7"/>
    </row>
    <row r="39" spans="1:23">
      <c r="A39" s="11" t="s">
        <v>492</v>
      </c>
      <c r="B39" s="3">
        <v>2000000</v>
      </c>
      <c r="C39" s="11" t="s">
        <v>494</v>
      </c>
      <c r="D39" s="11">
        <v>14</v>
      </c>
      <c r="E39" s="11">
        <f t="shared" si="0"/>
        <v>698</v>
      </c>
      <c r="F39" s="11">
        <f>IF(B39&gt;0,1,0)</f>
        <v>1</v>
      </c>
      <c r="G39" s="11">
        <f t="shared" si="4"/>
        <v>1394000000</v>
      </c>
      <c r="K39" s="7"/>
    </row>
    <row r="40" spans="1:23">
      <c r="A40" s="11" t="s">
        <v>496</v>
      </c>
      <c r="B40" s="3">
        <v>-200000</v>
      </c>
      <c r="C40" s="11" t="s">
        <v>497</v>
      </c>
      <c r="D40" s="11">
        <v>0</v>
      </c>
      <c r="E40" s="11">
        <f t="shared" si="0"/>
        <v>684</v>
      </c>
      <c r="F40" s="11">
        <f>IF(B40&gt;0,1,0)</f>
        <v>0</v>
      </c>
      <c r="G40" s="11">
        <f t="shared" si="4"/>
        <v>-136800000</v>
      </c>
    </row>
    <row r="41" spans="1:23">
      <c r="A41" s="11" t="s">
        <v>496</v>
      </c>
      <c r="B41" s="3">
        <v>-620000</v>
      </c>
      <c r="C41" s="11" t="s">
        <v>498</v>
      </c>
      <c r="D41" s="11">
        <v>0</v>
      </c>
      <c r="E41" s="11">
        <f t="shared" si="0"/>
        <v>684</v>
      </c>
      <c r="F41" s="11">
        <f>IF(B41&gt;0,1,0)</f>
        <v>0</v>
      </c>
      <c r="G41" s="11">
        <f t="shared" si="4"/>
        <v>-424080000</v>
      </c>
    </row>
    <row r="42" spans="1:23">
      <c r="A42" s="11" t="s">
        <v>496</v>
      </c>
      <c r="B42" s="3">
        <v>-120000</v>
      </c>
      <c r="C42" s="11" t="s">
        <v>499</v>
      </c>
      <c r="D42" s="11">
        <v>2</v>
      </c>
      <c r="E42" s="11">
        <f t="shared" si="0"/>
        <v>684</v>
      </c>
      <c r="F42" s="11">
        <f t="shared" ref="F42:F195" si="5">IF(B42&gt;0,1,0)</f>
        <v>0</v>
      </c>
      <c r="G42" s="11">
        <f t="shared" si="4"/>
        <v>-82080000</v>
      </c>
      <c r="J42" s="7"/>
    </row>
    <row r="43" spans="1:23">
      <c r="A43" s="11" t="s">
        <v>500</v>
      </c>
      <c r="B43" s="3">
        <v>650000</v>
      </c>
      <c r="C43" s="11" t="s">
        <v>501</v>
      </c>
      <c r="D43" s="11">
        <v>0</v>
      </c>
      <c r="E43" s="11">
        <f t="shared" si="0"/>
        <v>682</v>
      </c>
      <c r="F43" s="11">
        <f t="shared" si="5"/>
        <v>1</v>
      </c>
      <c r="G43" s="11">
        <f t="shared" si="4"/>
        <v>442650000</v>
      </c>
    </row>
    <row r="44" spans="1:23">
      <c r="A44" s="11" t="s">
        <v>500</v>
      </c>
      <c r="B44" s="3">
        <v>-5000</v>
      </c>
      <c r="C44" s="11" t="s">
        <v>26</v>
      </c>
      <c r="D44" s="11">
        <v>0</v>
      </c>
      <c r="E44" s="11">
        <f t="shared" si="0"/>
        <v>682</v>
      </c>
      <c r="F44" s="11">
        <f t="shared" si="5"/>
        <v>0</v>
      </c>
      <c r="G44" s="11">
        <f t="shared" si="4"/>
        <v>-3410000</v>
      </c>
    </row>
    <row r="45" spans="1:23">
      <c r="A45" s="11" t="s">
        <v>500</v>
      </c>
      <c r="B45" s="3">
        <v>29000000</v>
      </c>
      <c r="C45" s="11" t="s">
        <v>502</v>
      </c>
      <c r="D45" s="11">
        <v>4</v>
      </c>
      <c r="E45" s="11">
        <f t="shared" si="0"/>
        <v>682</v>
      </c>
      <c r="F45" s="11">
        <f t="shared" si="5"/>
        <v>1</v>
      </c>
      <c r="G45" s="11">
        <f t="shared" si="4"/>
        <v>19749000000</v>
      </c>
    </row>
    <row r="46" spans="1:23">
      <c r="A46" s="11" t="s">
        <v>509</v>
      </c>
      <c r="B46" s="3">
        <v>-200000</v>
      </c>
      <c r="C46" s="11" t="s">
        <v>514</v>
      </c>
      <c r="D46" s="11">
        <v>3</v>
      </c>
      <c r="E46" s="11">
        <f t="shared" si="0"/>
        <v>678</v>
      </c>
      <c r="F46" s="11">
        <f t="shared" si="5"/>
        <v>0</v>
      </c>
      <c r="G46" s="11">
        <f t="shared" si="4"/>
        <v>-135600000</v>
      </c>
    </row>
    <row r="47" spans="1:23">
      <c r="A47" s="11" t="s">
        <v>515</v>
      </c>
      <c r="B47" s="3">
        <v>-200000</v>
      </c>
      <c r="C47" s="11" t="s">
        <v>517</v>
      </c>
      <c r="D47" s="11">
        <v>1</v>
      </c>
      <c r="E47" s="11">
        <f t="shared" si="0"/>
        <v>675</v>
      </c>
      <c r="F47" s="11">
        <f t="shared" si="5"/>
        <v>0</v>
      </c>
      <c r="G47" s="11">
        <f t="shared" si="4"/>
        <v>-135000000</v>
      </c>
    </row>
    <row r="48" spans="1:23">
      <c r="A48" s="11" t="s">
        <v>516</v>
      </c>
      <c r="B48" s="3">
        <v>-200000</v>
      </c>
      <c r="C48" s="11" t="s">
        <v>158</v>
      </c>
      <c r="D48" s="11">
        <v>5</v>
      </c>
      <c r="E48" s="11">
        <f t="shared" si="0"/>
        <v>674</v>
      </c>
      <c r="F48" s="11">
        <f t="shared" si="5"/>
        <v>0</v>
      </c>
      <c r="G48" s="11">
        <f t="shared" si="4"/>
        <v>-134800000</v>
      </c>
    </row>
    <row r="49" spans="1:7">
      <c r="A49" s="11" t="s">
        <v>520</v>
      </c>
      <c r="B49" s="3">
        <v>3000000</v>
      </c>
      <c r="C49" s="11" t="s">
        <v>521</v>
      </c>
      <c r="D49" s="11">
        <v>0</v>
      </c>
      <c r="E49" s="11">
        <f t="shared" si="0"/>
        <v>669</v>
      </c>
      <c r="F49" s="11">
        <f t="shared" si="5"/>
        <v>1</v>
      </c>
      <c r="G49" s="11">
        <f t="shared" si="4"/>
        <v>2004000000</v>
      </c>
    </row>
    <row r="50" spans="1:7">
      <c r="A50" s="12" t="s">
        <v>520</v>
      </c>
      <c r="B50" s="47">
        <v>3000000</v>
      </c>
      <c r="C50" s="12" t="s">
        <v>522</v>
      </c>
      <c r="D50" s="11">
        <v>1</v>
      </c>
      <c r="E50" s="11">
        <f t="shared" si="0"/>
        <v>669</v>
      </c>
      <c r="F50" s="11">
        <f t="shared" si="5"/>
        <v>1</v>
      </c>
      <c r="G50" s="12">
        <f t="shared" si="4"/>
        <v>2004000000</v>
      </c>
    </row>
    <row r="51" spans="1:7">
      <c r="A51" s="11" t="s">
        <v>525</v>
      </c>
      <c r="B51" s="3">
        <v>765797</v>
      </c>
      <c r="C51" s="11" t="s">
        <v>526</v>
      </c>
      <c r="D51" s="11">
        <v>0</v>
      </c>
      <c r="E51" s="11">
        <f t="shared" si="0"/>
        <v>668</v>
      </c>
      <c r="F51" s="11">
        <f t="shared" si="5"/>
        <v>1</v>
      </c>
      <c r="G51" s="11">
        <f t="shared" si="4"/>
        <v>510786599</v>
      </c>
    </row>
    <row r="52" spans="1:7">
      <c r="A52" s="11" t="s">
        <v>525</v>
      </c>
      <c r="B52" s="3">
        <v>-200000</v>
      </c>
      <c r="C52" s="11" t="s">
        <v>158</v>
      </c>
      <c r="D52" s="11">
        <v>7</v>
      </c>
      <c r="E52" s="11">
        <f t="shared" si="0"/>
        <v>668</v>
      </c>
      <c r="F52" s="11">
        <f t="shared" si="5"/>
        <v>0</v>
      </c>
      <c r="G52" s="11">
        <f t="shared" si="4"/>
        <v>-133600000</v>
      </c>
    </row>
    <row r="53" spans="1:7">
      <c r="A53" s="11" t="s">
        <v>537</v>
      </c>
      <c r="B53" s="3">
        <v>-400500</v>
      </c>
      <c r="C53" s="11" t="s">
        <v>538</v>
      </c>
      <c r="D53" s="11">
        <v>9</v>
      </c>
      <c r="E53" s="11">
        <f t="shared" si="0"/>
        <v>661</v>
      </c>
      <c r="F53" s="11">
        <f t="shared" si="5"/>
        <v>0</v>
      </c>
      <c r="G53" s="11">
        <f t="shared" si="4"/>
        <v>-264730500</v>
      </c>
    </row>
    <row r="54" spans="1:7">
      <c r="A54" s="11" t="s">
        <v>549</v>
      </c>
      <c r="B54" s="3">
        <v>-1000396</v>
      </c>
      <c r="C54" s="11" t="s">
        <v>603</v>
      </c>
      <c r="D54" s="11">
        <v>6</v>
      </c>
      <c r="E54" s="11">
        <f t="shared" si="0"/>
        <v>652</v>
      </c>
      <c r="F54" s="11">
        <f t="shared" si="5"/>
        <v>0</v>
      </c>
      <c r="G54" s="11">
        <f t="shared" si="4"/>
        <v>-652258192</v>
      </c>
    </row>
    <row r="55" spans="1:7">
      <c r="A55" s="11" t="s">
        <v>552</v>
      </c>
      <c r="B55" s="3">
        <v>-40000000</v>
      </c>
      <c r="C55" s="11" t="s">
        <v>553</v>
      </c>
      <c r="D55" s="11">
        <v>9</v>
      </c>
      <c r="E55" s="11">
        <f t="shared" si="0"/>
        <v>646</v>
      </c>
      <c r="F55" s="11">
        <f t="shared" si="5"/>
        <v>0</v>
      </c>
      <c r="G55" s="11">
        <f t="shared" si="4"/>
        <v>-25840000000</v>
      </c>
    </row>
    <row r="56" spans="1:7">
      <c r="A56" s="11" t="s">
        <v>558</v>
      </c>
      <c r="B56" s="3">
        <v>865652</v>
      </c>
      <c r="C56" s="11" t="s">
        <v>559</v>
      </c>
      <c r="D56" s="11">
        <v>27</v>
      </c>
      <c r="E56" s="11">
        <f t="shared" si="0"/>
        <v>637</v>
      </c>
      <c r="F56" s="11">
        <f t="shared" si="5"/>
        <v>1</v>
      </c>
      <c r="G56" s="11">
        <f t="shared" si="4"/>
        <v>550554672</v>
      </c>
    </row>
    <row r="57" spans="1:7">
      <c r="A57" s="11" t="s">
        <v>589</v>
      </c>
      <c r="B57" s="3">
        <v>-50200000</v>
      </c>
      <c r="C57" s="11" t="s">
        <v>591</v>
      </c>
      <c r="D57" s="11">
        <v>1</v>
      </c>
      <c r="E57" s="11">
        <f t="shared" si="0"/>
        <v>610</v>
      </c>
      <c r="F57" s="11">
        <f t="shared" si="5"/>
        <v>0</v>
      </c>
      <c r="G57" s="11">
        <f t="shared" si="4"/>
        <v>-30622000000</v>
      </c>
    </row>
    <row r="58" spans="1:7">
      <c r="A58" s="11" t="s">
        <v>595</v>
      </c>
      <c r="B58" s="3">
        <v>-12200500</v>
      </c>
      <c r="C58" s="11" t="s">
        <v>596</v>
      </c>
      <c r="D58" s="11">
        <v>3</v>
      </c>
      <c r="E58" s="11">
        <f t="shared" si="0"/>
        <v>609</v>
      </c>
      <c r="F58" s="11">
        <f t="shared" si="5"/>
        <v>0</v>
      </c>
      <c r="G58" s="11">
        <f t="shared" si="4"/>
        <v>-7430104500</v>
      </c>
    </row>
    <row r="59" spans="1:7">
      <c r="A59" s="11" t="s">
        <v>601</v>
      </c>
      <c r="B59" s="3">
        <v>534906</v>
      </c>
      <c r="C59" s="11" t="s">
        <v>602</v>
      </c>
      <c r="D59" s="11">
        <v>1</v>
      </c>
      <c r="E59" s="11">
        <f t="shared" si="0"/>
        <v>606</v>
      </c>
      <c r="F59" s="11">
        <f t="shared" si="5"/>
        <v>1</v>
      </c>
      <c r="G59" s="11">
        <f t="shared" si="4"/>
        <v>323618130</v>
      </c>
    </row>
    <row r="60" spans="1:7">
      <c r="A60" s="11" t="s">
        <v>610</v>
      </c>
      <c r="B60" s="3">
        <v>-338000</v>
      </c>
      <c r="C60" s="11" t="s">
        <v>612</v>
      </c>
      <c r="D60" s="11">
        <v>2</v>
      </c>
      <c r="E60" s="11">
        <f t="shared" si="0"/>
        <v>605</v>
      </c>
      <c r="F60" s="11">
        <f t="shared" si="5"/>
        <v>0</v>
      </c>
      <c r="G60" s="11">
        <f t="shared" si="4"/>
        <v>-204490000</v>
      </c>
    </row>
    <row r="61" spans="1:7">
      <c r="A61" s="11" t="s">
        <v>613</v>
      </c>
      <c r="B61" s="3">
        <v>-150000</v>
      </c>
      <c r="C61" s="11" t="s">
        <v>614</v>
      </c>
      <c r="D61" s="11">
        <v>4</v>
      </c>
      <c r="E61" s="11">
        <f t="shared" si="0"/>
        <v>603</v>
      </c>
      <c r="F61" s="11">
        <f t="shared" si="5"/>
        <v>0</v>
      </c>
      <c r="G61" s="11">
        <f t="shared" si="4"/>
        <v>-90450000</v>
      </c>
    </row>
    <row r="62" spans="1:7">
      <c r="A62" s="11" t="s">
        <v>618</v>
      </c>
      <c r="B62" s="3">
        <v>-100000</v>
      </c>
      <c r="C62" s="11" t="s">
        <v>26</v>
      </c>
      <c r="D62" s="11">
        <v>4</v>
      </c>
      <c r="E62" s="11">
        <f t="shared" si="0"/>
        <v>599</v>
      </c>
      <c r="F62" s="11">
        <f t="shared" si="5"/>
        <v>0</v>
      </c>
      <c r="G62" s="11">
        <f t="shared" si="4"/>
        <v>-59900000</v>
      </c>
    </row>
    <row r="63" spans="1:7">
      <c r="A63" s="11" t="s">
        <v>620</v>
      </c>
      <c r="B63" s="3">
        <v>-200000</v>
      </c>
      <c r="C63" s="11" t="s">
        <v>158</v>
      </c>
      <c r="D63" s="11">
        <v>0</v>
      </c>
      <c r="E63" s="11">
        <f t="shared" si="0"/>
        <v>595</v>
      </c>
      <c r="F63" s="11">
        <f t="shared" si="5"/>
        <v>0</v>
      </c>
      <c r="G63" s="11">
        <f t="shared" si="4"/>
        <v>-119000000</v>
      </c>
    </row>
    <row r="64" spans="1:7">
      <c r="A64" s="11" t="s">
        <v>71</v>
      </c>
      <c r="B64" s="3">
        <v>-87000</v>
      </c>
      <c r="C64" s="11" t="s">
        <v>621</v>
      </c>
      <c r="D64" s="11">
        <v>4</v>
      </c>
      <c r="E64" s="11">
        <f t="shared" si="0"/>
        <v>595</v>
      </c>
      <c r="F64" s="11">
        <f t="shared" si="5"/>
        <v>0</v>
      </c>
      <c r="G64" s="11">
        <f t="shared" si="4"/>
        <v>-51765000</v>
      </c>
    </row>
    <row r="65" spans="1:10">
      <c r="A65" s="11" t="s">
        <v>626</v>
      </c>
      <c r="B65" s="3">
        <v>-27470</v>
      </c>
      <c r="C65" s="11" t="s">
        <v>627</v>
      </c>
      <c r="D65" s="11">
        <v>1</v>
      </c>
      <c r="E65" s="11">
        <f t="shared" si="0"/>
        <v>591</v>
      </c>
      <c r="F65" s="11">
        <f t="shared" si="5"/>
        <v>0</v>
      </c>
      <c r="G65" s="11">
        <f t="shared" si="4"/>
        <v>-16234770</v>
      </c>
    </row>
    <row r="66" spans="1:10">
      <c r="A66" s="11" t="s">
        <v>630</v>
      </c>
      <c r="B66" s="3">
        <v>-334000</v>
      </c>
      <c r="C66" s="11" t="s">
        <v>631</v>
      </c>
      <c r="D66" s="11">
        <v>5</v>
      </c>
      <c r="E66" s="11">
        <f t="shared" si="0"/>
        <v>590</v>
      </c>
      <c r="F66" s="11">
        <f t="shared" si="5"/>
        <v>0</v>
      </c>
      <c r="G66" s="11">
        <f t="shared" si="4"/>
        <v>-197060000</v>
      </c>
    </row>
    <row r="67" spans="1:10">
      <c r="A67" s="11" t="s">
        <v>634</v>
      </c>
      <c r="B67" s="3">
        <v>-20000</v>
      </c>
      <c r="C67" s="11" t="s">
        <v>635</v>
      </c>
      <c r="D67" s="11">
        <v>1</v>
      </c>
      <c r="E67" s="11">
        <f t="shared" ref="E67:E102" si="6">D67+E68</f>
        <v>585</v>
      </c>
      <c r="F67" s="11">
        <f t="shared" si="5"/>
        <v>0</v>
      </c>
      <c r="G67" s="11">
        <f t="shared" si="4"/>
        <v>-11700000</v>
      </c>
    </row>
    <row r="68" spans="1:10">
      <c r="A68" s="11" t="s">
        <v>633</v>
      </c>
      <c r="B68" s="3">
        <v>-300500</v>
      </c>
      <c r="C68" s="11" t="s">
        <v>636</v>
      </c>
      <c r="D68" s="11">
        <v>0</v>
      </c>
      <c r="E68" s="11">
        <f t="shared" si="6"/>
        <v>584</v>
      </c>
      <c r="F68" s="11">
        <f t="shared" si="5"/>
        <v>0</v>
      </c>
      <c r="G68" s="11">
        <f t="shared" si="4"/>
        <v>-175492000</v>
      </c>
    </row>
    <row r="69" spans="1:10">
      <c r="A69" s="11" t="s">
        <v>633</v>
      </c>
      <c r="B69" s="3">
        <v>-100000</v>
      </c>
      <c r="C69" s="11" t="s">
        <v>637</v>
      </c>
      <c r="D69" s="11">
        <v>5</v>
      </c>
      <c r="E69" s="11">
        <f t="shared" si="6"/>
        <v>584</v>
      </c>
      <c r="F69" s="11">
        <f t="shared" si="5"/>
        <v>0</v>
      </c>
      <c r="G69" s="11">
        <f t="shared" si="4"/>
        <v>-58400000</v>
      </c>
    </row>
    <row r="70" spans="1:10">
      <c r="A70" s="11" t="s">
        <v>640</v>
      </c>
      <c r="B70" s="3">
        <v>-200000</v>
      </c>
      <c r="C70" s="11" t="s">
        <v>26</v>
      </c>
      <c r="D70" s="11">
        <v>4</v>
      </c>
      <c r="E70" s="11">
        <f t="shared" si="6"/>
        <v>579</v>
      </c>
      <c r="F70" s="11">
        <f t="shared" si="5"/>
        <v>0</v>
      </c>
      <c r="G70" s="11">
        <f t="shared" si="4"/>
        <v>-115800000</v>
      </c>
    </row>
    <row r="71" spans="1:10">
      <c r="A71" s="11" t="s">
        <v>604</v>
      </c>
      <c r="B71" s="3">
        <v>15389</v>
      </c>
      <c r="C71" s="11" t="s">
        <v>641</v>
      </c>
      <c r="D71" s="11">
        <v>0</v>
      </c>
      <c r="E71" s="11">
        <f t="shared" si="6"/>
        <v>575</v>
      </c>
      <c r="F71" s="11">
        <f t="shared" si="5"/>
        <v>1</v>
      </c>
      <c r="G71" s="11">
        <f t="shared" si="4"/>
        <v>8833286</v>
      </c>
    </row>
    <row r="72" spans="1:10">
      <c r="A72" s="11" t="s">
        <v>604</v>
      </c>
      <c r="B72" s="3">
        <v>4000000</v>
      </c>
      <c r="C72" s="11" t="s">
        <v>647</v>
      </c>
      <c r="D72" s="11">
        <v>0</v>
      </c>
      <c r="E72" s="11">
        <f t="shared" si="6"/>
        <v>575</v>
      </c>
      <c r="F72" s="11">
        <f t="shared" si="5"/>
        <v>1</v>
      </c>
      <c r="G72" s="11">
        <f t="shared" si="4"/>
        <v>2296000000</v>
      </c>
    </row>
    <row r="73" spans="1:10">
      <c r="A73" s="11" t="s">
        <v>604</v>
      </c>
      <c r="B73" s="3">
        <v>2600000</v>
      </c>
      <c r="C73" s="11" t="s">
        <v>648</v>
      </c>
      <c r="D73" s="11">
        <v>0</v>
      </c>
      <c r="E73" s="11">
        <f t="shared" si="6"/>
        <v>575</v>
      </c>
      <c r="F73" s="11">
        <f t="shared" si="5"/>
        <v>1</v>
      </c>
      <c r="G73" s="11">
        <f t="shared" si="4"/>
        <v>1492400000</v>
      </c>
      <c r="J73" t="s">
        <v>25</v>
      </c>
    </row>
    <row r="74" spans="1:10">
      <c r="A74" s="11" t="s">
        <v>604</v>
      </c>
      <c r="B74" s="3">
        <v>3000000</v>
      </c>
      <c r="C74" s="11" t="s">
        <v>649</v>
      </c>
      <c r="D74" s="11">
        <v>3</v>
      </c>
      <c r="E74" s="11">
        <f t="shared" si="6"/>
        <v>575</v>
      </c>
      <c r="F74" s="11">
        <f t="shared" si="5"/>
        <v>1</v>
      </c>
      <c r="G74" s="11">
        <f t="shared" si="4"/>
        <v>1722000000</v>
      </c>
    </row>
    <row r="75" spans="1:10">
      <c r="A75" s="11" t="s">
        <v>651</v>
      </c>
      <c r="B75" s="3">
        <v>-200000</v>
      </c>
      <c r="C75" s="11" t="s">
        <v>158</v>
      </c>
      <c r="D75" s="11">
        <v>3</v>
      </c>
      <c r="E75" s="11">
        <f t="shared" si="6"/>
        <v>572</v>
      </c>
      <c r="F75" s="11">
        <f t="shared" si="5"/>
        <v>0</v>
      </c>
      <c r="G75" s="11">
        <f t="shared" si="4"/>
        <v>-114400000</v>
      </c>
    </row>
    <row r="76" spans="1:10">
      <c r="A76" s="11" t="s">
        <v>652</v>
      </c>
      <c r="B76" s="3">
        <v>-2000700</v>
      </c>
      <c r="C76" s="11" t="s">
        <v>653</v>
      </c>
      <c r="D76" s="11">
        <v>0</v>
      </c>
      <c r="E76" s="11">
        <f t="shared" si="6"/>
        <v>569</v>
      </c>
      <c r="F76" s="11">
        <f t="shared" si="5"/>
        <v>0</v>
      </c>
      <c r="G76" s="11">
        <f t="shared" si="4"/>
        <v>-1138398300</v>
      </c>
    </row>
    <row r="77" spans="1:10">
      <c r="A77" s="11" t="s">
        <v>652</v>
      </c>
      <c r="B77" s="3">
        <v>-200000</v>
      </c>
      <c r="C77" s="11" t="s">
        <v>158</v>
      </c>
      <c r="D77" s="11">
        <v>4</v>
      </c>
      <c r="E77" s="11">
        <f t="shared" si="6"/>
        <v>569</v>
      </c>
      <c r="F77" s="11">
        <f t="shared" si="5"/>
        <v>0</v>
      </c>
      <c r="G77" s="11">
        <f t="shared" si="4"/>
        <v>-113800000</v>
      </c>
    </row>
    <row r="78" spans="1:10">
      <c r="A78" s="11" t="s">
        <v>656</v>
      </c>
      <c r="B78" s="3">
        <v>2000000</v>
      </c>
      <c r="C78" s="11" t="s">
        <v>657</v>
      </c>
      <c r="D78" s="11">
        <v>8</v>
      </c>
      <c r="E78" s="11">
        <f t="shared" si="6"/>
        <v>565</v>
      </c>
      <c r="F78" s="11">
        <f t="shared" si="5"/>
        <v>1</v>
      </c>
      <c r="G78" s="11">
        <f t="shared" si="4"/>
        <v>1128000000</v>
      </c>
      <c r="J78" t="s">
        <v>25</v>
      </c>
    </row>
    <row r="79" spans="1:10">
      <c r="A79" s="11" t="s">
        <v>658</v>
      </c>
      <c r="B79" s="3">
        <v>-1000500</v>
      </c>
      <c r="C79" s="11" t="s">
        <v>659</v>
      </c>
      <c r="D79" s="11">
        <v>0</v>
      </c>
      <c r="E79" s="11">
        <f t="shared" si="6"/>
        <v>557</v>
      </c>
      <c r="F79" s="11">
        <f t="shared" si="5"/>
        <v>0</v>
      </c>
      <c r="G79" s="11">
        <f t="shared" si="4"/>
        <v>-557278500</v>
      </c>
    </row>
    <row r="80" spans="1:10">
      <c r="A80" s="11" t="s">
        <v>658</v>
      </c>
      <c r="B80" s="3">
        <v>-141950</v>
      </c>
      <c r="C80" s="11" t="s">
        <v>660</v>
      </c>
      <c r="D80" s="11">
        <v>3</v>
      </c>
      <c r="E80" s="11">
        <f t="shared" si="6"/>
        <v>557</v>
      </c>
      <c r="F80" s="11">
        <f t="shared" si="5"/>
        <v>0</v>
      </c>
      <c r="G80" s="11">
        <f t="shared" si="4"/>
        <v>-79066150</v>
      </c>
    </row>
    <row r="81" spans="1:7">
      <c r="A81" s="11" t="s">
        <v>663</v>
      </c>
      <c r="B81" s="3">
        <v>-900500</v>
      </c>
      <c r="C81" s="11" t="s">
        <v>664</v>
      </c>
      <c r="D81" s="11">
        <v>10</v>
      </c>
      <c r="E81" s="11">
        <f t="shared" si="6"/>
        <v>554</v>
      </c>
      <c r="F81" s="11">
        <f t="shared" si="5"/>
        <v>0</v>
      </c>
      <c r="G81" s="11">
        <f t="shared" si="4"/>
        <v>-498877000</v>
      </c>
    </row>
    <row r="82" spans="1:7">
      <c r="A82" s="11" t="s">
        <v>605</v>
      </c>
      <c r="B82" s="3">
        <v>81251</v>
      </c>
      <c r="C82" s="11" t="s">
        <v>667</v>
      </c>
      <c r="D82" s="11">
        <v>22</v>
      </c>
      <c r="E82" s="11">
        <f t="shared" si="6"/>
        <v>544</v>
      </c>
      <c r="F82" s="11">
        <f t="shared" si="5"/>
        <v>1</v>
      </c>
      <c r="G82" s="11">
        <f t="shared" si="4"/>
        <v>44119293</v>
      </c>
    </row>
    <row r="83" spans="1:7">
      <c r="A83" s="11" t="s">
        <v>695</v>
      </c>
      <c r="B83" s="3">
        <v>50000000</v>
      </c>
      <c r="C83" s="11" t="s">
        <v>698</v>
      </c>
      <c r="D83" s="11">
        <v>1</v>
      </c>
      <c r="E83" s="11">
        <f t="shared" si="6"/>
        <v>522</v>
      </c>
      <c r="F83" s="11">
        <f t="shared" si="5"/>
        <v>1</v>
      </c>
      <c r="G83" s="11">
        <f t="shared" si="4"/>
        <v>26050000000</v>
      </c>
    </row>
    <row r="84" spans="1:7">
      <c r="A84" s="11" t="s">
        <v>693</v>
      </c>
      <c r="B84" s="3">
        <v>30000000</v>
      </c>
      <c r="C84" s="11" t="s">
        <v>699</v>
      </c>
      <c r="D84" s="11">
        <v>0</v>
      </c>
      <c r="E84" s="11">
        <f t="shared" si="6"/>
        <v>521</v>
      </c>
      <c r="F84" s="11">
        <f t="shared" si="5"/>
        <v>1</v>
      </c>
      <c r="G84" s="11">
        <f t="shared" si="4"/>
        <v>15600000000</v>
      </c>
    </row>
    <row r="85" spans="1:7">
      <c r="A85" s="11" t="s">
        <v>693</v>
      </c>
      <c r="B85" s="3">
        <v>-72500000</v>
      </c>
      <c r="C85" s="11" t="s">
        <v>700</v>
      </c>
      <c r="D85" s="11">
        <v>1</v>
      </c>
      <c r="E85" s="11">
        <f t="shared" si="6"/>
        <v>521</v>
      </c>
      <c r="F85" s="11">
        <f t="shared" si="5"/>
        <v>0</v>
      </c>
      <c r="G85" s="11">
        <f t="shared" si="4"/>
        <v>-37772500000</v>
      </c>
    </row>
    <row r="86" spans="1:7">
      <c r="A86" s="11" t="s">
        <v>701</v>
      </c>
      <c r="B86" s="3">
        <v>-281000</v>
      </c>
      <c r="C86" s="11" t="s">
        <v>712</v>
      </c>
      <c r="D86" s="11">
        <v>5</v>
      </c>
      <c r="E86" s="11">
        <f t="shared" si="6"/>
        <v>520</v>
      </c>
      <c r="F86" s="11">
        <f t="shared" si="5"/>
        <v>0</v>
      </c>
      <c r="G86" s="11">
        <f t="shared" si="4"/>
        <v>-146120000</v>
      </c>
    </row>
    <row r="87" spans="1:7">
      <c r="A87" s="11" t="s">
        <v>705</v>
      </c>
      <c r="B87" s="3">
        <v>2500000</v>
      </c>
      <c r="C87" s="11" t="s">
        <v>709</v>
      </c>
      <c r="D87" s="11">
        <v>1</v>
      </c>
      <c r="E87" s="11">
        <f t="shared" si="6"/>
        <v>515</v>
      </c>
      <c r="F87" s="11">
        <f t="shared" si="5"/>
        <v>1</v>
      </c>
      <c r="G87" s="11">
        <f t="shared" si="4"/>
        <v>1285000000</v>
      </c>
    </row>
    <row r="88" spans="1:7">
      <c r="A88" s="11" t="s">
        <v>606</v>
      </c>
      <c r="B88" s="3">
        <v>78340</v>
      </c>
      <c r="C88" s="11" t="s">
        <v>710</v>
      </c>
      <c r="D88" s="11">
        <v>5</v>
      </c>
      <c r="E88" s="11">
        <f t="shared" si="6"/>
        <v>514</v>
      </c>
      <c r="F88" s="11">
        <f t="shared" si="5"/>
        <v>1</v>
      </c>
      <c r="G88" s="11">
        <f t="shared" si="4"/>
        <v>40188420</v>
      </c>
    </row>
    <row r="89" spans="1:7">
      <c r="A89" s="11" t="s">
        <v>717</v>
      </c>
      <c r="B89" s="3">
        <v>15000000</v>
      </c>
      <c r="C89" s="11" t="s">
        <v>718</v>
      </c>
      <c r="D89" s="11">
        <v>25</v>
      </c>
      <c r="E89" s="11">
        <f t="shared" si="6"/>
        <v>509</v>
      </c>
      <c r="F89" s="11">
        <f t="shared" si="5"/>
        <v>1</v>
      </c>
      <c r="G89" s="11">
        <f t="shared" si="4"/>
        <v>7620000000</v>
      </c>
    </row>
    <row r="90" spans="1:7">
      <c r="A90" s="11" t="s">
        <v>607</v>
      </c>
      <c r="B90" s="3">
        <v>244846</v>
      </c>
      <c r="C90" s="11" t="s">
        <v>745</v>
      </c>
      <c r="D90" s="11">
        <v>29</v>
      </c>
      <c r="E90" s="11">
        <f t="shared" si="6"/>
        <v>484</v>
      </c>
      <c r="F90" s="11">
        <f t="shared" si="5"/>
        <v>1</v>
      </c>
      <c r="G90" s="11">
        <f t="shared" si="4"/>
        <v>118260618</v>
      </c>
    </row>
    <row r="91" spans="1:7">
      <c r="A91" s="11" t="s">
        <v>775</v>
      </c>
      <c r="B91" s="3">
        <v>272155</v>
      </c>
      <c r="C91" s="11" t="s">
        <v>777</v>
      </c>
      <c r="D91" s="11">
        <v>30</v>
      </c>
      <c r="E91" s="11">
        <f t="shared" si="6"/>
        <v>455</v>
      </c>
      <c r="F91" s="11">
        <f t="shared" si="5"/>
        <v>1</v>
      </c>
      <c r="G91" s="11">
        <f t="shared" si="4"/>
        <v>123558370</v>
      </c>
    </row>
    <row r="92" spans="1:7">
      <c r="A92" s="11" t="s">
        <v>814</v>
      </c>
      <c r="B92" s="3">
        <v>3000000</v>
      </c>
      <c r="C92" s="11" t="s">
        <v>815</v>
      </c>
      <c r="D92" s="11">
        <v>0</v>
      </c>
      <c r="E92" s="11">
        <f t="shared" si="6"/>
        <v>425</v>
      </c>
      <c r="F92" s="11">
        <f t="shared" si="5"/>
        <v>1</v>
      </c>
      <c r="G92" s="11">
        <f t="shared" si="4"/>
        <v>1272000000</v>
      </c>
    </row>
    <row r="93" spans="1:7">
      <c r="A93" s="11" t="s">
        <v>814</v>
      </c>
      <c r="B93" s="31">
        <v>274385</v>
      </c>
      <c r="C93" s="11" t="s">
        <v>264</v>
      </c>
      <c r="D93" s="11">
        <v>1</v>
      </c>
      <c r="E93" s="11">
        <f t="shared" si="6"/>
        <v>425</v>
      </c>
      <c r="F93" s="11">
        <f t="shared" si="5"/>
        <v>1</v>
      </c>
      <c r="G93" s="11">
        <f t="shared" si="4"/>
        <v>116339240</v>
      </c>
    </row>
    <row r="94" spans="1:7">
      <c r="A94" s="11" t="s">
        <v>822</v>
      </c>
      <c r="B94" s="3">
        <v>5500000</v>
      </c>
      <c r="C94" s="11" t="s">
        <v>823</v>
      </c>
      <c r="D94" s="11">
        <v>1</v>
      </c>
      <c r="E94" s="11">
        <f t="shared" si="6"/>
        <v>424</v>
      </c>
      <c r="F94" s="11">
        <f t="shared" si="5"/>
        <v>1</v>
      </c>
      <c r="G94" s="11">
        <f t="shared" si="4"/>
        <v>2326500000</v>
      </c>
    </row>
    <row r="95" spans="1:7">
      <c r="A95" s="11" t="s">
        <v>824</v>
      </c>
      <c r="B95" s="3">
        <v>3000000</v>
      </c>
      <c r="C95" s="11" t="s">
        <v>825</v>
      </c>
      <c r="D95" s="11">
        <v>1</v>
      </c>
      <c r="E95" s="11">
        <f t="shared" si="6"/>
        <v>423</v>
      </c>
      <c r="F95" s="11">
        <f t="shared" si="5"/>
        <v>1</v>
      </c>
      <c r="G95" s="11">
        <f t="shared" si="4"/>
        <v>1266000000</v>
      </c>
    </row>
    <row r="96" spans="1:7">
      <c r="A96" s="11" t="s">
        <v>826</v>
      </c>
      <c r="B96" s="3">
        <v>3000000</v>
      </c>
      <c r="C96" s="11" t="s">
        <v>827</v>
      </c>
      <c r="D96" s="11">
        <v>1</v>
      </c>
      <c r="E96" s="11">
        <f t="shared" si="6"/>
        <v>422</v>
      </c>
      <c r="F96" s="11">
        <f t="shared" si="5"/>
        <v>1</v>
      </c>
      <c r="G96" s="11">
        <f t="shared" si="4"/>
        <v>1263000000</v>
      </c>
    </row>
    <row r="97" spans="1:7">
      <c r="A97" s="11" t="s">
        <v>828</v>
      </c>
      <c r="B97" s="3">
        <v>3000000</v>
      </c>
      <c r="C97" s="11" t="s">
        <v>829</v>
      </c>
      <c r="D97" s="11">
        <v>1</v>
      </c>
      <c r="E97" s="11">
        <f t="shared" si="6"/>
        <v>421</v>
      </c>
      <c r="F97" s="11">
        <f t="shared" si="5"/>
        <v>1</v>
      </c>
      <c r="G97" s="11">
        <f t="shared" si="4"/>
        <v>1260000000</v>
      </c>
    </row>
    <row r="98" spans="1:7">
      <c r="A98" s="11" t="s">
        <v>830</v>
      </c>
      <c r="B98" s="3">
        <v>3000000</v>
      </c>
      <c r="C98" s="11" t="s">
        <v>831</v>
      </c>
      <c r="D98" s="11">
        <v>1</v>
      </c>
      <c r="E98" s="11">
        <f t="shared" si="6"/>
        <v>420</v>
      </c>
      <c r="F98" s="11">
        <f t="shared" si="5"/>
        <v>1</v>
      </c>
      <c r="G98" s="11">
        <f t="shared" si="4"/>
        <v>1257000000</v>
      </c>
    </row>
    <row r="99" spans="1:7">
      <c r="A99" s="11" t="s">
        <v>832</v>
      </c>
      <c r="B99" s="3">
        <v>3000000</v>
      </c>
      <c r="C99" s="11" t="s">
        <v>833</v>
      </c>
      <c r="D99" s="11">
        <v>2</v>
      </c>
      <c r="E99" s="11">
        <f t="shared" si="6"/>
        <v>419</v>
      </c>
      <c r="F99" s="11">
        <f t="shared" si="5"/>
        <v>1</v>
      </c>
      <c r="G99" s="11">
        <f t="shared" si="4"/>
        <v>1254000000</v>
      </c>
    </row>
    <row r="100" spans="1:7">
      <c r="A100" s="11" t="s">
        <v>834</v>
      </c>
      <c r="B100" s="3">
        <v>999500</v>
      </c>
      <c r="C100" s="11" t="s">
        <v>848</v>
      </c>
      <c r="D100" s="11">
        <v>1</v>
      </c>
      <c r="E100" s="11">
        <f t="shared" si="6"/>
        <v>417</v>
      </c>
      <c r="F100" s="11">
        <f t="shared" si="5"/>
        <v>1</v>
      </c>
      <c r="G100" s="11">
        <f t="shared" si="4"/>
        <v>415792000</v>
      </c>
    </row>
    <row r="101" spans="1:7" ht="30">
      <c r="A101" s="11" t="s">
        <v>847</v>
      </c>
      <c r="B101" s="3">
        <v>-1986700</v>
      </c>
      <c r="C101" s="60" t="s">
        <v>849</v>
      </c>
      <c r="D101" s="11">
        <v>21</v>
      </c>
      <c r="E101" s="11">
        <f t="shared" si="6"/>
        <v>416</v>
      </c>
      <c r="F101" s="11">
        <f t="shared" si="5"/>
        <v>0</v>
      </c>
      <c r="G101" s="11">
        <f t="shared" si="4"/>
        <v>-826467200</v>
      </c>
    </row>
    <row r="102" spans="1:7" ht="30">
      <c r="A102" s="11" t="s">
        <v>850</v>
      </c>
      <c r="B102" s="3">
        <v>3000000</v>
      </c>
      <c r="C102" s="60" t="s">
        <v>851</v>
      </c>
      <c r="D102" s="11">
        <v>0</v>
      </c>
      <c r="E102" s="11">
        <f t="shared" si="6"/>
        <v>395</v>
      </c>
      <c r="F102" s="11">
        <f t="shared" si="5"/>
        <v>1</v>
      </c>
      <c r="G102" s="11">
        <f t="shared" si="4"/>
        <v>1182000000</v>
      </c>
    </row>
    <row r="103" spans="1:7">
      <c r="A103" s="11" t="s">
        <v>975</v>
      </c>
      <c r="B103" s="3">
        <v>295500</v>
      </c>
      <c r="C103" s="60" t="s">
        <v>976</v>
      </c>
      <c r="D103" s="11">
        <v>15</v>
      </c>
      <c r="E103" s="11">
        <f>D103+E106</f>
        <v>395</v>
      </c>
      <c r="F103" s="11">
        <f t="shared" si="5"/>
        <v>1</v>
      </c>
      <c r="G103" s="11">
        <f t="shared" si="4"/>
        <v>116427000</v>
      </c>
    </row>
    <row r="104" spans="1:7">
      <c r="A104" s="124" t="s">
        <v>25</v>
      </c>
      <c r="B104" s="125"/>
      <c r="C104" s="126"/>
      <c r="D104" s="124"/>
      <c r="E104" s="124"/>
      <c r="F104" s="124"/>
      <c r="G104" s="124"/>
    </row>
    <row r="105" spans="1:7">
      <c r="A105" s="11" t="s">
        <v>3922</v>
      </c>
      <c r="B105" s="3">
        <f>SUM(B2:B103)</f>
        <v>59475793</v>
      </c>
      <c r="C105" s="60" t="s">
        <v>3921</v>
      </c>
      <c r="D105" s="11">
        <v>1</v>
      </c>
      <c r="E105" s="11">
        <f>D105+E106</f>
        <v>381</v>
      </c>
      <c r="F105" s="11">
        <f t="shared" si="5"/>
        <v>1</v>
      </c>
      <c r="G105" s="11">
        <f t="shared" si="4"/>
        <v>22600801340</v>
      </c>
    </row>
    <row r="106" spans="1:7">
      <c r="A106" s="11" t="s">
        <v>875</v>
      </c>
      <c r="B106" s="3">
        <v>-10000</v>
      </c>
      <c r="C106" s="60" t="s">
        <v>881</v>
      </c>
      <c r="D106" s="11">
        <v>6</v>
      </c>
      <c r="E106" s="11">
        <f t="shared" ref="E106:E169" si="7">D106+E107</f>
        <v>380</v>
      </c>
      <c r="F106" s="11">
        <f t="shared" si="5"/>
        <v>0</v>
      </c>
      <c r="G106" s="11">
        <f t="shared" si="4"/>
        <v>-3800000</v>
      </c>
    </row>
    <row r="107" spans="1:7">
      <c r="A107" s="11" t="s">
        <v>883</v>
      </c>
      <c r="B107" s="3">
        <v>1999000</v>
      </c>
      <c r="C107" s="60" t="s">
        <v>884</v>
      </c>
      <c r="D107" s="11">
        <v>5</v>
      </c>
      <c r="E107" s="11">
        <f t="shared" si="7"/>
        <v>374</v>
      </c>
      <c r="F107" s="11">
        <f t="shared" si="5"/>
        <v>1</v>
      </c>
      <c r="G107" s="11">
        <f t="shared" si="4"/>
        <v>745627000</v>
      </c>
    </row>
    <row r="108" spans="1:7">
      <c r="A108" s="11" t="s">
        <v>897</v>
      </c>
      <c r="B108" s="3">
        <v>-60000000</v>
      </c>
      <c r="C108" s="60" t="s">
        <v>972</v>
      </c>
      <c r="D108" s="11">
        <v>0</v>
      </c>
      <c r="E108" s="11">
        <f t="shared" si="7"/>
        <v>369</v>
      </c>
      <c r="F108" s="11">
        <f t="shared" si="5"/>
        <v>0</v>
      </c>
      <c r="G108" s="11">
        <f t="shared" si="4"/>
        <v>-22140000000</v>
      </c>
    </row>
    <row r="109" spans="1:7">
      <c r="A109" s="11" t="s">
        <v>897</v>
      </c>
      <c r="B109" s="3">
        <v>5850000</v>
      </c>
      <c r="C109" s="60" t="s">
        <v>974</v>
      </c>
      <c r="D109" s="11">
        <v>1</v>
      </c>
      <c r="E109" s="11">
        <f t="shared" si="7"/>
        <v>369</v>
      </c>
      <c r="F109" s="11">
        <f t="shared" si="5"/>
        <v>1</v>
      </c>
      <c r="G109" s="11">
        <f t="shared" si="4"/>
        <v>2152800000</v>
      </c>
    </row>
    <row r="110" spans="1:7">
      <c r="A110" s="11" t="s">
        <v>980</v>
      </c>
      <c r="B110" s="3">
        <v>3000000</v>
      </c>
      <c r="C110" s="60" t="s">
        <v>990</v>
      </c>
      <c r="D110" s="11">
        <v>1</v>
      </c>
      <c r="E110" s="11">
        <f t="shared" si="7"/>
        <v>368</v>
      </c>
      <c r="F110" s="11">
        <f t="shared" si="5"/>
        <v>1</v>
      </c>
      <c r="G110" s="11">
        <f t="shared" si="4"/>
        <v>1101000000</v>
      </c>
    </row>
    <row r="111" spans="1:7">
      <c r="A111" s="11" t="s">
        <v>991</v>
      </c>
      <c r="B111" s="3">
        <v>2000000</v>
      </c>
      <c r="C111" s="60" t="s">
        <v>990</v>
      </c>
      <c r="D111" s="11">
        <v>0</v>
      </c>
      <c r="E111" s="11">
        <f t="shared" si="7"/>
        <v>367</v>
      </c>
      <c r="F111" s="11">
        <f t="shared" si="5"/>
        <v>1</v>
      </c>
      <c r="G111" s="11">
        <f t="shared" si="4"/>
        <v>732000000</v>
      </c>
    </row>
    <row r="112" spans="1:7">
      <c r="A112" s="11" t="s">
        <v>991</v>
      </c>
      <c r="B112" s="3">
        <v>-5000000</v>
      </c>
      <c r="C112" s="60" t="s">
        <v>972</v>
      </c>
      <c r="D112" s="11">
        <v>1</v>
      </c>
      <c r="E112" s="11">
        <f t="shared" si="7"/>
        <v>367</v>
      </c>
      <c r="F112" s="11">
        <f t="shared" si="5"/>
        <v>0</v>
      </c>
      <c r="G112" s="11">
        <f t="shared" si="4"/>
        <v>-1835000000</v>
      </c>
    </row>
    <row r="113" spans="1:7">
      <c r="A113" s="11" t="s">
        <v>997</v>
      </c>
      <c r="B113" s="3">
        <v>412668</v>
      </c>
      <c r="C113" s="60" t="s">
        <v>998</v>
      </c>
      <c r="D113" s="11">
        <v>8</v>
      </c>
      <c r="E113" s="11">
        <f t="shared" si="7"/>
        <v>366</v>
      </c>
      <c r="F113" s="11">
        <f t="shared" si="5"/>
        <v>1</v>
      </c>
      <c r="G113" s="11">
        <f t="shared" si="4"/>
        <v>150623820</v>
      </c>
    </row>
    <row r="114" spans="1:7">
      <c r="A114" s="11" t="s">
        <v>1036</v>
      </c>
      <c r="B114" s="3">
        <v>42000000</v>
      </c>
      <c r="C114" s="60" t="s">
        <v>1037</v>
      </c>
      <c r="D114" s="11">
        <v>7</v>
      </c>
      <c r="E114" s="11">
        <f t="shared" si="7"/>
        <v>358</v>
      </c>
      <c r="F114" s="11">
        <f t="shared" si="5"/>
        <v>1</v>
      </c>
      <c r="G114" s="11">
        <f t="shared" si="4"/>
        <v>14994000000</v>
      </c>
    </row>
    <row r="115" spans="1:7">
      <c r="A115" s="11" t="s">
        <v>1040</v>
      </c>
      <c r="B115" s="3">
        <v>-25000000</v>
      </c>
      <c r="C115" s="60" t="s">
        <v>1044</v>
      </c>
      <c r="D115" s="11">
        <v>1</v>
      </c>
      <c r="E115" s="11">
        <f t="shared" si="7"/>
        <v>351</v>
      </c>
      <c r="F115" s="11">
        <f t="shared" si="5"/>
        <v>0</v>
      </c>
      <c r="G115" s="11">
        <f t="shared" si="4"/>
        <v>-8775000000</v>
      </c>
    </row>
    <row r="116" spans="1:7">
      <c r="A116" s="11" t="s">
        <v>1041</v>
      </c>
      <c r="B116" s="3">
        <v>-200000</v>
      </c>
      <c r="C116" s="60" t="s">
        <v>1063</v>
      </c>
      <c r="D116" s="11">
        <v>2</v>
      </c>
      <c r="E116" s="11">
        <f t="shared" si="7"/>
        <v>350</v>
      </c>
      <c r="F116" s="11">
        <f t="shared" si="5"/>
        <v>0</v>
      </c>
      <c r="G116" s="11">
        <f t="shared" si="4"/>
        <v>-70000000</v>
      </c>
    </row>
    <row r="117" spans="1:7">
      <c r="A117" s="11" t="s">
        <v>1070</v>
      </c>
      <c r="B117" s="3">
        <v>-18000000</v>
      </c>
      <c r="C117" s="60" t="s">
        <v>1071</v>
      </c>
      <c r="D117" s="11">
        <v>1</v>
      </c>
      <c r="E117" s="11">
        <f t="shared" si="7"/>
        <v>348</v>
      </c>
      <c r="F117" s="11">
        <f t="shared" si="5"/>
        <v>0</v>
      </c>
      <c r="G117" s="11">
        <f t="shared" si="4"/>
        <v>-6264000000</v>
      </c>
    </row>
    <row r="118" spans="1:7">
      <c r="A118" s="11" t="s">
        <v>1072</v>
      </c>
      <c r="B118" s="3">
        <v>-2500000</v>
      </c>
      <c r="C118" s="60" t="s">
        <v>1071</v>
      </c>
      <c r="D118" s="11">
        <v>10</v>
      </c>
      <c r="E118" s="11">
        <f t="shared" si="7"/>
        <v>347</v>
      </c>
      <c r="F118" s="11">
        <f t="shared" si="5"/>
        <v>0</v>
      </c>
      <c r="G118" s="11">
        <f t="shared" si="4"/>
        <v>-867500000</v>
      </c>
    </row>
    <row r="119" spans="1:7">
      <c r="A119" s="11" t="s">
        <v>1105</v>
      </c>
      <c r="B119" s="3">
        <v>595000</v>
      </c>
      <c r="C119" s="60" t="s">
        <v>990</v>
      </c>
      <c r="D119" s="11">
        <v>2</v>
      </c>
      <c r="E119" s="11">
        <f t="shared" si="7"/>
        <v>337</v>
      </c>
      <c r="F119" s="11">
        <f t="shared" si="5"/>
        <v>1</v>
      </c>
      <c r="G119" s="11">
        <f t="shared" si="4"/>
        <v>199920000</v>
      </c>
    </row>
    <row r="120" spans="1:7">
      <c r="A120" s="11" t="s">
        <v>1107</v>
      </c>
      <c r="B120" s="3">
        <v>137334</v>
      </c>
      <c r="C120" s="60" t="s">
        <v>487</v>
      </c>
      <c r="D120" s="11">
        <v>2</v>
      </c>
      <c r="E120" s="11">
        <f t="shared" si="7"/>
        <v>335</v>
      </c>
      <c r="F120" s="11">
        <f t="shared" si="5"/>
        <v>1</v>
      </c>
      <c r="G120" s="11">
        <f t="shared" si="4"/>
        <v>45869556</v>
      </c>
    </row>
    <row r="121" spans="1:7">
      <c r="A121" s="11" t="s">
        <v>1110</v>
      </c>
      <c r="B121" s="3">
        <v>-3200900</v>
      </c>
      <c r="C121" s="60" t="s">
        <v>1111</v>
      </c>
      <c r="D121" s="11">
        <v>1</v>
      </c>
      <c r="E121" s="11">
        <f t="shared" si="7"/>
        <v>333</v>
      </c>
      <c r="F121" s="11">
        <f t="shared" si="5"/>
        <v>0</v>
      </c>
      <c r="G121" s="11">
        <f t="shared" si="4"/>
        <v>-1065899700</v>
      </c>
    </row>
    <row r="122" spans="1:7">
      <c r="A122" s="11" t="s">
        <v>1118</v>
      </c>
      <c r="B122" s="3">
        <v>16276000</v>
      </c>
      <c r="C122" s="60" t="s">
        <v>1120</v>
      </c>
      <c r="D122" s="11">
        <v>3</v>
      </c>
      <c r="E122" s="11">
        <f t="shared" si="7"/>
        <v>332</v>
      </c>
      <c r="F122" s="11">
        <f t="shared" si="5"/>
        <v>1</v>
      </c>
      <c r="G122" s="11">
        <f t="shared" si="4"/>
        <v>5387356000</v>
      </c>
    </row>
    <row r="123" spans="1:7">
      <c r="A123" s="11" t="s">
        <v>1129</v>
      </c>
      <c r="B123" s="3">
        <v>3000000</v>
      </c>
      <c r="C123" s="60" t="s">
        <v>699</v>
      </c>
      <c r="D123" s="11">
        <v>0</v>
      </c>
      <c r="E123" s="11">
        <f t="shared" si="7"/>
        <v>329</v>
      </c>
      <c r="F123" s="11">
        <f t="shared" si="5"/>
        <v>1</v>
      </c>
      <c r="G123" s="11">
        <f t="shared" si="4"/>
        <v>984000000</v>
      </c>
    </row>
    <row r="124" spans="1:7">
      <c r="A124" s="11" t="s">
        <v>1129</v>
      </c>
      <c r="B124" s="3">
        <v>2020000</v>
      </c>
      <c r="C124" s="60" t="s">
        <v>1133</v>
      </c>
      <c r="D124" s="11">
        <v>0</v>
      </c>
      <c r="E124" s="11">
        <f t="shared" si="7"/>
        <v>329</v>
      </c>
      <c r="F124" s="11">
        <f t="shared" si="5"/>
        <v>1</v>
      </c>
      <c r="G124" s="11">
        <f t="shared" si="4"/>
        <v>662560000</v>
      </c>
    </row>
    <row r="125" spans="1:7">
      <c r="A125" s="11" t="s">
        <v>1129</v>
      </c>
      <c r="B125" s="3">
        <v>4975000</v>
      </c>
      <c r="C125" s="60" t="s">
        <v>1130</v>
      </c>
      <c r="D125" s="11">
        <v>1</v>
      </c>
      <c r="E125" s="11">
        <f t="shared" si="7"/>
        <v>329</v>
      </c>
      <c r="F125" s="11">
        <f t="shared" si="5"/>
        <v>1</v>
      </c>
      <c r="G125" s="11">
        <f t="shared" si="4"/>
        <v>1631800000</v>
      </c>
    </row>
    <row r="126" spans="1:7">
      <c r="A126" s="11" t="s">
        <v>1143</v>
      </c>
      <c r="B126" s="3">
        <v>-18500000</v>
      </c>
      <c r="C126" s="60" t="s">
        <v>1071</v>
      </c>
      <c r="D126" s="11">
        <v>0</v>
      </c>
      <c r="E126" s="11">
        <f t="shared" si="7"/>
        <v>328</v>
      </c>
      <c r="F126" s="11">
        <f t="shared" si="5"/>
        <v>0</v>
      </c>
      <c r="G126" s="11">
        <f t="shared" si="4"/>
        <v>-6068000000</v>
      </c>
    </row>
    <row r="127" spans="1:7">
      <c r="A127" s="11" t="s">
        <v>1143</v>
      </c>
      <c r="B127" s="3">
        <v>3000000</v>
      </c>
      <c r="C127" s="60" t="s">
        <v>1149</v>
      </c>
      <c r="D127" s="11">
        <v>0</v>
      </c>
      <c r="E127" s="11">
        <f t="shared" si="7"/>
        <v>328</v>
      </c>
      <c r="F127" s="11">
        <f t="shared" si="5"/>
        <v>1</v>
      </c>
      <c r="G127" s="11">
        <f t="shared" si="4"/>
        <v>981000000</v>
      </c>
    </row>
    <row r="128" spans="1:7">
      <c r="A128" s="11" t="s">
        <v>1143</v>
      </c>
      <c r="B128" s="3">
        <v>-3000900</v>
      </c>
      <c r="C128" s="60" t="s">
        <v>1155</v>
      </c>
      <c r="D128" s="11">
        <v>1</v>
      </c>
      <c r="E128" s="11">
        <f t="shared" si="7"/>
        <v>328</v>
      </c>
      <c r="F128" s="11">
        <f t="shared" si="5"/>
        <v>0</v>
      </c>
      <c r="G128" s="11">
        <f t="shared" si="4"/>
        <v>-984295200</v>
      </c>
    </row>
    <row r="129" spans="1:10">
      <c r="A129" s="11" t="s">
        <v>1152</v>
      </c>
      <c r="B129" s="3">
        <v>900000</v>
      </c>
      <c r="C129" s="60" t="s">
        <v>1154</v>
      </c>
      <c r="D129" s="11">
        <v>0</v>
      </c>
      <c r="E129" s="11">
        <f t="shared" si="7"/>
        <v>327</v>
      </c>
      <c r="F129" s="11">
        <f t="shared" si="5"/>
        <v>1</v>
      </c>
      <c r="G129" s="11">
        <f t="shared" si="4"/>
        <v>293400000</v>
      </c>
    </row>
    <row r="130" spans="1:10">
      <c r="A130" s="11" t="s">
        <v>1152</v>
      </c>
      <c r="B130" s="3">
        <v>-3000900</v>
      </c>
      <c r="C130" s="60" t="s">
        <v>1155</v>
      </c>
      <c r="D130" s="11">
        <v>1</v>
      </c>
      <c r="E130" s="11">
        <f t="shared" si="7"/>
        <v>327</v>
      </c>
      <c r="F130" s="11">
        <f t="shared" si="5"/>
        <v>0</v>
      </c>
      <c r="G130" s="11">
        <f t="shared" si="4"/>
        <v>-981294300</v>
      </c>
    </row>
    <row r="131" spans="1:10">
      <c r="A131" s="11" t="s">
        <v>1159</v>
      </c>
      <c r="B131" s="3">
        <v>-3000900</v>
      </c>
      <c r="C131" s="60" t="s">
        <v>1167</v>
      </c>
      <c r="D131" s="11">
        <v>2</v>
      </c>
      <c r="E131" s="11">
        <f t="shared" si="7"/>
        <v>326</v>
      </c>
      <c r="F131" s="11">
        <f t="shared" si="5"/>
        <v>0</v>
      </c>
      <c r="G131" s="11">
        <f t="shared" si="4"/>
        <v>-978293400</v>
      </c>
    </row>
    <row r="132" spans="1:10">
      <c r="A132" s="11" t="s">
        <v>1168</v>
      </c>
      <c r="B132" s="3">
        <v>-1000500</v>
      </c>
      <c r="C132" s="60" t="s">
        <v>1167</v>
      </c>
      <c r="D132" s="11">
        <v>0</v>
      </c>
      <c r="E132" s="11">
        <f t="shared" si="7"/>
        <v>324</v>
      </c>
      <c r="F132" s="11">
        <f t="shared" si="5"/>
        <v>0</v>
      </c>
      <c r="G132" s="11">
        <f t="shared" si="4"/>
        <v>-324162000</v>
      </c>
    </row>
    <row r="133" spans="1:10">
      <c r="A133" s="11" t="s">
        <v>1168</v>
      </c>
      <c r="B133" s="3">
        <v>100000</v>
      </c>
      <c r="C133" s="60" t="s">
        <v>1169</v>
      </c>
      <c r="D133" s="11">
        <v>2</v>
      </c>
      <c r="E133" s="11">
        <f t="shared" si="7"/>
        <v>324</v>
      </c>
      <c r="F133" s="11">
        <f t="shared" si="5"/>
        <v>1</v>
      </c>
      <c r="G133" s="11">
        <f t="shared" si="4"/>
        <v>32300000</v>
      </c>
    </row>
    <row r="134" spans="1:10">
      <c r="A134" s="11" t="s">
        <v>1171</v>
      </c>
      <c r="B134" s="3">
        <v>-200000</v>
      </c>
      <c r="C134" s="60" t="s">
        <v>1172</v>
      </c>
      <c r="D134" s="11">
        <v>1</v>
      </c>
      <c r="E134" s="11">
        <f t="shared" si="7"/>
        <v>322</v>
      </c>
      <c r="F134" s="11">
        <f t="shared" si="5"/>
        <v>0</v>
      </c>
      <c r="G134" s="11">
        <f t="shared" si="4"/>
        <v>-64400000</v>
      </c>
    </row>
    <row r="135" spans="1:10">
      <c r="A135" s="11" t="s">
        <v>1175</v>
      </c>
      <c r="B135" s="3">
        <v>-2200000</v>
      </c>
      <c r="C135" s="60" t="s">
        <v>1179</v>
      </c>
      <c r="D135" s="11">
        <v>3</v>
      </c>
      <c r="E135" s="11">
        <f t="shared" si="7"/>
        <v>321</v>
      </c>
      <c r="F135" s="11">
        <f t="shared" si="5"/>
        <v>0</v>
      </c>
      <c r="G135" s="11">
        <f t="shared" si="4"/>
        <v>-706200000</v>
      </c>
    </row>
    <row r="136" spans="1:10">
      <c r="A136" s="11" t="s">
        <v>1185</v>
      </c>
      <c r="B136" s="3">
        <v>-905500</v>
      </c>
      <c r="C136" s="60" t="s">
        <v>1186</v>
      </c>
      <c r="D136" s="11">
        <v>3</v>
      </c>
      <c r="E136" s="11">
        <f t="shared" si="7"/>
        <v>318</v>
      </c>
      <c r="F136" s="11">
        <f t="shared" si="5"/>
        <v>0</v>
      </c>
      <c r="G136" s="11">
        <f t="shared" si="4"/>
        <v>-287949000</v>
      </c>
    </row>
    <row r="137" spans="1:10">
      <c r="A137" s="11" t="s">
        <v>1195</v>
      </c>
      <c r="B137" s="3">
        <v>1500000</v>
      </c>
      <c r="C137" s="60" t="s">
        <v>1196</v>
      </c>
      <c r="D137" s="11">
        <v>1</v>
      </c>
      <c r="E137" s="11">
        <f t="shared" si="7"/>
        <v>315</v>
      </c>
      <c r="F137" s="11">
        <f t="shared" si="5"/>
        <v>1</v>
      </c>
      <c r="G137" s="11">
        <f t="shared" si="4"/>
        <v>471000000</v>
      </c>
    </row>
    <row r="138" spans="1:10">
      <c r="A138" s="11" t="s">
        <v>3619</v>
      </c>
      <c r="B138" s="3">
        <v>-1000500</v>
      </c>
      <c r="C138" s="60" t="s">
        <v>1182</v>
      </c>
      <c r="D138" s="11">
        <v>0</v>
      </c>
      <c r="E138" s="11">
        <f t="shared" si="7"/>
        <v>314</v>
      </c>
      <c r="F138" s="11">
        <f t="shared" si="5"/>
        <v>0</v>
      </c>
      <c r="G138" s="11">
        <f t="shared" si="4"/>
        <v>-314157000</v>
      </c>
    </row>
    <row r="139" spans="1:10">
      <c r="A139" s="11" t="s">
        <v>3619</v>
      </c>
      <c r="B139" s="3">
        <v>-365000</v>
      </c>
      <c r="C139" s="60" t="s">
        <v>3621</v>
      </c>
      <c r="D139" s="11">
        <v>2</v>
      </c>
      <c r="E139" s="11">
        <f t="shared" si="7"/>
        <v>314</v>
      </c>
      <c r="F139" s="11">
        <f t="shared" si="5"/>
        <v>0</v>
      </c>
      <c r="G139" s="11">
        <f t="shared" si="4"/>
        <v>-114610000</v>
      </c>
    </row>
    <row r="140" spans="1:10">
      <c r="A140" s="11" t="s">
        <v>3624</v>
      </c>
      <c r="B140" s="3">
        <v>23000000</v>
      </c>
      <c r="C140" s="60" t="s">
        <v>3625</v>
      </c>
      <c r="D140" s="11">
        <v>1</v>
      </c>
      <c r="E140" s="11">
        <f t="shared" si="7"/>
        <v>312</v>
      </c>
      <c r="F140" s="11">
        <f t="shared" si="5"/>
        <v>1</v>
      </c>
      <c r="G140" s="11">
        <f t="shared" si="4"/>
        <v>7153000000</v>
      </c>
      <c r="J140" t="s">
        <v>25</v>
      </c>
    </row>
    <row r="141" spans="1:10">
      <c r="A141" s="11" t="s">
        <v>3627</v>
      </c>
      <c r="B141" s="3">
        <v>1800000</v>
      </c>
      <c r="C141" s="60" t="s">
        <v>3625</v>
      </c>
      <c r="D141" s="11">
        <v>2</v>
      </c>
      <c r="E141" s="11">
        <f t="shared" si="7"/>
        <v>311</v>
      </c>
      <c r="F141" s="11">
        <f t="shared" si="5"/>
        <v>1</v>
      </c>
      <c r="G141" s="11">
        <f t="shared" si="4"/>
        <v>558000000</v>
      </c>
    </row>
    <row r="142" spans="1:10">
      <c r="A142" s="11" t="s">
        <v>3640</v>
      </c>
      <c r="B142" s="3">
        <v>200000</v>
      </c>
      <c r="C142" s="60" t="s">
        <v>3625</v>
      </c>
      <c r="D142" s="11"/>
      <c r="E142" s="11">
        <f t="shared" si="7"/>
        <v>309</v>
      </c>
      <c r="F142" s="11">
        <f t="shared" si="5"/>
        <v>1</v>
      </c>
      <c r="G142" s="11">
        <f t="shared" si="4"/>
        <v>61600000</v>
      </c>
    </row>
    <row r="143" spans="1:10">
      <c r="A143" s="11" t="s">
        <v>3628</v>
      </c>
      <c r="B143" s="3">
        <v>-3200900</v>
      </c>
      <c r="C143" s="60" t="s">
        <v>3629</v>
      </c>
      <c r="D143" s="11">
        <v>1</v>
      </c>
      <c r="E143" s="11">
        <f t="shared" si="7"/>
        <v>309</v>
      </c>
      <c r="F143" s="11">
        <f t="shared" si="5"/>
        <v>0</v>
      </c>
      <c r="G143" s="11">
        <f t="shared" si="4"/>
        <v>-989078100</v>
      </c>
    </row>
    <row r="144" spans="1:10">
      <c r="A144" s="11" t="s">
        <v>3632</v>
      </c>
      <c r="B144" s="3">
        <v>-3020900</v>
      </c>
      <c r="C144" s="60" t="s">
        <v>3633</v>
      </c>
      <c r="D144" s="11">
        <v>1</v>
      </c>
      <c r="E144" s="11">
        <f t="shared" si="7"/>
        <v>308</v>
      </c>
      <c r="F144" s="11">
        <f t="shared" si="5"/>
        <v>0</v>
      </c>
      <c r="G144" s="11">
        <f t="shared" si="4"/>
        <v>-930437200</v>
      </c>
    </row>
    <row r="145" spans="1:10">
      <c r="A145" s="11" t="s">
        <v>3634</v>
      </c>
      <c r="B145" s="3">
        <v>72533</v>
      </c>
      <c r="C145" s="60" t="s">
        <v>3637</v>
      </c>
      <c r="D145" s="11">
        <v>3</v>
      </c>
      <c r="E145" s="11">
        <f t="shared" si="7"/>
        <v>307</v>
      </c>
      <c r="F145" s="11">
        <f t="shared" si="5"/>
        <v>1</v>
      </c>
      <c r="G145" s="11">
        <f t="shared" si="4"/>
        <v>22195098</v>
      </c>
    </row>
    <row r="146" spans="1:10">
      <c r="A146" s="11" t="s">
        <v>3641</v>
      </c>
      <c r="B146" s="3">
        <v>-3000900</v>
      </c>
      <c r="C146" s="60" t="s">
        <v>1167</v>
      </c>
      <c r="D146" s="11">
        <v>1</v>
      </c>
      <c r="E146" s="11">
        <f t="shared" si="7"/>
        <v>304</v>
      </c>
      <c r="F146" s="11">
        <f t="shared" si="5"/>
        <v>0</v>
      </c>
      <c r="G146" s="11">
        <f t="shared" si="4"/>
        <v>-912273600</v>
      </c>
    </row>
    <row r="147" spans="1:10">
      <c r="A147" s="11" t="s">
        <v>3657</v>
      </c>
      <c r="B147" s="3">
        <v>-3001400</v>
      </c>
      <c r="C147" s="60" t="s">
        <v>3659</v>
      </c>
      <c r="D147" s="11">
        <v>0</v>
      </c>
      <c r="E147" s="11">
        <f t="shared" si="7"/>
        <v>303</v>
      </c>
      <c r="F147" s="11">
        <f t="shared" si="5"/>
        <v>0</v>
      </c>
      <c r="G147" s="11">
        <f t="shared" si="4"/>
        <v>-909424200</v>
      </c>
    </row>
    <row r="148" spans="1:10">
      <c r="A148" s="11" t="s">
        <v>3657</v>
      </c>
      <c r="B148" s="3">
        <v>-216910</v>
      </c>
      <c r="C148" s="60" t="s">
        <v>3662</v>
      </c>
      <c r="D148" s="11">
        <v>1</v>
      </c>
      <c r="E148" s="11">
        <f t="shared" si="7"/>
        <v>303</v>
      </c>
      <c r="F148" s="11">
        <f t="shared" si="5"/>
        <v>0</v>
      </c>
      <c r="G148" s="11">
        <f t="shared" si="4"/>
        <v>-65723730</v>
      </c>
    </row>
    <row r="149" spans="1:10">
      <c r="A149" s="11" t="s">
        <v>3663</v>
      </c>
      <c r="B149" s="3">
        <v>-3000900</v>
      </c>
      <c r="C149" s="60" t="s">
        <v>442</v>
      </c>
      <c r="D149" s="11">
        <v>1</v>
      </c>
      <c r="E149" s="11">
        <f t="shared" si="7"/>
        <v>302</v>
      </c>
      <c r="F149" s="11">
        <f t="shared" si="5"/>
        <v>0</v>
      </c>
      <c r="G149" s="11">
        <f t="shared" si="4"/>
        <v>-906271800</v>
      </c>
    </row>
    <row r="150" spans="1:10">
      <c r="A150" s="11" t="s">
        <v>3676</v>
      </c>
      <c r="B150" s="3">
        <v>5900000</v>
      </c>
      <c r="C150" s="60" t="s">
        <v>3677</v>
      </c>
      <c r="D150" s="11">
        <v>13</v>
      </c>
      <c r="E150" s="11">
        <f t="shared" si="7"/>
        <v>301</v>
      </c>
      <c r="F150" s="11">
        <f t="shared" si="5"/>
        <v>1</v>
      </c>
      <c r="G150" s="11">
        <f t="shared" si="4"/>
        <v>1770000000</v>
      </c>
      <c r="J150" t="s">
        <v>25</v>
      </c>
    </row>
    <row r="151" spans="1:10">
      <c r="A151" s="11" t="s">
        <v>3730</v>
      </c>
      <c r="B151" s="3">
        <v>17000000</v>
      </c>
      <c r="C151" s="60" t="s">
        <v>3731</v>
      </c>
      <c r="D151" s="11">
        <v>0</v>
      </c>
      <c r="E151" s="11">
        <f t="shared" si="7"/>
        <v>288</v>
      </c>
      <c r="F151" s="11">
        <f t="shared" si="5"/>
        <v>1</v>
      </c>
      <c r="G151" s="11">
        <f t="shared" si="4"/>
        <v>4879000000</v>
      </c>
    </row>
    <row r="152" spans="1:10">
      <c r="A152" s="11" t="s">
        <v>3730</v>
      </c>
      <c r="B152" s="3">
        <v>-1000</v>
      </c>
      <c r="C152" s="60" t="s">
        <v>3732</v>
      </c>
      <c r="D152" s="11">
        <v>1</v>
      </c>
      <c r="E152" s="11">
        <f t="shared" si="7"/>
        <v>288</v>
      </c>
      <c r="F152" s="11">
        <f t="shared" si="5"/>
        <v>0</v>
      </c>
      <c r="G152" s="11">
        <f t="shared" si="4"/>
        <v>-288000</v>
      </c>
    </row>
    <row r="153" spans="1:10">
      <c r="A153" s="11" t="s">
        <v>3734</v>
      </c>
      <c r="B153" s="3">
        <v>3000000</v>
      </c>
      <c r="C153" s="60" t="s">
        <v>3737</v>
      </c>
      <c r="D153" s="11">
        <v>0</v>
      </c>
      <c r="E153" s="11">
        <f t="shared" si="7"/>
        <v>287</v>
      </c>
      <c r="F153" s="11">
        <f t="shared" si="5"/>
        <v>1</v>
      </c>
      <c r="G153" s="11">
        <f t="shared" si="4"/>
        <v>858000000</v>
      </c>
    </row>
    <row r="154" spans="1:10">
      <c r="A154" s="11" t="s">
        <v>3734</v>
      </c>
      <c r="B154" s="3">
        <v>-18011000</v>
      </c>
      <c r="C154" s="60" t="s">
        <v>3739</v>
      </c>
      <c r="D154" s="11">
        <v>0</v>
      </c>
      <c r="E154" s="11">
        <f t="shared" si="7"/>
        <v>287</v>
      </c>
      <c r="F154" s="11">
        <f t="shared" si="5"/>
        <v>0</v>
      </c>
      <c r="G154" s="11">
        <f t="shared" si="4"/>
        <v>-5169157000</v>
      </c>
    </row>
    <row r="155" spans="1:10">
      <c r="A155" s="11" t="s">
        <v>3734</v>
      </c>
      <c r="B155" s="3">
        <v>-15600000</v>
      </c>
      <c r="C155" s="60" t="s">
        <v>3738</v>
      </c>
      <c r="D155" s="11">
        <v>0</v>
      </c>
      <c r="E155" s="11">
        <f t="shared" si="7"/>
        <v>287</v>
      </c>
      <c r="F155" s="11">
        <f t="shared" si="5"/>
        <v>0</v>
      </c>
      <c r="G155" s="11">
        <f t="shared" si="4"/>
        <v>-4477200000</v>
      </c>
    </row>
    <row r="156" spans="1:10">
      <c r="A156" s="11" t="s">
        <v>3734</v>
      </c>
      <c r="B156" s="3">
        <v>-1400500</v>
      </c>
      <c r="C156" s="60" t="s">
        <v>3740</v>
      </c>
      <c r="D156" s="11">
        <v>0</v>
      </c>
      <c r="E156" s="11">
        <f t="shared" si="7"/>
        <v>287</v>
      </c>
      <c r="F156" s="11">
        <f t="shared" si="5"/>
        <v>0</v>
      </c>
      <c r="G156" s="11">
        <f t="shared" si="4"/>
        <v>-401943500</v>
      </c>
    </row>
    <row r="157" spans="1:10">
      <c r="A157" s="11" t="s">
        <v>3734</v>
      </c>
      <c r="B157" s="3">
        <v>-5000</v>
      </c>
      <c r="C157" s="60" t="s">
        <v>479</v>
      </c>
      <c r="D157" s="11">
        <v>5</v>
      </c>
      <c r="E157" s="11">
        <f t="shared" si="7"/>
        <v>287</v>
      </c>
      <c r="F157" s="11">
        <f t="shared" si="5"/>
        <v>0</v>
      </c>
      <c r="G157" s="11">
        <f t="shared" si="4"/>
        <v>-1435000</v>
      </c>
    </row>
    <row r="158" spans="1:10">
      <c r="A158" s="11" t="s">
        <v>3742</v>
      </c>
      <c r="B158" s="3">
        <v>3000000</v>
      </c>
      <c r="C158" s="60" t="s">
        <v>3743</v>
      </c>
      <c r="D158" s="11">
        <v>1</v>
      </c>
      <c r="E158" s="11">
        <f t="shared" si="7"/>
        <v>282</v>
      </c>
      <c r="F158" s="11">
        <f t="shared" si="5"/>
        <v>1</v>
      </c>
      <c r="G158" s="11">
        <f t="shared" si="4"/>
        <v>843000000</v>
      </c>
    </row>
    <row r="159" spans="1:10">
      <c r="A159" s="11" t="s">
        <v>3749</v>
      </c>
      <c r="B159" s="3">
        <v>1000000</v>
      </c>
      <c r="C159" s="60" t="s">
        <v>3625</v>
      </c>
      <c r="D159" s="11">
        <v>1</v>
      </c>
      <c r="E159" s="11">
        <f t="shared" si="7"/>
        <v>281</v>
      </c>
      <c r="F159" s="11">
        <f t="shared" si="5"/>
        <v>1</v>
      </c>
      <c r="G159" s="11">
        <f t="shared" si="4"/>
        <v>280000000</v>
      </c>
    </row>
    <row r="160" spans="1:10">
      <c r="A160" s="11" t="s">
        <v>3748</v>
      </c>
      <c r="B160" s="3">
        <v>-4500000</v>
      </c>
      <c r="C160" s="60" t="s">
        <v>3750</v>
      </c>
      <c r="D160" s="11">
        <v>0</v>
      </c>
      <c r="E160" s="11">
        <f t="shared" si="7"/>
        <v>280</v>
      </c>
      <c r="F160" s="11">
        <f t="shared" si="5"/>
        <v>0</v>
      </c>
      <c r="G160" s="11">
        <f t="shared" si="4"/>
        <v>-1260000000</v>
      </c>
    </row>
    <row r="161" spans="1:7">
      <c r="A161" s="11" t="s">
        <v>3748</v>
      </c>
      <c r="B161" s="3">
        <v>3000000</v>
      </c>
      <c r="C161" s="60" t="s">
        <v>3751</v>
      </c>
      <c r="D161" s="11">
        <v>0</v>
      </c>
      <c r="E161" s="11">
        <f t="shared" si="7"/>
        <v>280</v>
      </c>
      <c r="F161" s="11">
        <f t="shared" si="5"/>
        <v>1</v>
      </c>
      <c r="G161" s="11">
        <f t="shared" si="4"/>
        <v>837000000</v>
      </c>
    </row>
    <row r="162" spans="1:7">
      <c r="A162" s="11" t="s">
        <v>3748</v>
      </c>
      <c r="B162" s="3">
        <v>-3000000</v>
      </c>
      <c r="C162" s="60" t="s">
        <v>3750</v>
      </c>
      <c r="D162" s="11">
        <v>1</v>
      </c>
      <c r="E162" s="11">
        <f t="shared" si="7"/>
        <v>280</v>
      </c>
      <c r="F162" s="11">
        <f t="shared" si="5"/>
        <v>0</v>
      </c>
      <c r="G162" s="11">
        <f t="shared" si="4"/>
        <v>-840000000</v>
      </c>
    </row>
    <row r="163" spans="1:7">
      <c r="A163" s="11" t="s">
        <v>3766</v>
      </c>
      <c r="B163" s="3">
        <v>93165</v>
      </c>
      <c r="C163" s="60" t="s">
        <v>559</v>
      </c>
      <c r="D163" s="11">
        <v>6</v>
      </c>
      <c r="E163" s="11">
        <f t="shared" si="7"/>
        <v>279</v>
      </c>
      <c r="F163" s="11">
        <f t="shared" si="5"/>
        <v>1</v>
      </c>
      <c r="G163" s="11">
        <f t="shared" si="4"/>
        <v>25899870</v>
      </c>
    </row>
    <row r="164" spans="1:7">
      <c r="A164" s="33" t="s">
        <v>3763</v>
      </c>
      <c r="B164" s="3">
        <v>1160000</v>
      </c>
      <c r="C164" s="60" t="s">
        <v>3770</v>
      </c>
      <c r="D164" s="11">
        <v>1</v>
      </c>
      <c r="E164" s="11">
        <f t="shared" si="7"/>
        <v>273</v>
      </c>
      <c r="F164" s="11">
        <f t="shared" si="5"/>
        <v>1</v>
      </c>
      <c r="G164" s="11">
        <f t="shared" si="4"/>
        <v>315520000</v>
      </c>
    </row>
    <row r="165" spans="1:7">
      <c r="A165" s="48" t="s">
        <v>3767</v>
      </c>
      <c r="B165" s="3">
        <v>-526350</v>
      </c>
      <c r="C165" s="60" t="s">
        <v>3768</v>
      </c>
      <c r="D165" s="11">
        <v>3</v>
      </c>
      <c r="E165" s="11">
        <f t="shared" si="7"/>
        <v>272</v>
      </c>
      <c r="F165" s="11">
        <f t="shared" si="5"/>
        <v>0</v>
      </c>
      <c r="G165" s="11">
        <f t="shared" si="4"/>
        <v>-143167200</v>
      </c>
    </row>
    <row r="166" spans="1:7">
      <c r="A166" s="48">
        <v>35707</v>
      </c>
      <c r="B166" s="3">
        <v>-200000</v>
      </c>
      <c r="C166" s="60" t="s">
        <v>3841</v>
      </c>
      <c r="D166" s="11">
        <v>2</v>
      </c>
      <c r="E166" s="11">
        <f t="shared" si="7"/>
        <v>269</v>
      </c>
      <c r="F166" s="11">
        <f t="shared" si="5"/>
        <v>0</v>
      </c>
      <c r="G166" s="11">
        <f t="shared" si="4"/>
        <v>-53800000</v>
      </c>
    </row>
    <row r="167" spans="1:7">
      <c r="A167" s="11" t="s">
        <v>3845</v>
      </c>
      <c r="B167" s="3">
        <v>785000</v>
      </c>
      <c r="C167" s="60" t="s">
        <v>3848</v>
      </c>
      <c r="D167" s="11">
        <v>0</v>
      </c>
      <c r="E167" s="11">
        <f t="shared" si="7"/>
        <v>267</v>
      </c>
      <c r="F167" s="11">
        <f t="shared" si="5"/>
        <v>1</v>
      </c>
      <c r="G167" s="11">
        <f t="shared" si="4"/>
        <v>208810000</v>
      </c>
    </row>
    <row r="168" spans="1:7">
      <c r="A168" s="11" t="s">
        <v>3845</v>
      </c>
      <c r="B168" s="3">
        <v>-200000</v>
      </c>
      <c r="C168" s="60" t="s">
        <v>158</v>
      </c>
      <c r="D168" s="11">
        <v>1</v>
      </c>
      <c r="E168" s="11">
        <f t="shared" si="7"/>
        <v>267</v>
      </c>
      <c r="F168" s="11">
        <f t="shared" si="5"/>
        <v>0</v>
      </c>
      <c r="G168" s="11">
        <f t="shared" si="4"/>
        <v>-53400000</v>
      </c>
    </row>
    <row r="169" spans="1:7">
      <c r="A169" s="11" t="s">
        <v>3849</v>
      </c>
      <c r="B169" s="3">
        <v>-450000</v>
      </c>
      <c r="C169" s="60" t="s">
        <v>1071</v>
      </c>
      <c r="D169" s="11">
        <v>0</v>
      </c>
      <c r="E169" s="11">
        <f t="shared" si="7"/>
        <v>266</v>
      </c>
      <c r="F169" s="11">
        <f t="shared" si="5"/>
        <v>0</v>
      </c>
      <c r="G169" s="11">
        <f t="shared" si="4"/>
        <v>-119700000</v>
      </c>
    </row>
    <row r="170" spans="1:7">
      <c r="A170" s="11" t="s">
        <v>3849</v>
      </c>
      <c r="B170" s="3">
        <v>3000000</v>
      </c>
      <c r="C170" s="60" t="s">
        <v>3853</v>
      </c>
      <c r="D170" s="11">
        <v>0</v>
      </c>
      <c r="E170" s="11">
        <f t="shared" ref="E170:E180" si="8">D170+E171</f>
        <v>266</v>
      </c>
      <c r="F170" s="11">
        <f t="shared" si="5"/>
        <v>1</v>
      </c>
      <c r="G170" s="11">
        <f t="shared" si="4"/>
        <v>795000000</v>
      </c>
    </row>
    <row r="171" spans="1:7">
      <c r="A171" s="11" t="s">
        <v>3849</v>
      </c>
      <c r="B171" s="3">
        <v>-35000</v>
      </c>
      <c r="C171" s="60" t="s">
        <v>3856</v>
      </c>
      <c r="D171" s="11">
        <v>1</v>
      </c>
      <c r="E171" s="11">
        <f t="shared" si="8"/>
        <v>266</v>
      </c>
      <c r="F171" s="11">
        <f t="shared" si="5"/>
        <v>0</v>
      </c>
      <c r="G171" s="11">
        <f t="shared" si="4"/>
        <v>-9310000</v>
      </c>
    </row>
    <row r="172" spans="1:7">
      <c r="A172" s="11" t="s">
        <v>3857</v>
      </c>
      <c r="B172" s="3">
        <v>2500000</v>
      </c>
      <c r="C172" s="60" t="s">
        <v>3853</v>
      </c>
      <c r="D172" s="11">
        <v>1</v>
      </c>
      <c r="E172" s="11">
        <f t="shared" si="8"/>
        <v>265</v>
      </c>
      <c r="F172" s="11">
        <f t="shared" si="5"/>
        <v>1</v>
      </c>
      <c r="G172" s="11">
        <f t="shared" si="4"/>
        <v>660000000</v>
      </c>
    </row>
    <row r="173" spans="1:7">
      <c r="A173" s="11" t="s">
        <v>3861</v>
      </c>
      <c r="B173" s="3">
        <v>-130640</v>
      </c>
      <c r="C173" s="60" t="s">
        <v>3862</v>
      </c>
      <c r="D173" s="11">
        <v>5</v>
      </c>
      <c r="E173" s="11">
        <f t="shared" si="8"/>
        <v>264</v>
      </c>
      <c r="F173" s="11">
        <f t="shared" si="5"/>
        <v>0</v>
      </c>
      <c r="G173" s="11">
        <f t="shared" si="4"/>
        <v>-34488960</v>
      </c>
    </row>
    <row r="174" spans="1:7">
      <c r="A174" s="11" t="s">
        <v>3874</v>
      </c>
      <c r="B174" s="3">
        <v>-4800000</v>
      </c>
      <c r="C174" s="60" t="s">
        <v>3875</v>
      </c>
      <c r="D174" s="11">
        <v>0</v>
      </c>
      <c r="E174" s="11">
        <f t="shared" si="8"/>
        <v>259</v>
      </c>
      <c r="F174" s="11">
        <f t="shared" si="5"/>
        <v>0</v>
      </c>
      <c r="G174" s="11">
        <f t="shared" si="4"/>
        <v>-1243200000</v>
      </c>
    </row>
    <row r="175" spans="1:7">
      <c r="A175" s="11" t="s">
        <v>3874</v>
      </c>
      <c r="B175" s="3">
        <v>-320000</v>
      </c>
      <c r="C175" s="60" t="s">
        <v>3876</v>
      </c>
      <c r="D175" s="11">
        <v>0</v>
      </c>
      <c r="E175" s="11">
        <f t="shared" si="8"/>
        <v>259</v>
      </c>
      <c r="F175" s="11">
        <f t="shared" si="5"/>
        <v>0</v>
      </c>
      <c r="G175" s="11">
        <f t="shared" si="4"/>
        <v>-82880000</v>
      </c>
    </row>
    <row r="176" spans="1:7">
      <c r="A176" s="11" t="s">
        <v>3874</v>
      </c>
      <c r="B176" s="3">
        <v>-493437</v>
      </c>
      <c r="C176" s="60" t="s">
        <v>582</v>
      </c>
      <c r="D176" s="11">
        <v>10</v>
      </c>
      <c r="E176" s="11">
        <f t="shared" si="8"/>
        <v>259</v>
      </c>
      <c r="F176" s="11">
        <f t="shared" si="5"/>
        <v>0</v>
      </c>
      <c r="G176" s="11">
        <f t="shared" si="4"/>
        <v>-127800183</v>
      </c>
    </row>
    <row r="177" spans="1:7">
      <c r="A177" s="11" t="s">
        <v>3911</v>
      </c>
      <c r="B177" s="3">
        <v>-80000</v>
      </c>
      <c r="C177" s="60" t="s">
        <v>730</v>
      </c>
      <c r="D177" s="11">
        <v>0</v>
      </c>
      <c r="E177" s="11">
        <f t="shared" si="8"/>
        <v>249</v>
      </c>
      <c r="F177" s="11">
        <f t="shared" si="5"/>
        <v>0</v>
      </c>
      <c r="G177" s="11">
        <f t="shared" si="4"/>
        <v>-19920000</v>
      </c>
    </row>
    <row r="178" spans="1:7">
      <c r="A178" s="11" t="s">
        <v>3911</v>
      </c>
      <c r="B178" s="3">
        <v>-100000</v>
      </c>
      <c r="C178" s="60" t="s">
        <v>3912</v>
      </c>
      <c r="D178" s="11">
        <v>1</v>
      </c>
      <c r="E178" s="11">
        <f t="shared" si="8"/>
        <v>249</v>
      </c>
      <c r="F178" s="11">
        <f t="shared" si="5"/>
        <v>0</v>
      </c>
      <c r="G178" s="11">
        <f t="shared" si="4"/>
        <v>-24900000</v>
      </c>
    </row>
    <row r="179" spans="1:7">
      <c r="A179" s="11" t="s">
        <v>3916</v>
      </c>
      <c r="B179" s="3">
        <v>14371</v>
      </c>
      <c r="C179" s="60" t="s">
        <v>641</v>
      </c>
      <c r="D179" s="11">
        <v>2</v>
      </c>
      <c r="E179" s="11">
        <f t="shared" si="8"/>
        <v>248</v>
      </c>
      <c r="F179" s="11">
        <f t="shared" si="5"/>
        <v>1</v>
      </c>
      <c r="G179" s="11">
        <f t="shared" si="4"/>
        <v>3549637</v>
      </c>
    </row>
    <row r="180" spans="1:7">
      <c r="A180" s="11" t="s">
        <v>3919</v>
      </c>
      <c r="B180" s="3">
        <v>-39030</v>
      </c>
      <c r="C180" s="60" t="s">
        <v>3920</v>
      </c>
      <c r="D180" s="11">
        <v>2</v>
      </c>
      <c r="E180" s="11">
        <f t="shared" si="8"/>
        <v>246</v>
      </c>
      <c r="F180" s="11">
        <f t="shared" si="5"/>
        <v>0</v>
      </c>
      <c r="G180" s="11">
        <f t="shared" si="4"/>
        <v>-9601380</v>
      </c>
    </row>
    <row r="181" spans="1:7">
      <c r="A181" s="11" t="s">
        <v>3925</v>
      </c>
      <c r="B181" s="3">
        <v>-32000</v>
      </c>
      <c r="C181" s="60" t="s">
        <v>3926</v>
      </c>
      <c r="D181" s="11">
        <v>2</v>
      </c>
      <c r="E181" s="11">
        <f t="shared" ref="E181:E195" si="9">D181+E182</f>
        <v>244</v>
      </c>
      <c r="F181" s="11">
        <f t="shared" si="5"/>
        <v>0</v>
      </c>
      <c r="G181" s="11">
        <f t="shared" si="4"/>
        <v>-7808000</v>
      </c>
    </row>
    <row r="182" spans="1:7">
      <c r="A182" s="11" t="s">
        <v>3929</v>
      </c>
      <c r="B182" s="3">
        <v>-100000</v>
      </c>
      <c r="C182" s="60" t="s">
        <v>158</v>
      </c>
      <c r="D182" s="11">
        <v>1</v>
      </c>
      <c r="E182" s="11">
        <f t="shared" si="9"/>
        <v>242</v>
      </c>
      <c r="F182" s="11">
        <f t="shared" si="5"/>
        <v>0</v>
      </c>
      <c r="G182" s="11">
        <f t="shared" si="4"/>
        <v>-24200000</v>
      </c>
    </row>
    <row r="183" spans="1:7">
      <c r="A183" s="11" t="s">
        <v>3931</v>
      </c>
      <c r="B183" s="3">
        <v>-20000</v>
      </c>
      <c r="C183" s="60" t="s">
        <v>3932</v>
      </c>
      <c r="D183" s="11">
        <v>1</v>
      </c>
      <c r="E183" s="11">
        <f t="shared" si="9"/>
        <v>241</v>
      </c>
      <c r="F183" s="11">
        <f t="shared" si="5"/>
        <v>0</v>
      </c>
      <c r="G183" s="11">
        <f t="shared" si="4"/>
        <v>-4820000</v>
      </c>
    </row>
    <row r="184" spans="1:7">
      <c r="A184" s="11" t="s">
        <v>953</v>
      </c>
      <c r="B184" s="3">
        <v>-8185</v>
      </c>
      <c r="C184" s="60" t="s">
        <v>3935</v>
      </c>
      <c r="D184" s="11">
        <v>2</v>
      </c>
      <c r="E184" s="11">
        <f t="shared" si="9"/>
        <v>240</v>
      </c>
      <c r="F184" s="11">
        <f t="shared" si="5"/>
        <v>0</v>
      </c>
      <c r="G184" s="11">
        <f t="shared" si="4"/>
        <v>-1964400</v>
      </c>
    </row>
    <row r="185" spans="1:7">
      <c r="A185" s="11" t="s">
        <v>3939</v>
      </c>
      <c r="B185" s="3">
        <v>-60100</v>
      </c>
      <c r="C185" s="60" t="s">
        <v>3940</v>
      </c>
      <c r="D185" s="11">
        <v>0</v>
      </c>
      <c r="E185" s="11">
        <f t="shared" si="9"/>
        <v>238</v>
      </c>
      <c r="F185" s="11">
        <f t="shared" si="5"/>
        <v>0</v>
      </c>
      <c r="G185" s="11">
        <f t="shared" si="4"/>
        <v>-14303800</v>
      </c>
    </row>
    <row r="186" spans="1:7">
      <c r="A186" s="11" t="s">
        <v>3939</v>
      </c>
      <c r="B186" s="3">
        <v>-32300</v>
      </c>
      <c r="C186" s="60" t="s">
        <v>627</v>
      </c>
      <c r="D186" s="11">
        <v>4</v>
      </c>
      <c r="E186" s="11">
        <f t="shared" si="9"/>
        <v>238</v>
      </c>
      <c r="F186" s="11">
        <f t="shared" si="5"/>
        <v>0</v>
      </c>
      <c r="G186" s="11">
        <f t="shared" si="4"/>
        <v>-7687400</v>
      </c>
    </row>
    <row r="187" spans="1:7">
      <c r="A187" s="11" t="s">
        <v>3955</v>
      </c>
      <c r="B187" s="3">
        <v>-32725</v>
      </c>
      <c r="C187" s="60" t="s">
        <v>627</v>
      </c>
      <c r="D187" s="11">
        <v>5</v>
      </c>
      <c r="E187" s="11">
        <f t="shared" si="9"/>
        <v>234</v>
      </c>
      <c r="F187" s="11">
        <f t="shared" si="5"/>
        <v>0</v>
      </c>
      <c r="G187" s="11">
        <f t="shared" si="4"/>
        <v>-7657650</v>
      </c>
    </row>
    <row r="188" spans="1:7">
      <c r="A188" s="11" t="s">
        <v>3964</v>
      </c>
      <c r="B188" s="3">
        <v>-16000</v>
      </c>
      <c r="C188" s="60" t="s">
        <v>3965</v>
      </c>
      <c r="D188" s="11">
        <v>1</v>
      </c>
      <c r="E188" s="11">
        <f t="shared" si="9"/>
        <v>229</v>
      </c>
      <c r="F188" s="11">
        <f t="shared" si="5"/>
        <v>0</v>
      </c>
      <c r="G188" s="11">
        <f t="shared" si="4"/>
        <v>-3664000</v>
      </c>
    </row>
    <row r="189" spans="1:7">
      <c r="A189" s="11" t="s">
        <v>3967</v>
      </c>
      <c r="B189" s="3">
        <v>-16932</v>
      </c>
      <c r="C189" s="60" t="s">
        <v>627</v>
      </c>
      <c r="D189" s="11">
        <v>3</v>
      </c>
      <c r="E189" s="11">
        <f t="shared" si="9"/>
        <v>228</v>
      </c>
      <c r="F189" s="11">
        <f t="shared" si="5"/>
        <v>0</v>
      </c>
      <c r="G189" s="11">
        <f t="shared" si="4"/>
        <v>-3860496</v>
      </c>
    </row>
    <row r="190" spans="1:7">
      <c r="A190" s="11" t="s">
        <v>3973</v>
      </c>
      <c r="B190" s="3">
        <v>-10350</v>
      </c>
      <c r="C190" s="60" t="s">
        <v>3974</v>
      </c>
      <c r="D190" s="11">
        <v>53</v>
      </c>
      <c r="E190" s="11">
        <f t="shared" si="9"/>
        <v>225</v>
      </c>
      <c r="F190" s="11">
        <f t="shared" si="5"/>
        <v>0</v>
      </c>
      <c r="G190" s="11">
        <f t="shared" si="4"/>
        <v>-2328750</v>
      </c>
    </row>
    <row r="191" spans="1:7">
      <c r="A191" s="11" t="s">
        <v>4196</v>
      </c>
      <c r="B191" s="3">
        <v>-5000</v>
      </c>
      <c r="C191" s="60" t="s">
        <v>4197</v>
      </c>
      <c r="D191" s="11">
        <v>84</v>
      </c>
      <c r="E191" s="11">
        <f t="shared" si="9"/>
        <v>172</v>
      </c>
      <c r="F191" s="11">
        <f t="shared" si="5"/>
        <v>0</v>
      </c>
      <c r="G191" s="11">
        <f t="shared" si="4"/>
        <v>-860000</v>
      </c>
    </row>
    <row r="192" spans="1:7">
      <c r="A192" s="11" t="s">
        <v>4480</v>
      </c>
      <c r="B192" s="3">
        <v>100000</v>
      </c>
      <c r="C192" s="60" t="s">
        <v>3853</v>
      </c>
      <c r="D192" s="11">
        <v>87</v>
      </c>
      <c r="E192" s="11">
        <f t="shared" si="9"/>
        <v>88</v>
      </c>
      <c r="F192" s="11">
        <f t="shared" si="5"/>
        <v>1</v>
      </c>
      <c r="G192" s="11">
        <f t="shared" si="4"/>
        <v>8700000</v>
      </c>
    </row>
    <row r="193" spans="1:7">
      <c r="A193" s="11" t="s">
        <v>4716</v>
      </c>
      <c r="B193" s="3">
        <v>-25000</v>
      </c>
      <c r="C193" s="11" t="s">
        <v>4723</v>
      </c>
      <c r="D193" s="11">
        <v>1</v>
      </c>
      <c r="E193" s="11">
        <f t="shared" si="9"/>
        <v>1</v>
      </c>
      <c r="F193" s="11">
        <f t="shared" si="5"/>
        <v>0</v>
      </c>
      <c r="G193" s="11">
        <f t="shared" si="4"/>
        <v>-25000</v>
      </c>
    </row>
    <row r="194" spans="1:7">
      <c r="A194" s="11"/>
      <c r="B194" s="11"/>
      <c r="C194" s="11"/>
      <c r="D194" s="11">
        <v>0</v>
      </c>
      <c r="E194" s="11">
        <f t="shared" si="9"/>
        <v>0</v>
      </c>
      <c r="F194" s="11">
        <f t="shared" si="5"/>
        <v>0</v>
      </c>
      <c r="G194" s="11">
        <f t="shared" si="4"/>
        <v>0</v>
      </c>
    </row>
    <row r="195" spans="1:7">
      <c r="A195" s="11"/>
      <c r="B195" s="11"/>
      <c r="C195" s="11"/>
      <c r="D195" s="11">
        <v>0</v>
      </c>
      <c r="E195" s="11">
        <f t="shared" si="9"/>
        <v>0</v>
      </c>
      <c r="F195" s="11">
        <f t="shared" si="5"/>
        <v>0</v>
      </c>
      <c r="G195" s="11">
        <f t="shared" si="4"/>
        <v>0</v>
      </c>
    </row>
    <row r="196" spans="1:7">
      <c r="A196" s="11"/>
      <c r="B196" s="26">
        <f>SUM(B2:B195)-B105</f>
        <v>88305</v>
      </c>
      <c r="C196" s="11"/>
      <c r="D196" s="11"/>
      <c r="E196" s="11"/>
      <c r="F196" s="11"/>
      <c r="G196" s="26">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59" t="s">
        <v>817</v>
      </c>
    </row>
    <row r="204" spans="1:7">
      <c r="B204" s="7"/>
    </row>
    <row r="206" spans="1:7">
      <c r="B206" s="7"/>
    </row>
    <row r="207" spans="1:7">
      <c r="G207" t="s">
        <v>548</v>
      </c>
    </row>
    <row r="208" spans="1:7">
      <c r="G208" s="3">
        <v>13400000000</v>
      </c>
    </row>
  </sheetData>
  <hyperlinks>
    <hyperlink ref="K33" r:id="rId1" display="https://tegrahost.com/"/>
    <hyperlink ref="L34" r:id="rId2"/>
  </hyperlinks>
  <pageMargins left="0.7" right="0.7" top="0.75" bottom="0.75" header="0.3" footer="0.3"/>
  <pageSetup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bestFit="1" customWidth="1"/>
    <col min="2" max="2" width="19" customWidth="1"/>
    <col min="3" max="3" width="108.28515625" customWidth="1"/>
    <col min="4" max="4" width="26.42578125" customWidth="1"/>
    <col min="7" max="7" width="74.5703125" customWidth="1"/>
    <col min="8" max="8" width="24" bestFit="1" customWidth="1"/>
    <col min="9" max="9" width="15.140625" bestFit="1" customWidth="1"/>
    <col min="10" max="10" width="12" bestFit="1" customWidth="1"/>
    <col min="11" max="11" width="8" bestFit="1" customWidth="1"/>
    <col min="12" max="12" width="5.28515625" bestFit="1" customWidth="1"/>
    <col min="13" max="13" width="5" bestFit="1" customWidth="1"/>
    <col min="14" max="14" width="8" bestFit="1" customWidth="1"/>
    <col min="15" max="15" width="6" bestFit="1" customWidth="1"/>
    <col min="16" max="16" width="10.7109375" bestFit="1" customWidth="1"/>
    <col min="17" max="17" width="8" bestFit="1" customWidth="1"/>
    <col min="18" max="18" width="10.7109375" bestFit="1" customWidth="1"/>
    <col min="19" max="19" width="60.85546875" customWidth="1"/>
    <col min="20" max="20" width="8" bestFit="1" customWidth="1"/>
    <col min="21" max="21" width="9" bestFit="1" customWidth="1"/>
    <col min="22" max="22" width="31.5703125" bestFit="1" customWidth="1"/>
    <col min="23" max="23" width="8" bestFit="1" customWidth="1"/>
    <col min="24" max="25" width="12" bestFit="1" customWidth="1"/>
    <col min="257" max="257" width="5.5703125" bestFit="1" customWidth="1"/>
    <col min="258" max="258" width="19" customWidth="1"/>
    <col min="259" max="259" width="108.28515625" customWidth="1"/>
    <col min="260" max="260" width="26.42578125" customWidth="1"/>
    <col min="263" max="263" width="74.5703125" customWidth="1"/>
    <col min="264" max="264" width="24" bestFit="1" customWidth="1"/>
    <col min="265" max="266" width="12" bestFit="1" customWidth="1"/>
    <col min="267" max="267" width="8" bestFit="1" customWidth="1"/>
    <col min="268" max="268" width="5.28515625" bestFit="1" customWidth="1"/>
    <col min="269" max="269" width="5" bestFit="1" customWidth="1"/>
    <col min="270" max="270" width="8" bestFit="1" customWidth="1"/>
    <col min="271" max="271" width="6" bestFit="1" customWidth="1"/>
    <col min="272" max="272" width="10.7109375" bestFit="1" customWidth="1"/>
    <col min="273" max="273" width="8" bestFit="1" customWidth="1"/>
    <col min="274" max="274" width="6" bestFit="1" customWidth="1"/>
    <col min="275" max="275" width="10.7109375" bestFit="1" customWidth="1"/>
    <col min="513" max="513" width="5.5703125" bestFit="1" customWidth="1"/>
    <col min="514" max="514" width="19" customWidth="1"/>
    <col min="515" max="515" width="108.28515625" customWidth="1"/>
    <col min="516" max="516" width="26.42578125" customWidth="1"/>
    <col min="519" max="519" width="74.5703125" customWidth="1"/>
    <col min="520" max="520" width="24" bestFit="1" customWidth="1"/>
    <col min="521" max="522" width="12" bestFit="1" customWidth="1"/>
    <col min="523" max="523" width="8" bestFit="1" customWidth="1"/>
    <col min="524" max="524" width="5.28515625" bestFit="1" customWidth="1"/>
    <col min="525" max="525" width="5" bestFit="1" customWidth="1"/>
    <col min="526" max="526" width="8" bestFit="1" customWidth="1"/>
    <col min="527" max="527" width="6" bestFit="1" customWidth="1"/>
    <col min="528" max="528" width="10.7109375" bestFit="1" customWidth="1"/>
    <col min="529" max="529" width="8" bestFit="1" customWidth="1"/>
    <col min="530" max="530" width="6" bestFit="1" customWidth="1"/>
    <col min="531" max="531" width="10.7109375" bestFit="1" customWidth="1"/>
    <col min="769" max="769" width="5.5703125" bestFit="1" customWidth="1"/>
    <col min="770" max="770" width="19" customWidth="1"/>
    <col min="771" max="771" width="108.28515625" customWidth="1"/>
    <col min="772" max="772" width="26.42578125" customWidth="1"/>
    <col min="775" max="775" width="74.5703125" customWidth="1"/>
    <col min="776" max="776" width="24" bestFit="1" customWidth="1"/>
    <col min="777" max="778" width="12" bestFit="1" customWidth="1"/>
    <col min="779" max="779" width="8" bestFit="1" customWidth="1"/>
    <col min="780" max="780" width="5.28515625" bestFit="1" customWidth="1"/>
    <col min="781" max="781" width="5" bestFit="1" customWidth="1"/>
    <col min="782" max="782" width="8" bestFit="1" customWidth="1"/>
    <col min="783" max="783" width="6" bestFit="1" customWidth="1"/>
    <col min="784" max="784" width="10.7109375" bestFit="1" customWidth="1"/>
    <col min="785" max="785" width="8" bestFit="1" customWidth="1"/>
    <col min="786" max="786" width="6" bestFit="1" customWidth="1"/>
    <col min="787" max="787" width="10.7109375" bestFit="1" customWidth="1"/>
    <col min="1025" max="1025" width="5.5703125" bestFit="1" customWidth="1"/>
    <col min="1026" max="1026" width="19" customWidth="1"/>
    <col min="1027" max="1027" width="108.28515625" customWidth="1"/>
    <col min="1028" max="1028" width="26.42578125" customWidth="1"/>
    <col min="1031" max="1031" width="74.5703125" customWidth="1"/>
    <col min="1032" max="1032" width="24" bestFit="1" customWidth="1"/>
    <col min="1033" max="1034" width="12" bestFit="1" customWidth="1"/>
    <col min="1035" max="1035" width="8" bestFit="1" customWidth="1"/>
    <col min="1036" max="1036" width="5.28515625" bestFit="1" customWidth="1"/>
    <col min="1037" max="1037" width="5" bestFit="1" customWidth="1"/>
    <col min="1038" max="1038" width="8" bestFit="1" customWidth="1"/>
    <col min="1039" max="1039" width="6" bestFit="1" customWidth="1"/>
    <col min="1040" max="1040" width="10.7109375" bestFit="1" customWidth="1"/>
    <col min="1041" max="1041" width="8" bestFit="1" customWidth="1"/>
    <col min="1042" max="1042" width="6" bestFit="1" customWidth="1"/>
    <col min="1043" max="1043" width="10.7109375" bestFit="1" customWidth="1"/>
    <col min="1281" max="1281" width="5.5703125" bestFit="1" customWidth="1"/>
    <col min="1282" max="1282" width="19" customWidth="1"/>
    <col min="1283" max="1283" width="108.28515625" customWidth="1"/>
    <col min="1284" max="1284" width="26.42578125" customWidth="1"/>
    <col min="1287" max="1287" width="74.5703125" customWidth="1"/>
    <col min="1288" max="1288" width="24" bestFit="1" customWidth="1"/>
    <col min="1289" max="1290" width="12" bestFit="1" customWidth="1"/>
    <col min="1291" max="1291" width="8" bestFit="1" customWidth="1"/>
    <col min="1292" max="1292" width="5.28515625" bestFit="1" customWidth="1"/>
    <col min="1293" max="1293" width="5" bestFit="1" customWidth="1"/>
    <col min="1294" max="1294" width="8" bestFit="1" customWidth="1"/>
    <col min="1295" max="1295" width="6" bestFit="1" customWidth="1"/>
    <col min="1296" max="1296" width="10.7109375" bestFit="1" customWidth="1"/>
    <col min="1297" max="1297" width="8" bestFit="1" customWidth="1"/>
    <col min="1298" max="1298" width="6" bestFit="1" customWidth="1"/>
    <col min="1299" max="1299" width="10.7109375" bestFit="1" customWidth="1"/>
    <col min="1537" max="1537" width="5.5703125" bestFit="1" customWidth="1"/>
    <col min="1538" max="1538" width="19" customWidth="1"/>
    <col min="1539" max="1539" width="108.28515625" customWidth="1"/>
    <col min="1540" max="1540" width="26.42578125" customWidth="1"/>
    <col min="1543" max="1543" width="74.5703125" customWidth="1"/>
    <col min="1544" max="1544" width="24" bestFit="1" customWidth="1"/>
    <col min="1545" max="1546" width="12" bestFit="1" customWidth="1"/>
    <col min="1547" max="1547" width="8" bestFit="1" customWidth="1"/>
    <col min="1548" max="1548" width="5.28515625" bestFit="1" customWidth="1"/>
    <col min="1549" max="1549" width="5" bestFit="1" customWidth="1"/>
    <col min="1550" max="1550" width="8" bestFit="1" customWidth="1"/>
    <col min="1551" max="1551" width="6" bestFit="1" customWidth="1"/>
    <col min="1552" max="1552" width="10.7109375" bestFit="1" customWidth="1"/>
    <col min="1553" max="1553" width="8" bestFit="1" customWidth="1"/>
    <col min="1554" max="1554" width="6" bestFit="1" customWidth="1"/>
    <col min="1555" max="1555" width="10.7109375" bestFit="1" customWidth="1"/>
    <col min="1793" max="1793" width="5.5703125" bestFit="1" customWidth="1"/>
    <col min="1794" max="1794" width="19" customWidth="1"/>
    <col min="1795" max="1795" width="108.28515625" customWidth="1"/>
    <col min="1796" max="1796" width="26.42578125" customWidth="1"/>
    <col min="1799" max="1799" width="74.5703125" customWidth="1"/>
    <col min="1800" max="1800" width="24" bestFit="1" customWidth="1"/>
    <col min="1801" max="1802" width="12" bestFit="1" customWidth="1"/>
    <col min="1803" max="1803" width="8" bestFit="1" customWidth="1"/>
    <col min="1804" max="1804" width="5.28515625" bestFit="1" customWidth="1"/>
    <col min="1805" max="1805" width="5" bestFit="1" customWidth="1"/>
    <col min="1806" max="1806" width="8" bestFit="1" customWidth="1"/>
    <col min="1807" max="1807" width="6" bestFit="1" customWidth="1"/>
    <col min="1808" max="1808" width="10.7109375" bestFit="1" customWidth="1"/>
    <col min="1809" max="1809" width="8" bestFit="1" customWidth="1"/>
    <col min="1810" max="1810" width="6" bestFit="1" customWidth="1"/>
    <col min="1811" max="1811" width="10.7109375" bestFit="1" customWidth="1"/>
    <col min="2049" max="2049" width="5.5703125" bestFit="1" customWidth="1"/>
    <col min="2050" max="2050" width="19" customWidth="1"/>
    <col min="2051" max="2051" width="108.28515625" customWidth="1"/>
    <col min="2052" max="2052" width="26.42578125" customWidth="1"/>
    <col min="2055" max="2055" width="74.5703125" customWidth="1"/>
    <col min="2056" max="2056" width="24" bestFit="1" customWidth="1"/>
    <col min="2057" max="2058" width="12" bestFit="1" customWidth="1"/>
    <col min="2059" max="2059" width="8" bestFit="1" customWidth="1"/>
    <col min="2060" max="2060" width="5.28515625" bestFit="1" customWidth="1"/>
    <col min="2061" max="2061" width="5" bestFit="1" customWidth="1"/>
    <col min="2062" max="2062" width="8" bestFit="1" customWidth="1"/>
    <col min="2063" max="2063" width="6" bestFit="1" customWidth="1"/>
    <col min="2064" max="2064" width="10.7109375" bestFit="1" customWidth="1"/>
    <col min="2065" max="2065" width="8" bestFit="1" customWidth="1"/>
    <col min="2066" max="2066" width="6" bestFit="1" customWidth="1"/>
    <col min="2067" max="2067" width="10.7109375" bestFit="1" customWidth="1"/>
    <col min="2305" max="2305" width="5.5703125" bestFit="1" customWidth="1"/>
    <col min="2306" max="2306" width="19" customWidth="1"/>
    <col min="2307" max="2307" width="108.28515625" customWidth="1"/>
    <col min="2308" max="2308" width="26.42578125" customWidth="1"/>
    <col min="2311" max="2311" width="74.5703125" customWidth="1"/>
    <col min="2312" max="2312" width="24" bestFit="1" customWidth="1"/>
    <col min="2313" max="2314" width="12" bestFit="1" customWidth="1"/>
    <col min="2315" max="2315" width="8" bestFit="1" customWidth="1"/>
    <col min="2316" max="2316" width="5.28515625" bestFit="1" customWidth="1"/>
    <col min="2317" max="2317" width="5" bestFit="1" customWidth="1"/>
    <col min="2318" max="2318" width="8" bestFit="1" customWidth="1"/>
    <col min="2319" max="2319" width="6" bestFit="1" customWidth="1"/>
    <col min="2320" max="2320" width="10.7109375" bestFit="1" customWidth="1"/>
    <col min="2321" max="2321" width="8" bestFit="1" customWidth="1"/>
    <col min="2322" max="2322" width="6" bestFit="1" customWidth="1"/>
    <col min="2323" max="2323" width="10.7109375" bestFit="1" customWidth="1"/>
    <col min="2561" max="2561" width="5.5703125" bestFit="1" customWidth="1"/>
    <col min="2562" max="2562" width="19" customWidth="1"/>
    <col min="2563" max="2563" width="108.28515625" customWidth="1"/>
    <col min="2564" max="2564" width="26.42578125" customWidth="1"/>
    <col min="2567" max="2567" width="74.5703125" customWidth="1"/>
    <col min="2568" max="2568" width="24" bestFit="1" customWidth="1"/>
    <col min="2569" max="2570" width="12" bestFit="1" customWidth="1"/>
    <col min="2571" max="2571" width="8" bestFit="1" customWidth="1"/>
    <col min="2572" max="2572" width="5.28515625" bestFit="1" customWidth="1"/>
    <col min="2573" max="2573" width="5" bestFit="1" customWidth="1"/>
    <col min="2574" max="2574" width="8" bestFit="1" customWidth="1"/>
    <col min="2575" max="2575" width="6" bestFit="1" customWidth="1"/>
    <col min="2576" max="2576" width="10.7109375" bestFit="1" customWidth="1"/>
    <col min="2577" max="2577" width="8" bestFit="1" customWidth="1"/>
    <col min="2578" max="2578" width="6" bestFit="1" customWidth="1"/>
    <col min="2579" max="2579" width="10.7109375" bestFit="1" customWidth="1"/>
    <col min="2817" max="2817" width="5.5703125" bestFit="1" customWidth="1"/>
    <col min="2818" max="2818" width="19" customWidth="1"/>
    <col min="2819" max="2819" width="108.28515625" customWidth="1"/>
    <col min="2820" max="2820" width="26.42578125" customWidth="1"/>
    <col min="2823" max="2823" width="74.5703125" customWidth="1"/>
    <col min="2824" max="2824" width="24" bestFit="1" customWidth="1"/>
    <col min="2825" max="2826" width="12" bestFit="1" customWidth="1"/>
    <col min="2827" max="2827" width="8" bestFit="1" customWidth="1"/>
    <col min="2828" max="2828" width="5.28515625" bestFit="1" customWidth="1"/>
    <col min="2829" max="2829" width="5" bestFit="1" customWidth="1"/>
    <col min="2830" max="2830" width="8" bestFit="1" customWidth="1"/>
    <col min="2831" max="2831" width="6" bestFit="1" customWidth="1"/>
    <col min="2832" max="2832" width="10.7109375" bestFit="1" customWidth="1"/>
    <col min="2833" max="2833" width="8" bestFit="1" customWidth="1"/>
    <col min="2834" max="2834" width="6" bestFit="1" customWidth="1"/>
    <col min="2835" max="2835" width="10.7109375" bestFit="1" customWidth="1"/>
    <col min="3073" max="3073" width="5.5703125" bestFit="1" customWidth="1"/>
    <col min="3074" max="3074" width="19" customWidth="1"/>
    <col min="3075" max="3075" width="108.28515625" customWidth="1"/>
    <col min="3076" max="3076" width="26.42578125" customWidth="1"/>
    <col min="3079" max="3079" width="74.5703125" customWidth="1"/>
    <col min="3080" max="3080" width="24" bestFit="1" customWidth="1"/>
    <col min="3081" max="3082" width="12" bestFit="1" customWidth="1"/>
    <col min="3083" max="3083" width="8" bestFit="1" customWidth="1"/>
    <col min="3084" max="3084" width="5.28515625" bestFit="1" customWidth="1"/>
    <col min="3085" max="3085" width="5" bestFit="1" customWidth="1"/>
    <col min="3086" max="3086" width="8" bestFit="1" customWidth="1"/>
    <col min="3087" max="3087" width="6" bestFit="1" customWidth="1"/>
    <col min="3088" max="3088" width="10.7109375" bestFit="1" customWidth="1"/>
    <col min="3089" max="3089" width="8" bestFit="1" customWidth="1"/>
    <col min="3090" max="3090" width="6" bestFit="1" customWidth="1"/>
    <col min="3091" max="3091" width="10.7109375" bestFit="1" customWidth="1"/>
    <col min="3329" max="3329" width="5.5703125" bestFit="1" customWidth="1"/>
    <col min="3330" max="3330" width="19" customWidth="1"/>
    <col min="3331" max="3331" width="108.28515625" customWidth="1"/>
    <col min="3332" max="3332" width="26.42578125" customWidth="1"/>
    <col min="3335" max="3335" width="74.5703125" customWidth="1"/>
    <col min="3336" max="3336" width="24" bestFit="1" customWidth="1"/>
    <col min="3337" max="3338" width="12" bestFit="1" customWidth="1"/>
    <col min="3339" max="3339" width="8" bestFit="1" customWidth="1"/>
    <col min="3340" max="3340" width="5.28515625" bestFit="1" customWidth="1"/>
    <col min="3341" max="3341" width="5" bestFit="1" customWidth="1"/>
    <col min="3342" max="3342" width="8" bestFit="1" customWidth="1"/>
    <col min="3343" max="3343" width="6" bestFit="1" customWidth="1"/>
    <col min="3344" max="3344" width="10.7109375" bestFit="1" customWidth="1"/>
    <col min="3345" max="3345" width="8" bestFit="1" customWidth="1"/>
    <col min="3346" max="3346" width="6" bestFit="1" customWidth="1"/>
    <col min="3347" max="3347" width="10.7109375" bestFit="1" customWidth="1"/>
    <col min="3585" max="3585" width="5.5703125" bestFit="1" customWidth="1"/>
    <col min="3586" max="3586" width="19" customWidth="1"/>
    <col min="3587" max="3587" width="108.28515625" customWidth="1"/>
    <col min="3588" max="3588" width="26.42578125" customWidth="1"/>
    <col min="3591" max="3591" width="74.5703125" customWidth="1"/>
    <col min="3592" max="3592" width="24" bestFit="1" customWidth="1"/>
    <col min="3593" max="3594" width="12" bestFit="1" customWidth="1"/>
    <col min="3595" max="3595" width="8" bestFit="1" customWidth="1"/>
    <col min="3596" max="3596" width="5.28515625" bestFit="1" customWidth="1"/>
    <col min="3597" max="3597" width="5" bestFit="1" customWidth="1"/>
    <col min="3598" max="3598" width="8" bestFit="1" customWidth="1"/>
    <col min="3599" max="3599" width="6" bestFit="1" customWidth="1"/>
    <col min="3600" max="3600" width="10.7109375" bestFit="1" customWidth="1"/>
    <col min="3601" max="3601" width="8" bestFit="1" customWidth="1"/>
    <col min="3602" max="3602" width="6" bestFit="1" customWidth="1"/>
    <col min="3603" max="3603" width="10.7109375" bestFit="1" customWidth="1"/>
    <col min="3841" max="3841" width="5.5703125" bestFit="1" customWidth="1"/>
    <col min="3842" max="3842" width="19" customWidth="1"/>
    <col min="3843" max="3843" width="108.28515625" customWidth="1"/>
    <col min="3844" max="3844" width="26.42578125" customWidth="1"/>
    <col min="3847" max="3847" width="74.5703125" customWidth="1"/>
    <col min="3848" max="3848" width="24" bestFit="1" customWidth="1"/>
    <col min="3849" max="3850" width="12" bestFit="1" customWidth="1"/>
    <col min="3851" max="3851" width="8" bestFit="1" customWidth="1"/>
    <col min="3852" max="3852" width="5.28515625" bestFit="1" customWidth="1"/>
    <col min="3853" max="3853" width="5" bestFit="1" customWidth="1"/>
    <col min="3854" max="3854" width="8" bestFit="1" customWidth="1"/>
    <col min="3855" max="3855" width="6" bestFit="1" customWidth="1"/>
    <col min="3856" max="3856" width="10.7109375" bestFit="1" customWidth="1"/>
    <col min="3857" max="3857" width="8" bestFit="1" customWidth="1"/>
    <col min="3858" max="3858" width="6" bestFit="1" customWidth="1"/>
    <col min="3859" max="3859" width="10.7109375" bestFit="1" customWidth="1"/>
    <col min="4097" max="4097" width="5.5703125" bestFit="1" customWidth="1"/>
    <col min="4098" max="4098" width="19" customWidth="1"/>
    <col min="4099" max="4099" width="108.28515625" customWidth="1"/>
    <col min="4100" max="4100" width="26.42578125" customWidth="1"/>
    <col min="4103" max="4103" width="74.5703125" customWidth="1"/>
    <col min="4104" max="4104" width="24" bestFit="1" customWidth="1"/>
    <col min="4105" max="4106" width="12" bestFit="1" customWidth="1"/>
    <col min="4107" max="4107" width="8" bestFit="1" customWidth="1"/>
    <col min="4108" max="4108" width="5.28515625" bestFit="1" customWidth="1"/>
    <col min="4109" max="4109" width="5" bestFit="1" customWidth="1"/>
    <col min="4110" max="4110" width="8" bestFit="1" customWidth="1"/>
    <col min="4111" max="4111" width="6" bestFit="1" customWidth="1"/>
    <col min="4112" max="4112" width="10.7109375" bestFit="1" customWidth="1"/>
    <col min="4113" max="4113" width="8" bestFit="1" customWidth="1"/>
    <col min="4114" max="4114" width="6" bestFit="1" customWidth="1"/>
    <col min="4115" max="4115" width="10.7109375" bestFit="1" customWidth="1"/>
    <col min="4353" max="4353" width="5.5703125" bestFit="1" customWidth="1"/>
    <col min="4354" max="4354" width="19" customWidth="1"/>
    <col min="4355" max="4355" width="108.28515625" customWidth="1"/>
    <col min="4356" max="4356" width="26.42578125" customWidth="1"/>
    <col min="4359" max="4359" width="74.5703125" customWidth="1"/>
    <col min="4360" max="4360" width="24" bestFit="1" customWidth="1"/>
    <col min="4361" max="4362" width="12" bestFit="1" customWidth="1"/>
    <col min="4363" max="4363" width="8" bestFit="1" customWidth="1"/>
    <col min="4364" max="4364" width="5.28515625" bestFit="1" customWidth="1"/>
    <col min="4365" max="4365" width="5" bestFit="1" customWidth="1"/>
    <col min="4366" max="4366" width="8" bestFit="1" customWidth="1"/>
    <col min="4367" max="4367" width="6" bestFit="1" customWidth="1"/>
    <col min="4368" max="4368" width="10.7109375" bestFit="1" customWidth="1"/>
    <col min="4369" max="4369" width="8" bestFit="1" customWidth="1"/>
    <col min="4370" max="4370" width="6" bestFit="1" customWidth="1"/>
    <col min="4371" max="4371" width="10.7109375" bestFit="1" customWidth="1"/>
    <col min="4609" max="4609" width="5.5703125" bestFit="1" customWidth="1"/>
    <col min="4610" max="4610" width="19" customWidth="1"/>
    <col min="4611" max="4611" width="108.28515625" customWidth="1"/>
    <col min="4612" max="4612" width="26.42578125" customWidth="1"/>
    <col min="4615" max="4615" width="74.5703125" customWidth="1"/>
    <col min="4616" max="4616" width="24" bestFit="1" customWidth="1"/>
    <col min="4617" max="4618" width="12" bestFit="1" customWidth="1"/>
    <col min="4619" max="4619" width="8" bestFit="1" customWidth="1"/>
    <col min="4620" max="4620" width="5.28515625" bestFit="1" customWidth="1"/>
    <col min="4621" max="4621" width="5" bestFit="1" customWidth="1"/>
    <col min="4622" max="4622" width="8" bestFit="1" customWidth="1"/>
    <col min="4623" max="4623" width="6" bestFit="1" customWidth="1"/>
    <col min="4624" max="4624" width="10.7109375" bestFit="1" customWidth="1"/>
    <col min="4625" max="4625" width="8" bestFit="1" customWidth="1"/>
    <col min="4626" max="4626" width="6" bestFit="1" customWidth="1"/>
    <col min="4627" max="4627" width="10.7109375" bestFit="1" customWidth="1"/>
    <col min="4865" max="4865" width="5.5703125" bestFit="1" customWidth="1"/>
    <col min="4866" max="4866" width="19" customWidth="1"/>
    <col min="4867" max="4867" width="108.28515625" customWidth="1"/>
    <col min="4868" max="4868" width="26.42578125" customWidth="1"/>
    <col min="4871" max="4871" width="74.5703125" customWidth="1"/>
    <col min="4872" max="4872" width="24" bestFit="1" customWidth="1"/>
    <col min="4873" max="4874" width="12" bestFit="1" customWidth="1"/>
    <col min="4875" max="4875" width="8" bestFit="1" customWidth="1"/>
    <col min="4876" max="4876" width="5.28515625" bestFit="1" customWidth="1"/>
    <col min="4877" max="4877" width="5" bestFit="1" customWidth="1"/>
    <col min="4878" max="4878" width="8" bestFit="1" customWidth="1"/>
    <col min="4879" max="4879" width="6" bestFit="1" customWidth="1"/>
    <col min="4880" max="4880" width="10.7109375" bestFit="1" customWidth="1"/>
    <col min="4881" max="4881" width="8" bestFit="1" customWidth="1"/>
    <col min="4882" max="4882" width="6" bestFit="1" customWidth="1"/>
    <col min="4883" max="4883" width="10.7109375" bestFit="1" customWidth="1"/>
    <col min="5121" max="5121" width="5.5703125" bestFit="1" customWidth="1"/>
    <col min="5122" max="5122" width="19" customWidth="1"/>
    <col min="5123" max="5123" width="108.28515625" customWidth="1"/>
    <col min="5124" max="5124" width="26.42578125" customWidth="1"/>
    <col min="5127" max="5127" width="74.5703125" customWidth="1"/>
    <col min="5128" max="5128" width="24" bestFit="1" customWidth="1"/>
    <col min="5129" max="5130" width="12" bestFit="1" customWidth="1"/>
    <col min="5131" max="5131" width="8" bestFit="1" customWidth="1"/>
    <col min="5132" max="5132" width="5.28515625" bestFit="1" customWidth="1"/>
    <col min="5133" max="5133" width="5" bestFit="1" customWidth="1"/>
    <col min="5134" max="5134" width="8" bestFit="1" customWidth="1"/>
    <col min="5135" max="5135" width="6" bestFit="1" customWidth="1"/>
    <col min="5136" max="5136" width="10.7109375" bestFit="1" customWidth="1"/>
    <col min="5137" max="5137" width="8" bestFit="1" customWidth="1"/>
    <col min="5138" max="5138" width="6" bestFit="1" customWidth="1"/>
    <col min="5139" max="5139" width="10.7109375" bestFit="1" customWidth="1"/>
    <col min="5377" max="5377" width="5.5703125" bestFit="1" customWidth="1"/>
    <col min="5378" max="5378" width="19" customWidth="1"/>
    <col min="5379" max="5379" width="108.28515625" customWidth="1"/>
    <col min="5380" max="5380" width="26.42578125" customWidth="1"/>
    <col min="5383" max="5383" width="74.5703125" customWidth="1"/>
    <col min="5384" max="5384" width="24" bestFit="1" customWidth="1"/>
    <col min="5385" max="5386" width="12" bestFit="1" customWidth="1"/>
    <col min="5387" max="5387" width="8" bestFit="1" customWidth="1"/>
    <col min="5388" max="5388" width="5.28515625" bestFit="1" customWidth="1"/>
    <col min="5389" max="5389" width="5" bestFit="1" customWidth="1"/>
    <col min="5390" max="5390" width="8" bestFit="1" customWidth="1"/>
    <col min="5391" max="5391" width="6" bestFit="1" customWidth="1"/>
    <col min="5392" max="5392" width="10.7109375" bestFit="1" customWidth="1"/>
    <col min="5393" max="5393" width="8" bestFit="1" customWidth="1"/>
    <col min="5394" max="5394" width="6" bestFit="1" customWidth="1"/>
    <col min="5395" max="5395" width="10.7109375" bestFit="1" customWidth="1"/>
    <col min="5633" max="5633" width="5.5703125" bestFit="1" customWidth="1"/>
    <col min="5634" max="5634" width="19" customWidth="1"/>
    <col min="5635" max="5635" width="108.28515625" customWidth="1"/>
    <col min="5636" max="5636" width="26.42578125" customWidth="1"/>
    <col min="5639" max="5639" width="74.5703125" customWidth="1"/>
    <col min="5640" max="5640" width="24" bestFit="1" customWidth="1"/>
    <col min="5641" max="5642" width="12" bestFit="1" customWidth="1"/>
    <col min="5643" max="5643" width="8" bestFit="1" customWidth="1"/>
    <col min="5644" max="5644" width="5.28515625" bestFit="1" customWidth="1"/>
    <col min="5645" max="5645" width="5" bestFit="1" customWidth="1"/>
    <col min="5646" max="5646" width="8" bestFit="1" customWidth="1"/>
    <col min="5647" max="5647" width="6" bestFit="1" customWidth="1"/>
    <col min="5648" max="5648" width="10.7109375" bestFit="1" customWidth="1"/>
    <col min="5649" max="5649" width="8" bestFit="1" customWidth="1"/>
    <col min="5650" max="5650" width="6" bestFit="1" customWidth="1"/>
    <col min="5651" max="5651" width="10.7109375" bestFit="1" customWidth="1"/>
    <col min="5889" max="5889" width="5.5703125" bestFit="1" customWidth="1"/>
    <col min="5890" max="5890" width="19" customWidth="1"/>
    <col min="5891" max="5891" width="108.28515625" customWidth="1"/>
    <col min="5892" max="5892" width="26.42578125" customWidth="1"/>
    <col min="5895" max="5895" width="74.5703125" customWidth="1"/>
    <col min="5896" max="5896" width="24" bestFit="1" customWidth="1"/>
    <col min="5897" max="5898" width="12" bestFit="1" customWidth="1"/>
    <col min="5899" max="5899" width="8" bestFit="1" customWidth="1"/>
    <col min="5900" max="5900" width="5.28515625" bestFit="1" customWidth="1"/>
    <col min="5901" max="5901" width="5" bestFit="1" customWidth="1"/>
    <col min="5902" max="5902" width="8" bestFit="1" customWidth="1"/>
    <col min="5903" max="5903" width="6" bestFit="1" customWidth="1"/>
    <col min="5904" max="5904" width="10.7109375" bestFit="1" customWidth="1"/>
    <col min="5905" max="5905" width="8" bestFit="1" customWidth="1"/>
    <col min="5906" max="5906" width="6" bestFit="1" customWidth="1"/>
    <col min="5907" max="5907" width="10.7109375" bestFit="1" customWidth="1"/>
    <col min="6145" max="6145" width="5.5703125" bestFit="1" customWidth="1"/>
    <col min="6146" max="6146" width="19" customWidth="1"/>
    <col min="6147" max="6147" width="108.28515625" customWidth="1"/>
    <col min="6148" max="6148" width="26.42578125" customWidth="1"/>
    <col min="6151" max="6151" width="74.5703125" customWidth="1"/>
    <col min="6152" max="6152" width="24" bestFit="1" customWidth="1"/>
    <col min="6153" max="6154" width="12" bestFit="1" customWidth="1"/>
    <col min="6155" max="6155" width="8" bestFit="1" customWidth="1"/>
    <col min="6156" max="6156" width="5.28515625" bestFit="1" customWidth="1"/>
    <col min="6157" max="6157" width="5" bestFit="1" customWidth="1"/>
    <col min="6158" max="6158" width="8" bestFit="1" customWidth="1"/>
    <col min="6159" max="6159" width="6" bestFit="1" customWidth="1"/>
    <col min="6160" max="6160" width="10.7109375" bestFit="1" customWidth="1"/>
    <col min="6161" max="6161" width="8" bestFit="1" customWidth="1"/>
    <col min="6162" max="6162" width="6" bestFit="1" customWidth="1"/>
    <col min="6163" max="6163" width="10.7109375" bestFit="1" customWidth="1"/>
    <col min="6401" max="6401" width="5.5703125" bestFit="1" customWidth="1"/>
    <col min="6402" max="6402" width="19" customWidth="1"/>
    <col min="6403" max="6403" width="108.28515625" customWidth="1"/>
    <col min="6404" max="6404" width="26.42578125" customWidth="1"/>
    <col min="6407" max="6407" width="74.5703125" customWidth="1"/>
    <col min="6408" max="6408" width="24" bestFit="1" customWidth="1"/>
    <col min="6409" max="6410" width="12" bestFit="1" customWidth="1"/>
    <col min="6411" max="6411" width="8" bestFit="1" customWidth="1"/>
    <col min="6412" max="6412" width="5.28515625" bestFit="1" customWidth="1"/>
    <col min="6413" max="6413" width="5" bestFit="1" customWidth="1"/>
    <col min="6414" max="6414" width="8" bestFit="1" customWidth="1"/>
    <col min="6415" max="6415" width="6" bestFit="1" customWidth="1"/>
    <col min="6416" max="6416" width="10.7109375" bestFit="1" customWidth="1"/>
    <col min="6417" max="6417" width="8" bestFit="1" customWidth="1"/>
    <col min="6418" max="6418" width="6" bestFit="1" customWidth="1"/>
    <col min="6419" max="6419" width="10.7109375" bestFit="1" customWidth="1"/>
    <col min="6657" max="6657" width="5.5703125" bestFit="1" customWidth="1"/>
    <col min="6658" max="6658" width="19" customWidth="1"/>
    <col min="6659" max="6659" width="108.28515625" customWidth="1"/>
    <col min="6660" max="6660" width="26.42578125" customWidth="1"/>
    <col min="6663" max="6663" width="74.5703125" customWidth="1"/>
    <col min="6664" max="6664" width="24" bestFit="1" customWidth="1"/>
    <col min="6665" max="6666" width="12" bestFit="1" customWidth="1"/>
    <col min="6667" max="6667" width="8" bestFit="1" customWidth="1"/>
    <col min="6668" max="6668" width="5.28515625" bestFit="1" customWidth="1"/>
    <col min="6669" max="6669" width="5" bestFit="1" customWidth="1"/>
    <col min="6670" max="6670" width="8" bestFit="1" customWidth="1"/>
    <col min="6671" max="6671" width="6" bestFit="1" customWidth="1"/>
    <col min="6672" max="6672" width="10.7109375" bestFit="1" customWidth="1"/>
    <col min="6673" max="6673" width="8" bestFit="1" customWidth="1"/>
    <col min="6674" max="6674" width="6" bestFit="1" customWidth="1"/>
    <col min="6675" max="6675" width="10.7109375" bestFit="1" customWidth="1"/>
    <col min="6913" max="6913" width="5.5703125" bestFit="1" customWidth="1"/>
    <col min="6914" max="6914" width="19" customWidth="1"/>
    <col min="6915" max="6915" width="108.28515625" customWidth="1"/>
    <col min="6916" max="6916" width="26.42578125" customWidth="1"/>
    <col min="6919" max="6919" width="74.5703125" customWidth="1"/>
    <col min="6920" max="6920" width="24" bestFit="1" customWidth="1"/>
    <col min="6921" max="6922" width="12" bestFit="1" customWidth="1"/>
    <col min="6923" max="6923" width="8" bestFit="1" customWidth="1"/>
    <col min="6924" max="6924" width="5.28515625" bestFit="1" customWidth="1"/>
    <col min="6925" max="6925" width="5" bestFit="1" customWidth="1"/>
    <col min="6926" max="6926" width="8" bestFit="1" customWidth="1"/>
    <col min="6927" max="6927" width="6" bestFit="1" customWidth="1"/>
    <col min="6928" max="6928" width="10.7109375" bestFit="1" customWidth="1"/>
    <col min="6929" max="6929" width="8" bestFit="1" customWidth="1"/>
    <col min="6930" max="6930" width="6" bestFit="1" customWidth="1"/>
    <col min="6931" max="6931" width="10.7109375" bestFit="1" customWidth="1"/>
    <col min="7169" max="7169" width="5.5703125" bestFit="1" customWidth="1"/>
    <col min="7170" max="7170" width="19" customWidth="1"/>
    <col min="7171" max="7171" width="108.28515625" customWidth="1"/>
    <col min="7172" max="7172" width="26.42578125" customWidth="1"/>
    <col min="7175" max="7175" width="74.5703125" customWidth="1"/>
    <col min="7176" max="7176" width="24" bestFit="1" customWidth="1"/>
    <col min="7177" max="7178" width="12" bestFit="1" customWidth="1"/>
    <col min="7179" max="7179" width="8" bestFit="1" customWidth="1"/>
    <col min="7180" max="7180" width="5.28515625" bestFit="1" customWidth="1"/>
    <col min="7181" max="7181" width="5" bestFit="1" customWidth="1"/>
    <col min="7182" max="7182" width="8" bestFit="1" customWidth="1"/>
    <col min="7183" max="7183" width="6" bestFit="1" customWidth="1"/>
    <col min="7184" max="7184" width="10.7109375" bestFit="1" customWidth="1"/>
    <col min="7185" max="7185" width="8" bestFit="1" customWidth="1"/>
    <col min="7186" max="7186" width="6" bestFit="1" customWidth="1"/>
    <col min="7187" max="7187" width="10.7109375" bestFit="1" customWidth="1"/>
    <col min="7425" max="7425" width="5.5703125" bestFit="1" customWidth="1"/>
    <col min="7426" max="7426" width="19" customWidth="1"/>
    <col min="7427" max="7427" width="108.28515625" customWidth="1"/>
    <col min="7428" max="7428" width="26.42578125" customWidth="1"/>
    <col min="7431" max="7431" width="74.5703125" customWidth="1"/>
    <col min="7432" max="7432" width="24" bestFit="1" customWidth="1"/>
    <col min="7433" max="7434" width="12" bestFit="1" customWidth="1"/>
    <col min="7435" max="7435" width="8" bestFit="1" customWidth="1"/>
    <col min="7436" max="7436" width="5.28515625" bestFit="1" customWidth="1"/>
    <col min="7437" max="7437" width="5" bestFit="1" customWidth="1"/>
    <col min="7438" max="7438" width="8" bestFit="1" customWidth="1"/>
    <col min="7439" max="7439" width="6" bestFit="1" customWidth="1"/>
    <col min="7440" max="7440" width="10.7109375" bestFit="1" customWidth="1"/>
    <col min="7441" max="7441" width="8" bestFit="1" customWidth="1"/>
    <col min="7442" max="7442" width="6" bestFit="1" customWidth="1"/>
    <col min="7443" max="7443" width="10.7109375" bestFit="1" customWidth="1"/>
    <col min="7681" max="7681" width="5.5703125" bestFit="1" customWidth="1"/>
    <col min="7682" max="7682" width="19" customWidth="1"/>
    <col min="7683" max="7683" width="108.28515625" customWidth="1"/>
    <col min="7684" max="7684" width="26.42578125" customWidth="1"/>
    <col min="7687" max="7687" width="74.5703125" customWidth="1"/>
    <col min="7688" max="7688" width="24" bestFit="1" customWidth="1"/>
    <col min="7689" max="7690" width="12" bestFit="1" customWidth="1"/>
    <col min="7691" max="7691" width="8" bestFit="1" customWidth="1"/>
    <col min="7692" max="7692" width="5.28515625" bestFit="1" customWidth="1"/>
    <col min="7693" max="7693" width="5" bestFit="1" customWidth="1"/>
    <col min="7694" max="7694" width="8" bestFit="1" customWidth="1"/>
    <col min="7695" max="7695" width="6" bestFit="1" customWidth="1"/>
    <col min="7696" max="7696" width="10.7109375" bestFit="1" customWidth="1"/>
    <col min="7697" max="7697" width="8" bestFit="1" customWidth="1"/>
    <col min="7698" max="7698" width="6" bestFit="1" customWidth="1"/>
    <col min="7699" max="7699" width="10.7109375" bestFit="1" customWidth="1"/>
    <col min="7937" max="7937" width="5.5703125" bestFit="1" customWidth="1"/>
    <col min="7938" max="7938" width="19" customWidth="1"/>
    <col min="7939" max="7939" width="108.28515625" customWidth="1"/>
    <col min="7940" max="7940" width="26.42578125" customWidth="1"/>
    <col min="7943" max="7943" width="74.5703125" customWidth="1"/>
    <col min="7944" max="7944" width="24" bestFit="1" customWidth="1"/>
    <col min="7945" max="7946" width="12" bestFit="1" customWidth="1"/>
    <col min="7947" max="7947" width="8" bestFit="1" customWidth="1"/>
    <col min="7948" max="7948" width="5.28515625" bestFit="1" customWidth="1"/>
    <col min="7949" max="7949" width="5" bestFit="1" customWidth="1"/>
    <col min="7950" max="7950" width="8" bestFit="1" customWidth="1"/>
    <col min="7951" max="7951" width="6" bestFit="1" customWidth="1"/>
    <col min="7952" max="7952" width="10.7109375" bestFit="1" customWidth="1"/>
    <col min="7953" max="7953" width="8" bestFit="1" customWidth="1"/>
    <col min="7954" max="7954" width="6" bestFit="1" customWidth="1"/>
    <col min="7955" max="7955" width="10.7109375" bestFit="1" customWidth="1"/>
    <col min="8193" max="8193" width="5.5703125" bestFit="1" customWidth="1"/>
    <col min="8194" max="8194" width="19" customWidth="1"/>
    <col min="8195" max="8195" width="108.28515625" customWidth="1"/>
    <col min="8196" max="8196" width="26.42578125" customWidth="1"/>
    <col min="8199" max="8199" width="74.5703125" customWidth="1"/>
    <col min="8200" max="8200" width="24" bestFit="1" customWidth="1"/>
    <col min="8201" max="8202" width="12" bestFit="1" customWidth="1"/>
    <col min="8203" max="8203" width="8" bestFit="1" customWidth="1"/>
    <col min="8204" max="8204" width="5.28515625" bestFit="1" customWidth="1"/>
    <col min="8205" max="8205" width="5" bestFit="1" customWidth="1"/>
    <col min="8206" max="8206" width="8" bestFit="1" customWidth="1"/>
    <col min="8207" max="8207" width="6" bestFit="1" customWidth="1"/>
    <col min="8208" max="8208" width="10.7109375" bestFit="1" customWidth="1"/>
    <col min="8209" max="8209" width="8" bestFit="1" customWidth="1"/>
    <col min="8210" max="8210" width="6" bestFit="1" customWidth="1"/>
    <col min="8211" max="8211" width="10.7109375" bestFit="1" customWidth="1"/>
    <col min="8449" max="8449" width="5.5703125" bestFit="1" customWidth="1"/>
    <col min="8450" max="8450" width="19" customWidth="1"/>
    <col min="8451" max="8451" width="108.28515625" customWidth="1"/>
    <col min="8452" max="8452" width="26.42578125" customWidth="1"/>
    <col min="8455" max="8455" width="74.5703125" customWidth="1"/>
    <col min="8456" max="8456" width="24" bestFit="1" customWidth="1"/>
    <col min="8457" max="8458" width="12" bestFit="1" customWidth="1"/>
    <col min="8459" max="8459" width="8" bestFit="1" customWidth="1"/>
    <col min="8460" max="8460" width="5.28515625" bestFit="1" customWidth="1"/>
    <col min="8461" max="8461" width="5" bestFit="1" customWidth="1"/>
    <col min="8462" max="8462" width="8" bestFit="1" customWidth="1"/>
    <col min="8463" max="8463" width="6" bestFit="1" customWidth="1"/>
    <col min="8464" max="8464" width="10.7109375" bestFit="1" customWidth="1"/>
    <col min="8465" max="8465" width="8" bestFit="1" customWidth="1"/>
    <col min="8466" max="8466" width="6" bestFit="1" customWidth="1"/>
    <col min="8467" max="8467" width="10.7109375" bestFit="1" customWidth="1"/>
    <col min="8705" max="8705" width="5.5703125" bestFit="1" customWidth="1"/>
    <col min="8706" max="8706" width="19" customWidth="1"/>
    <col min="8707" max="8707" width="108.28515625" customWidth="1"/>
    <col min="8708" max="8708" width="26.42578125" customWidth="1"/>
    <col min="8711" max="8711" width="74.5703125" customWidth="1"/>
    <col min="8712" max="8712" width="24" bestFit="1" customWidth="1"/>
    <col min="8713" max="8714" width="12" bestFit="1" customWidth="1"/>
    <col min="8715" max="8715" width="8" bestFit="1" customWidth="1"/>
    <col min="8716" max="8716" width="5.28515625" bestFit="1" customWidth="1"/>
    <col min="8717" max="8717" width="5" bestFit="1" customWidth="1"/>
    <col min="8718" max="8718" width="8" bestFit="1" customWidth="1"/>
    <col min="8719" max="8719" width="6" bestFit="1" customWidth="1"/>
    <col min="8720" max="8720" width="10.7109375" bestFit="1" customWidth="1"/>
    <col min="8721" max="8721" width="8" bestFit="1" customWidth="1"/>
    <col min="8722" max="8722" width="6" bestFit="1" customWidth="1"/>
    <col min="8723" max="8723" width="10.7109375" bestFit="1" customWidth="1"/>
    <col min="8961" max="8961" width="5.5703125" bestFit="1" customWidth="1"/>
    <col min="8962" max="8962" width="19" customWidth="1"/>
    <col min="8963" max="8963" width="108.28515625" customWidth="1"/>
    <col min="8964" max="8964" width="26.42578125" customWidth="1"/>
    <col min="8967" max="8967" width="74.5703125" customWidth="1"/>
    <col min="8968" max="8968" width="24" bestFit="1" customWidth="1"/>
    <col min="8969" max="8970" width="12" bestFit="1" customWidth="1"/>
    <col min="8971" max="8971" width="8" bestFit="1" customWidth="1"/>
    <col min="8972" max="8972" width="5.28515625" bestFit="1" customWidth="1"/>
    <col min="8973" max="8973" width="5" bestFit="1" customWidth="1"/>
    <col min="8974" max="8974" width="8" bestFit="1" customWidth="1"/>
    <col min="8975" max="8975" width="6" bestFit="1" customWidth="1"/>
    <col min="8976" max="8976" width="10.7109375" bestFit="1" customWidth="1"/>
    <col min="8977" max="8977" width="8" bestFit="1" customWidth="1"/>
    <col min="8978" max="8978" width="6" bestFit="1" customWidth="1"/>
    <col min="8979" max="8979" width="10.7109375" bestFit="1" customWidth="1"/>
    <col min="9217" max="9217" width="5.5703125" bestFit="1" customWidth="1"/>
    <col min="9218" max="9218" width="19" customWidth="1"/>
    <col min="9219" max="9219" width="108.28515625" customWidth="1"/>
    <col min="9220" max="9220" width="26.42578125" customWidth="1"/>
    <col min="9223" max="9223" width="74.5703125" customWidth="1"/>
    <col min="9224" max="9224" width="24" bestFit="1" customWidth="1"/>
    <col min="9225" max="9226" width="12" bestFit="1" customWidth="1"/>
    <col min="9227" max="9227" width="8" bestFit="1" customWidth="1"/>
    <col min="9228" max="9228" width="5.28515625" bestFit="1" customWidth="1"/>
    <col min="9229" max="9229" width="5" bestFit="1" customWidth="1"/>
    <col min="9230" max="9230" width="8" bestFit="1" customWidth="1"/>
    <col min="9231" max="9231" width="6" bestFit="1" customWidth="1"/>
    <col min="9232" max="9232" width="10.7109375" bestFit="1" customWidth="1"/>
    <col min="9233" max="9233" width="8" bestFit="1" customWidth="1"/>
    <col min="9234" max="9234" width="6" bestFit="1" customWidth="1"/>
    <col min="9235" max="9235" width="10.7109375" bestFit="1" customWidth="1"/>
    <col min="9473" max="9473" width="5.5703125" bestFit="1" customWidth="1"/>
    <col min="9474" max="9474" width="19" customWidth="1"/>
    <col min="9475" max="9475" width="108.28515625" customWidth="1"/>
    <col min="9476" max="9476" width="26.42578125" customWidth="1"/>
    <col min="9479" max="9479" width="74.5703125" customWidth="1"/>
    <col min="9480" max="9480" width="24" bestFit="1" customWidth="1"/>
    <col min="9481" max="9482" width="12" bestFit="1" customWidth="1"/>
    <col min="9483" max="9483" width="8" bestFit="1" customWidth="1"/>
    <col min="9484" max="9484" width="5.28515625" bestFit="1" customWidth="1"/>
    <col min="9485" max="9485" width="5" bestFit="1" customWidth="1"/>
    <col min="9486" max="9486" width="8" bestFit="1" customWidth="1"/>
    <col min="9487" max="9487" width="6" bestFit="1" customWidth="1"/>
    <col min="9488" max="9488" width="10.7109375" bestFit="1" customWidth="1"/>
    <col min="9489" max="9489" width="8" bestFit="1" customWidth="1"/>
    <col min="9490" max="9490" width="6" bestFit="1" customWidth="1"/>
    <col min="9491" max="9491" width="10.7109375" bestFit="1" customWidth="1"/>
    <col min="9729" max="9729" width="5.5703125" bestFit="1" customWidth="1"/>
    <col min="9730" max="9730" width="19" customWidth="1"/>
    <col min="9731" max="9731" width="108.28515625" customWidth="1"/>
    <col min="9732" max="9732" width="26.42578125" customWidth="1"/>
    <col min="9735" max="9735" width="74.5703125" customWidth="1"/>
    <col min="9736" max="9736" width="24" bestFit="1" customWidth="1"/>
    <col min="9737" max="9738" width="12" bestFit="1" customWidth="1"/>
    <col min="9739" max="9739" width="8" bestFit="1" customWidth="1"/>
    <col min="9740" max="9740" width="5.28515625" bestFit="1" customWidth="1"/>
    <col min="9741" max="9741" width="5" bestFit="1" customWidth="1"/>
    <col min="9742" max="9742" width="8" bestFit="1" customWidth="1"/>
    <col min="9743" max="9743" width="6" bestFit="1" customWidth="1"/>
    <col min="9744" max="9744" width="10.7109375" bestFit="1" customWidth="1"/>
    <col min="9745" max="9745" width="8" bestFit="1" customWidth="1"/>
    <col min="9746" max="9746" width="6" bestFit="1" customWidth="1"/>
    <col min="9747" max="9747" width="10.7109375" bestFit="1" customWidth="1"/>
    <col min="9985" max="9985" width="5.5703125" bestFit="1" customWidth="1"/>
    <col min="9986" max="9986" width="19" customWidth="1"/>
    <col min="9987" max="9987" width="108.28515625" customWidth="1"/>
    <col min="9988" max="9988" width="26.42578125" customWidth="1"/>
    <col min="9991" max="9991" width="74.5703125" customWidth="1"/>
    <col min="9992" max="9992" width="24" bestFit="1" customWidth="1"/>
    <col min="9993" max="9994" width="12" bestFit="1" customWidth="1"/>
    <col min="9995" max="9995" width="8" bestFit="1" customWidth="1"/>
    <col min="9996" max="9996" width="5.28515625" bestFit="1" customWidth="1"/>
    <col min="9997" max="9997" width="5" bestFit="1" customWidth="1"/>
    <col min="9998" max="9998" width="8" bestFit="1" customWidth="1"/>
    <col min="9999" max="9999" width="6" bestFit="1" customWidth="1"/>
    <col min="10000" max="10000" width="10.7109375" bestFit="1" customWidth="1"/>
    <col min="10001" max="10001" width="8" bestFit="1" customWidth="1"/>
    <col min="10002" max="10002" width="6" bestFit="1" customWidth="1"/>
    <col min="10003" max="10003" width="10.7109375" bestFit="1" customWidth="1"/>
    <col min="10241" max="10241" width="5.5703125" bestFit="1" customWidth="1"/>
    <col min="10242" max="10242" width="19" customWidth="1"/>
    <col min="10243" max="10243" width="108.28515625" customWidth="1"/>
    <col min="10244" max="10244" width="26.42578125" customWidth="1"/>
    <col min="10247" max="10247" width="74.5703125" customWidth="1"/>
    <col min="10248" max="10248" width="24" bestFit="1" customWidth="1"/>
    <col min="10249" max="10250" width="12" bestFit="1" customWidth="1"/>
    <col min="10251" max="10251" width="8" bestFit="1" customWidth="1"/>
    <col min="10252" max="10252" width="5.28515625" bestFit="1" customWidth="1"/>
    <col min="10253" max="10253" width="5" bestFit="1" customWidth="1"/>
    <col min="10254" max="10254" width="8" bestFit="1" customWidth="1"/>
    <col min="10255" max="10255" width="6" bestFit="1" customWidth="1"/>
    <col min="10256" max="10256" width="10.7109375" bestFit="1" customWidth="1"/>
    <col min="10257" max="10257" width="8" bestFit="1" customWidth="1"/>
    <col min="10258" max="10258" width="6" bestFit="1" customWidth="1"/>
    <col min="10259" max="10259" width="10.7109375" bestFit="1" customWidth="1"/>
    <col min="10497" max="10497" width="5.5703125" bestFit="1" customWidth="1"/>
    <col min="10498" max="10498" width="19" customWidth="1"/>
    <col min="10499" max="10499" width="108.28515625" customWidth="1"/>
    <col min="10500" max="10500" width="26.42578125" customWidth="1"/>
    <col min="10503" max="10503" width="74.5703125" customWidth="1"/>
    <col min="10504" max="10504" width="24" bestFit="1" customWidth="1"/>
    <col min="10505" max="10506" width="12" bestFit="1" customWidth="1"/>
    <col min="10507" max="10507" width="8" bestFit="1" customWidth="1"/>
    <col min="10508" max="10508" width="5.28515625" bestFit="1" customWidth="1"/>
    <col min="10509" max="10509" width="5" bestFit="1" customWidth="1"/>
    <col min="10510" max="10510" width="8" bestFit="1" customWidth="1"/>
    <col min="10511" max="10511" width="6" bestFit="1" customWidth="1"/>
    <col min="10512" max="10512" width="10.7109375" bestFit="1" customWidth="1"/>
    <col min="10513" max="10513" width="8" bestFit="1" customWidth="1"/>
    <col min="10514" max="10514" width="6" bestFit="1" customWidth="1"/>
    <col min="10515" max="10515" width="10.7109375" bestFit="1" customWidth="1"/>
    <col min="10753" max="10753" width="5.5703125" bestFit="1" customWidth="1"/>
    <col min="10754" max="10754" width="19" customWidth="1"/>
    <col min="10755" max="10755" width="108.28515625" customWidth="1"/>
    <col min="10756" max="10756" width="26.42578125" customWidth="1"/>
    <col min="10759" max="10759" width="74.5703125" customWidth="1"/>
    <col min="10760" max="10760" width="24" bestFit="1" customWidth="1"/>
    <col min="10761" max="10762" width="12" bestFit="1" customWidth="1"/>
    <col min="10763" max="10763" width="8" bestFit="1" customWidth="1"/>
    <col min="10764" max="10764" width="5.28515625" bestFit="1" customWidth="1"/>
    <col min="10765" max="10765" width="5" bestFit="1" customWidth="1"/>
    <col min="10766" max="10766" width="8" bestFit="1" customWidth="1"/>
    <col min="10767" max="10767" width="6" bestFit="1" customWidth="1"/>
    <col min="10768" max="10768" width="10.7109375" bestFit="1" customWidth="1"/>
    <col min="10769" max="10769" width="8" bestFit="1" customWidth="1"/>
    <col min="10770" max="10770" width="6" bestFit="1" customWidth="1"/>
    <col min="10771" max="10771" width="10.7109375" bestFit="1" customWidth="1"/>
    <col min="11009" max="11009" width="5.5703125" bestFit="1" customWidth="1"/>
    <col min="11010" max="11010" width="19" customWidth="1"/>
    <col min="11011" max="11011" width="108.28515625" customWidth="1"/>
    <col min="11012" max="11012" width="26.42578125" customWidth="1"/>
    <col min="11015" max="11015" width="74.5703125" customWidth="1"/>
    <col min="11016" max="11016" width="24" bestFit="1" customWidth="1"/>
    <col min="11017" max="11018" width="12" bestFit="1" customWidth="1"/>
    <col min="11019" max="11019" width="8" bestFit="1" customWidth="1"/>
    <col min="11020" max="11020" width="5.28515625" bestFit="1" customWidth="1"/>
    <col min="11021" max="11021" width="5" bestFit="1" customWidth="1"/>
    <col min="11022" max="11022" width="8" bestFit="1" customWidth="1"/>
    <col min="11023" max="11023" width="6" bestFit="1" customWidth="1"/>
    <col min="11024" max="11024" width="10.7109375" bestFit="1" customWidth="1"/>
    <col min="11025" max="11025" width="8" bestFit="1" customWidth="1"/>
    <col min="11026" max="11026" width="6" bestFit="1" customWidth="1"/>
    <col min="11027" max="11027" width="10.7109375" bestFit="1" customWidth="1"/>
    <col min="11265" max="11265" width="5.5703125" bestFit="1" customWidth="1"/>
    <col min="11266" max="11266" width="19" customWidth="1"/>
    <col min="11267" max="11267" width="108.28515625" customWidth="1"/>
    <col min="11268" max="11268" width="26.42578125" customWidth="1"/>
    <col min="11271" max="11271" width="74.5703125" customWidth="1"/>
    <col min="11272" max="11272" width="24" bestFit="1" customWidth="1"/>
    <col min="11273" max="11274" width="12" bestFit="1" customWidth="1"/>
    <col min="11275" max="11275" width="8" bestFit="1" customWidth="1"/>
    <col min="11276" max="11276" width="5.28515625" bestFit="1" customWidth="1"/>
    <col min="11277" max="11277" width="5" bestFit="1" customWidth="1"/>
    <col min="11278" max="11278" width="8" bestFit="1" customWidth="1"/>
    <col min="11279" max="11279" width="6" bestFit="1" customWidth="1"/>
    <col min="11280" max="11280" width="10.7109375" bestFit="1" customWidth="1"/>
    <col min="11281" max="11281" width="8" bestFit="1" customWidth="1"/>
    <col min="11282" max="11282" width="6" bestFit="1" customWidth="1"/>
    <col min="11283" max="11283" width="10.7109375" bestFit="1" customWidth="1"/>
    <col min="11521" max="11521" width="5.5703125" bestFit="1" customWidth="1"/>
    <col min="11522" max="11522" width="19" customWidth="1"/>
    <col min="11523" max="11523" width="108.28515625" customWidth="1"/>
    <col min="11524" max="11524" width="26.42578125" customWidth="1"/>
    <col min="11527" max="11527" width="74.5703125" customWidth="1"/>
    <col min="11528" max="11528" width="24" bestFit="1" customWidth="1"/>
    <col min="11529" max="11530" width="12" bestFit="1" customWidth="1"/>
    <col min="11531" max="11531" width="8" bestFit="1" customWidth="1"/>
    <col min="11532" max="11532" width="5.28515625" bestFit="1" customWidth="1"/>
    <col min="11533" max="11533" width="5" bestFit="1" customWidth="1"/>
    <col min="11534" max="11534" width="8" bestFit="1" customWidth="1"/>
    <col min="11535" max="11535" width="6" bestFit="1" customWidth="1"/>
    <col min="11536" max="11536" width="10.7109375" bestFit="1" customWidth="1"/>
    <col min="11537" max="11537" width="8" bestFit="1" customWidth="1"/>
    <col min="11538" max="11538" width="6" bestFit="1" customWidth="1"/>
    <col min="11539" max="11539" width="10.7109375" bestFit="1" customWidth="1"/>
    <col min="11777" max="11777" width="5.5703125" bestFit="1" customWidth="1"/>
    <col min="11778" max="11778" width="19" customWidth="1"/>
    <col min="11779" max="11779" width="108.28515625" customWidth="1"/>
    <col min="11780" max="11780" width="26.42578125" customWidth="1"/>
    <col min="11783" max="11783" width="74.5703125" customWidth="1"/>
    <col min="11784" max="11784" width="24" bestFit="1" customWidth="1"/>
    <col min="11785" max="11786" width="12" bestFit="1" customWidth="1"/>
    <col min="11787" max="11787" width="8" bestFit="1" customWidth="1"/>
    <col min="11788" max="11788" width="5.28515625" bestFit="1" customWidth="1"/>
    <col min="11789" max="11789" width="5" bestFit="1" customWidth="1"/>
    <col min="11790" max="11790" width="8" bestFit="1" customWidth="1"/>
    <col min="11791" max="11791" width="6" bestFit="1" customWidth="1"/>
    <col min="11792" max="11792" width="10.7109375" bestFit="1" customWidth="1"/>
    <col min="11793" max="11793" width="8" bestFit="1" customWidth="1"/>
    <col min="11794" max="11794" width="6" bestFit="1" customWidth="1"/>
    <col min="11795" max="11795" width="10.7109375" bestFit="1" customWidth="1"/>
    <col min="12033" max="12033" width="5.5703125" bestFit="1" customWidth="1"/>
    <col min="12034" max="12034" width="19" customWidth="1"/>
    <col min="12035" max="12035" width="108.28515625" customWidth="1"/>
    <col min="12036" max="12036" width="26.42578125" customWidth="1"/>
    <col min="12039" max="12039" width="74.5703125" customWidth="1"/>
    <col min="12040" max="12040" width="24" bestFit="1" customWidth="1"/>
    <col min="12041" max="12042" width="12" bestFit="1" customWidth="1"/>
    <col min="12043" max="12043" width="8" bestFit="1" customWidth="1"/>
    <col min="12044" max="12044" width="5.28515625" bestFit="1" customWidth="1"/>
    <col min="12045" max="12045" width="5" bestFit="1" customWidth="1"/>
    <col min="12046" max="12046" width="8" bestFit="1" customWidth="1"/>
    <col min="12047" max="12047" width="6" bestFit="1" customWidth="1"/>
    <col min="12048" max="12048" width="10.7109375" bestFit="1" customWidth="1"/>
    <col min="12049" max="12049" width="8" bestFit="1" customWidth="1"/>
    <col min="12050" max="12050" width="6" bestFit="1" customWidth="1"/>
    <col min="12051" max="12051" width="10.7109375" bestFit="1" customWidth="1"/>
    <col min="12289" max="12289" width="5.5703125" bestFit="1" customWidth="1"/>
    <col min="12290" max="12290" width="19" customWidth="1"/>
    <col min="12291" max="12291" width="108.28515625" customWidth="1"/>
    <col min="12292" max="12292" width="26.42578125" customWidth="1"/>
    <col min="12295" max="12295" width="74.5703125" customWidth="1"/>
    <col min="12296" max="12296" width="24" bestFit="1" customWidth="1"/>
    <col min="12297" max="12298" width="12" bestFit="1" customWidth="1"/>
    <col min="12299" max="12299" width="8" bestFit="1" customWidth="1"/>
    <col min="12300" max="12300" width="5.28515625" bestFit="1" customWidth="1"/>
    <col min="12301" max="12301" width="5" bestFit="1" customWidth="1"/>
    <col min="12302" max="12302" width="8" bestFit="1" customWidth="1"/>
    <col min="12303" max="12303" width="6" bestFit="1" customWidth="1"/>
    <col min="12304" max="12304" width="10.7109375" bestFit="1" customWidth="1"/>
    <col min="12305" max="12305" width="8" bestFit="1" customWidth="1"/>
    <col min="12306" max="12306" width="6" bestFit="1" customWidth="1"/>
    <col min="12307" max="12307" width="10.7109375" bestFit="1" customWidth="1"/>
    <col min="12545" max="12545" width="5.5703125" bestFit="1" customWidth="1"/>
    <col min="12546" max="12546" width="19" customWidth="1"/>
    <col min="12547" max="12547" width="108.28515625" customWidth="1"/>
    <col min="12548" max="12548" width="26.42578125" customWidth="1"/>
    <col min="12551" max="12551" width="74.5703125" customWidth="1"/>
    <col min="12552" max="12552" width="24" bestFit="1" customWidth="1"/>
    <col min="12553" max="12554" width="12" bestFit="1" customWidth="1"/>
    <col min="12555" max="12555" width="8" bestFit="1" customWidth="1"/>
    <col min="12556" max="12556" width="5.28515625" bestFit="1" customWidth="1"/>
    <col min="12557" max="12557" width="5" bestFit="1" customWidth="1"/>
    <col min="12558" max="12558" width="8" bestFit="1" customWidth="1"/>
    <col min="12559" max="12559" width="6" bestFit="1" customWidth="1"/>
    <col min="12560" max="12560" width="10.7109375" bestFit="1" customWidth="1"/>
    <col min="12561" max="12561" width="8" bestFit="1" customWidth="1"/>
    <col min="12562" max="12562" width="6" bestFit="1" customWidth="1"/>
    <col min="12563" max="12563" width="10.7109375" bestFit="1" customWidth="1"/>
    <col min="12801" max="12801" width="5.5703125" bestFit="1" customWidth="1"/>
    <col min="12802" max="12802" width="19" customWidth="1"/>
    <col min="12803" max="12803" width="108.28515625" customWidth="1"/>
    <col min="12804" max="12804" width="26.42578125" customWidth="1"/>
    <col min="12807" max="12807" width="74.5703125" customWidth="1"/>
    <col min="12808" max="12808" width="24" bestFit="1" customWidth="1"/>
    <col min="12809" max="12810" width="12" bestFit="1" customWidth="1"/>
    <col min="12811" max="12811" width="8" bestFit="1" customWidth="1"/>
    <col min="12812" max="12812" width="5.28515625" bestFit="1" customWidth="1"/>
    <col min="12813" max="12813" width="5" bestFit="1" customWidth="1"/>
    <col min="12814" max="12814" width="8" bestFit="1" customWidth="1"/>
    <col min="12815" max="12815" width="6" bestFit="1" customWidth="1"/>
    <col min="12816" max="12816" width="10.7109375" bestFit="1" customWidth="1"/>
    <col min="12817" max="12817" width="8" bestFit="1" customWidth="1"/>
    <col min="12818" max="12818" width="6" bestFit="1" customWidth="1"/>
    <col min="12819" max="12819" width="10.7109375" bestFit="1" customWidth="1"/>
    <col min="13057" max="13057" width="5.5703125" bestFit="1" customWidth="1"/>
    <col min="13058" max="13058" width="19" customWidth="1"/>
    <col min="13059" max="13059" width="108.28515625" customWidth="1"/>
    <col min="13060" max="13060" width="26.42578125" customWidth="1"/>
    <col min="13063" max="13063" width="74.5703125" customWidth="1"/>
    <col min="13064" max="13064" width="24" bestFit="1" customWidth="1"/>
    <col min="13065" max="13066" width="12" bestFit="1" customWidth="1"/>
    <col min="13067" max="13067" width="8" bestFit="1" customWidth="1"/>
    <col min="13068" max="13068" width="5.28515625" bestFit="1" customWidth="1"/>
    <col min="13069" max="13069" width="5" bestFit="1" customWidth="1"/>
    <col min="13070" max="13070" width="8" bestFit="1" customWidth="1"/>
    <col min="13071" max="13071" width="6" bestFit="1" customWidth="1"/>
    <col min="13072" max="13072" width="10.7109375" bestFit="1" customWidth="1"/>
    <col min="13073" max="13073" width="8" bestFit="1" customWidth="1"/>
    <col min="13074" max="13074" width="6" bestFit="1" customWidth="1"/>
    <col min="13075" max="13075" width="10.7109375" bestFit="1" customWidth="1"/>
    <col min="13313" max="13313" width="5.5703125" bestFit="1" customWidth="1"/>
    <col min="13314" max="13314" width="19" customWidth="1"/>
    <col min="13315" max="13315" width="108.28515625" customWidth="1"/>
    <col min="13316" max="13316" width="26.42578125" customWidth="1"/>
    <col min="13319" max="13319" width="74.5703125" customWidth="1"/>
    <col min="13320" max="13320" width="24" bestFit="1" customWidth="1"/>
    <col min="13321" max="13322" width="12" bestFit="1" customWidth="1"/>
    <col min="13323" max="13323" width="8" bestFit="1" customWidth="1"/>
    <col min="13324" max="13324" width="5.28515625" bestFit="1" customWidth="1"/>
    <col min="13325" max="13325" width="5" bestFit="1" customWidth="1"/>
    <col min="13326" max="13326" width="8" bestFit="1" customWidth="1"/>
    <col min="13327" max="13327" width="6" bestFit="1" customWidth="1"/>
    <col min="13328" max="13328" width="10.7109375" bestFit="1" customWidth="1"/>
    <col min="13329" max="13329" width="8" bestFit="1" customWidth="1"/>
    <col min="13330" max="13330" width="6" bestFit="1" customWidth="1"/>
    <col min="13331" max="13331" width="10.7109375" bestFit="1" customWidth="1"/>
    <col min="13569" max="13569" width="5.5703125" bestFit="1" customWidth="1"/>
    <col min="13570" max="13570" width="19" customWidth="1"/>
    <col min="13571" max="13571" width="108.28515625" customWidth="1"/>
    <col min="13572" max="13572" width="26.42578125" customWidth="1"/>
    <col min="13575" max="13575" width="74.5703125" customWidth="1"/>
    <col min="13576" max="13576" width="24" bestFit="1" customWidth="1"/>
    <col min="13577" max="13578" width="12" bestFit="1" customWidth="1"/>
    <col min="13579" max="13579" width="8" bestFit="1" customWidth="1"/>
    <col min="13580" max="13580" width="5.28515625" bestFit="1" customWidth="1"/>
    <col min="13581" max="13581" width="5" bestFit="1" customWidth="1"/>
    <col min="13582" max="13582" width="8" bestFit="1" customWidth="1"/>
    <col min="13583" max="13583" width="6" bestFit="1" customWidth="1"/>
    <col min="13584" max="13584" width="10.7109375" bestFit="1" customWidth="1"/>
    <col min="13585" max="13585" width="8" bestFit="1" customWidth="1"/>
    <col min="13586" max="13586" width="6" bestFit="1" customWidth="1"/>
    <col min="13587" max="13587" width="10.7109375" bestFit="1" customWidth="1"/>
    <col min="13825" max="13825" width="5.5703125" bestFit="1" customWidth="1"/>
    <col min="13826" max="13826" width="19" customWidth="1"/>
    <col min="13827" max="13827" width="108.28515625" customWidth="1"/>
    <col min="13828" max="13828" width="26.42578125" customWidth="1"/>
    <col min="13831" max="13831" width="74.5703125" customWidth="1"/>
    <col min="13832" max="13832" width="24" bestFit="1" customWidth="1"/>
    <col min="13833" max="13834" width="12" bestFit="1" customWidth="1"/>
    <col min="13835" max="13835" width="8" bestFit="1" customWidth="1"/>
    <col min="13836" max="13836" width="5.28515625" bestFit="1" customWidth="1"/>
    <col min="13837" max="13837" width="5" bestFit="1" customWidth="1"/>
    <col min="13838" max="13838" width="8" bestFit="1" customWidth="1"/>
    <col min="13839" max="13839" width="6" bestFit="1" customWidth="1"/>
    <col min="13840" max="13840" width="10.7109375" bestFit="1" customWidth="1"/>
    <col min="13841" max="13841" width="8" bestFit="1" customWidth="1"/>
    <col min="13842" max="13842" width="6" bestFit="1" customWidth="1"/>
    <col min="13843" max="13843" width="10.7109375" bestFit="1" customWidth="1"/>
    <col min="14081" max="14081" width="5.5703125" bestFit="1" customWidth="1"/>
    <col min="14082" max="14082" width="19" customWidth="1"/>
    <col min="14083" max="14083" width="108.28515625" customWidth="1"/>
    <col min="14084" max="14084" width="26.42578125" customWidth="1"/>
    <col min="14087" max="14087" width="74.5703125" customWidth="1"/>
    <col min="14088" max="14088" width="24" bestFit="1" customWidth="1"/>
    <col min="14089" max="14090" width="12" bestFit="1" customWidth="1"/>
    <col min="14091" max="14091" width="8" bestFit="1" customWidth="1"/>
    <col min="14092" max="14092" width="5.28515625" bestFit="1" customWidth="1"/>
    <col min="14093" max="14093" width="5" bestFit="1" customWidth="1"/>
    <col min="14094" max="14094" width="8" bestFit="1" customWidth="1"/>
    <col min="14095" max="14095" width="6" bestFit="1" customWidth="1"/>
    <col min="14096" max="14096" width="10.7109375" bestFit="1" customWidth="1"/>
    <col min="14097" max="14097" width="8" bestFit="1" customWidth="1"/>
    <col min="14098" max="14098" width="6" bestFit="1" customWidth="1"/>
    <col min="14099" max="14099" width="10.7109375" bestFit="1" customWidth="1"/>
    <col min="14337" max="14337" width="5.5703125" bestFit="1" customWidth="1"/>
    <col min="14338" max="14338" width="19" customWidth="1"/>
    <col min="14339" max="14339" width="108.28515625" customWidth="1"/>
    <col min="14340" max="14340" width="26.42578125" customWidth="1"/>
    <col min="14343" max="14343" width="74.5703125" customWidth="1"/>
    <col min="14344" max="14344" width="24" bestFit="1" customWidth="1"/>
    <col min="14345" max="14346" width="12" bestFit="1" customWidth="1"/>
    <col min="14347" max="14347" width="8" bestFit="1" customWidth="1"/>
    <col min="14348" max="14348" width="5.28515625" bestFit="1" customWidth="1"/>
    <col min="14349" max="14349" width="5" bestFit="1" customWidth="1"/>
    <col min="14350" max="14350" width="8" bestFit="1" customWidth="1"/>
    <col min="14351" max="14351" width="6" bestFit="1" customWidth="1"/>
    <col min="14352" max="14352" width="10.7109375" bestFit="1" customWidth="1"/>
    <col min="14353" max="14353" width="8" bestFit="1" customWidth="1"/>
    <col min="14354" max="14354" width="6" bestFit="1" customWidth="1"/>
    <col min="14355" max="14355" width="10.7109375" bestFit="1" customWidth="1"/>
    <col min="14593" max="14593" width="5.5703125" bestFit="1" customWidth="1"/>
    <col min="14594" max="14594" width="19" customWidth="1"/>
    <col min="14595" max="14595" width="108.28515625" customWidth="1"/>
    <col min="14596" max="14596" width="26.42578125" customWidth="1"/>
    <col min="14599" max="14599" width="74.5703125" customWidth="1"/>
    <col min="14600" max="14600" width="24" bestFit="1" customWidth="1"/>
    <col min="14601" max="14602" width="12" bestFit="1" customWidth="1"/>
    <col min="14603" max="14603" width="8" bestFit="1" customWidth="1"/>
    <col min="14604" max="14604" width="5.28515625" bestFit="1" customWidth="1"/>
    <col min="14605" max="14605" width="5" bestFit="1" customWidth="1"/>
    <col min="14606" max="14606" width="8" bestFit="1" customWidth="1"/>
    <col min="14607" max="14607" width="6" bestFit="1" customWidth="1"/>
    <col min="14608" max="14608" width="10.7109375" bestFit="1" customWidth="1"/>
    <col min="14609" max="14609" width="8" bestFit="1" customWidth="1"/>
    <col min="14610" max="14610" width="6" bestFit="1" customWidth="1"/>
    <col min="14611" max="14611" width="10.7109375" bestFit="1" customWidth="1"/>
    <col min="14849" max="14849" width="5.5703125" bestFit="1" customWidth="1"/>
    <col min="14850" max="14850" width="19" customWidth="1"/>
    <col min="14851" max="14851" width="108.28515625" customWidth="1"/>
    <col min="14852" max="14852" width="26.42578125" customWidth="1"/>
    <col min="14855" max="14855" width="74.5703125" customWidth="1"/>
    <col min="14856" max="14856" width="24" bestFit="1" customWidth="1"/>
    <col min="14857" max="14858" width="12" bestFit="1" customWidth="1"/>
    <col min="14859" max="14859" width="8" bestFit="1" customWidth="1"/>
    <col min="14860" max="14860" width="5.28515625" bestFit="1" customWidth="1"/>
    <col min="14861" max="14861" width="5" bestFit="1" customWidth="1"/>
    <col min="14862" max="14862" width="8" bestFit="1" customWidth="1"/>
    <col min="14863" max="14863" width="6" bestFit="1" customWidth="1"/>
    <col min="14864" max="14864" width="10.7109375" bestFit="1" customWidth="1"/>
    <col min="14865" max="14865" width="8" bestFit="1" customWidth="1"/>
    <col min="14866" max="14866" width="6" bestFit="1" customWidth="1"/>
    <col min="14867" max="14867" width="10.7109375" bestFit="1" customWidth="1"/>
    <col min="15105" max="15105" width="5.5703125" bestFit="1" customWidth="1"/>
    <col min="15106" max="15106" width="19" customWidth="1"/>
    <col min="15107" max="15107" width="108.28515625" customWidth="1"/>
    <col min="15108" max="15108" width="26.42578125" customWidth="1"/>
    <col min="15111" max="15111" width="74.5703125" customWidth="1"/>
    <col min="15112" max="15112" width="24" bestFit="1" customWidth="1"/>
    <col min="15113" max="15114" width="12" bestFit="1" customWidth="1"/>
    <col min="15115" max="15115" width="8" bestFit="1" customWidth="1"/>
    <col min="15116" max="15116" width="5.28515625" bestFit="1" customWidth="1"/>
    <col min="15117" max="15117" width="5" bestFit="1" customWidth="1"/>
    <col min="15118" max="15118" width="8" bestFit="1" customWidth="1"/>
    <col min="15119" max="15119" width="6" bestFit="1" customWidth="1"/>
    <col min="15120" max="15120" width="10.7109375" bestFit="1" customWidth="1"/>
    <col min="15121" max="15121" width="8" bestFit="1" customWidth="1"/>
    <col min="15122" max="15122" width="6" bestFit="1" customWidth="1"/>
    <col min="15123" max="15123" width="10.7109375" bestFit="1" customWidth="1"/>
    <col min="15361" max="15361" width="5.5703125" bestFit="1" customWidth="1"/>
    <col min="15362" max="15362" width="19" customWidth="1"/>
    <col min="15363" max="15363" width="108.28515625" customWidth="1"/>
    <col min="15364" max="15364" width="26.42578125" customWidth="1"/>
    <col min="15367" max="15367" width="74.5703125" customWidth="1"/>
    <col min="15368" max="15368" width="24" bestFit="1" customWidth="1"/>
    <col min="15369" max="15370" width="12" bestFit="1" customWidth="1"/>
    <col min="15371" max="15371" width="8" bestFit="1" customWidth="1"/>
    <col min="15372" max="15372" width="5.28515625" bestFit="1" customWidth="1"/>
    <col min="15373" max="15373" width="5" bestFit="1" customWidth="1"/>
    <col min="15374" max="15374" width="8" bestFit="1" customWidth="1"/>
    <col min="15375" max="15375" width="6" bestFit="1" customWidth="1"/>
    <col min="15376" max="15376" width="10.7109375" bestFit="1" customWidth="1"/>
    <col min="15377" max="15377" width="8" bestFit="1" customWidth="1"/>
    <col min="15378" max="15378" width="6" bestFit="1" customWidth="1"/>
    <col min="15379" max="15379" width="10.7109375" bestFit="1" customWidth="1"/>
    <col min="15617" max="15617" width="5.5703125" bestFit="1" customWidth="1"/>
    <col min="15618" max="15618" width="19" customWidth="1"/>
    <col min="15619" max="15619" width="108.28515625" customWidth="1"/>
    <col min="15620" max="15620" width="26.42578125" customWidth="1"/>
    <col min="15623" max="15623" width="74.5703125" customWidth="1"/>
    <col min="15624" max="15624" width="24" bestFit="1" customWidth="1"/>
    <col min="15625" max="15626" width="12" bestFit="1" customWidth="1"/>
    <col min="15627" max="15627" width="8" bestFit="1" customWidth="1"/>
    <col min="15628" max="15628" width="5.28515625" bestFit="1" customWidth="1"/>
    <col min="15629" max="15629" width="5" bestFit="1" customWidth="1"/>
    <col min="15630" max="15630" width="8" bestFit="1" customWidth="1"/>
    <col min="15631" max="15631" width="6" bestFit="1" customWidth="1"/>
    <col min="15632" max="15632" width="10.7109375" bestFit="1" customWidth="1"/>
    <col min="15633" max="15633" width="8" bestFit="1" customWidth="1"/>
    <col min="15634" max="15634" width="6" bestFit="1" customWidth="1"/>
    <col min="15635" max="15635" width="10.7109375" bestFit="1" customWidth="1"/>
    <col min="15873" max="15873" width="5.5703125" bestFit="1" customWidth="1"/>
    <col min="15874" max="15874" width="19" customWidth="1"/>
    <col min="15875" max="15875" width="108.28515625" customWidth="1"/>
    <col min="15876" max="15876" width="26.42578125" customWidth="1"/>
    <col min="15879" max="15879" width="74.5703125" customWidth="1"/>
    <col min="15880" max="15880" width="24" bestFit="1" customWidth="1"/>
    <col min="15881" max="15882" width="12" bestFit="1" customWidth="1"/>
    <col min="15883" max="15883" width="8" bestFit="1" customWidth="1"/>
    <col min="15884" max="15884" width="5.28515625" bestFit="1" customWidth="1"/>
    <col min="15885" max="15885" width="5" bestFit="1" customWidth="1"/>
    <col min="15886" max="15886" width="8" bestFit="1" customWidth="1"/>
    <col min="15887" max="15887" width="6" bestFit="1" customWidth="1"/>
    <col min="15888" max="15888" width="10.7109375" bestFit="1" customWidth="1"/>
    <col min="15889" max="15889" width="8" bestFit="1" customWidth="1"/>
    <col min="15890" max="15890" width="6" bestFit="1" customWidth="1"/>
    <col min="15891" max="15891" width="10.7109375" bestFit="1" customWidth="1"/>
    <col min="16129" max="16129" width="5.5703125" bestFit="1" customWidth="1"/>
    <col min="16130" max="16130" width="19" customWidth="1"/>
    <col min="16131" max="16131" width="108.28515625" customWidth="1"/>
    <col min="16132" max="16132" width="26.42578125" customWidth="1"/>
    <col min="16135" max="16135" width="74.5703125" customWidth="1"/>
    <col min="16136" max="16136" width="24" bestFit="1" customWidth="1"/>
    <col min="16137" max="16138" width="12" bestFit="1" customWidth="1"/>
    <col min="16139" max="16139" width="8" bestFit="1" customWidth="1"/>
    <col min="16140" max="16140" width="5.28515625" bestFit="1" customWidth="1"/>
    <col min="16141" max="16141" width="5" bestFit="1" customWidth="1"/>
    <col min="16142" max="16142" width="8" bestFit="1" customWidth="1"/>
    <col min="16143" max="16143" width="6" bestFit="1" customWidth="1"/>
    <col min="16144" max="16144" width="10.7109375" bestFit="1" customWidth="1"/>
    <col min="16145" max="16145" width="8" bestFit="1" customWidth="1"/>
    <col min="16146" max="16146" width="6" bestFit="1" customWidth="1"/>
    <col min="16147" max="16147" width="10.7109375" bestFit="1" customWidth="1"/>
  </cols>
  <sheetData>
    <row r="1" spans="1:30">
      <c r="B1" s="436" t="s">
        <v>6191</v>
      </c>
      <c r="C1" s="436"/>
      <c r="D1" s="436" t="s">
        <v>6192</v>
      </c>
      <c r="E1" s="436"/>
      <c r="G1" s="22"/>
      <c r="R1" s="11" t="s">
        <v>5454</v>
      </c>
      <c r="S1" s="11"/>
      <c r="T1" s="11" t="s">
        <v>913</v>
      </c>
      <c r="U1" s="11" t="s">
        <v>6182</v>
      </c>
      <c r="V1" s="11"/>
      <c r="W1" s="11" t="s">
        <v>913</v>
      </c>
      <c r="X1" s="11" t="s">
        <v>6183</v>
      </c>
      <c r="Y1" s="11"/>
      <c r="Z1" s="11" t="s">
        <v>916</v>
      </c>
      <c r="AA1" s="11" t="s">
        <v>5</v>
      </c>
      <c r="AB1" s="11" t="s">
        <v>6184</v>
      </c>
      <c r="AD1" t="s">
        <v>6185</v>
      </c>
    </row>
    <row r="2" spans="1:30">
      <c r="A2" s="230" t="s">
        <v>3603</v>
      </c>
      <c r="B2" s="230" t="s">
        <v>180</v>
      </c>
      <c r="C2" s="230" t="s">
        <v>6193</v>
      </c>
      <c r="D2" s="230" t="s">
        <v>6194</v>
      </c>
      <c r="E2" s="230" t="s">
        <v>6195</v>
      </c>
      <c r="F2" s="230" t="s">
        <v>5264</v>
      </c>
      <c r="G2" s="22"/>
      <c r="H2" s="230" t="s">
        <v>4092</v>
      </c>
      <c r="I2" s="230" t="s">
        <v>5</v>
      </c>
      <c r="R2" s="11" t="s">
        <v>5447</v>
      </c>
      <c r="S2" s="11" t="s">
        <v>6181</v>
      </c>
      <c r="T2" s="11">
        <v>17800</v>
      </c>
      <c r="U2" s="11">
        <v>916</v>
      </c>
      <c r="V2" s="11" t="s">
        <v>4329</v>
      </c>
      <c r="W2" s="11">
        <v>16472</v>
      </c>
      <c r="X2" s="11">
        <v>916</v>
      </c>
      <c r="Y2" s="11"/>
      <c r="Z2" s="26">
        <v>987467</v>
      </c>
      <c r="AA2" s="26">
        <f>Z2/2</f>
        <v>493733.5</v>
      </c>
      <c r="AB2" s="11" t="s">
        <v>5447</v>
      </c>
      <c r="AD2">
        <v>1086</v>
      </c>
    </row>
    <row r="3" spans="1:30" ht="72.75" customHeight="1">
      <c r="A3" s="239">
        <v>2</v>
      </c>
      <c r="B3" s="239" t="s">
        <v>6261</v>
      </c>
      <c r="C3" s="239" t="s">
        <v>6262</v>
      </c>
      <c r="D3" s="239">
        <v>0</v>
      </c>
      <c r="E3" s="239">
        <v>426136788</v>
      </c>
      <c r="F3" s="239">
        <v>1153060652</v>
      </c>
      <c r="G3" s="22"/>
      <c r="H3" s="7">
        <v>1230000</v>
      </c>
      <c r="I3" s="7">
        <f>H3/2</f>
        <v>615000</v>
      </c>
      <c r="J3" t="s">
        <v>6264</v>
      </c>
      <c r="R3" s="216" t="s">
        <v>5642</v>
      </c>
      <c r="S3" s="241" t="s">
        <v>6260</v>
      </c>
      <c r="T3" s="216">
        <v>21532</v>
      </c>
      <c r="U3" s="216">
        <v>1859</v>
      </c>
      <c r="V3" s="218" t="s">
        <v>6188</v>
      </c>
      <c r="W3" s="218">
        <v>1187</v>
      </c>
      <c r="X3" s="218">
        <f t="shared" ref="X3:X9" si="0">T3*U3*0.99114/(W3*1.0037158)</f>
        <v>33299.467209851166</v>
      </c>
      <c r="Y3" s="218">
        <f t="shared" ref="Y3:Y9" si="1">T3/W3</f>
        <v>18.139848357203032</v>
      </c>
      <c r="Z3" s="26">
        <v>0</v>
      </c>
      <c r="AA3" s="26">
        <f t="shared" ref="AA3:AA9" si="2">Z3/2</f>
        <v>0</v>
      </c>
      <c r="AB3" s="11" t="s">
        <v>6180</v>
      </c>
    </row>
    <row r="4" spans="1:30">
      <c r="A4" s="36">
        <v>3</v>
      </c>
      <c r="B4" s="36" t="s">
        <v>6261</v>
      </c>
      <c r="C4" s="36" t="s">
        <v>6263</v>
      </c>
      <c r="D4" s="36">
        <v>0</v>
      </c>
      <c r="E4" s="36">
        <v>259688196</v>
      </c>
      <c r="F4" s="36">
        <v>1412748848</v>
      </c>
      <c r="G4" s="22"/>
      <c r="H4" s="7"/>
      <c r="I4" s="7"/>
      <c r="R4" s="216" t="s">
        <v>5645</v>
      </c>
      <c r="S4" s="216" t="s">
        <v>6187</v>
      </c>
      <c r="T4" s="216">
        <v>22420.1</v>
      </c>
      <c r="U4" s="223">
        <v>1000</v>
      </c>
      <c r="V4" s="218" t="s">
        <v>6189</v>
      </c>
      <c r="W4" s="218">
        <v>1161</v>
      </c>
      <c r="X4" s="218">
        <f t="shared" si="0"/>
        <v>19069.072437793271</v>
      </c>
      <c r="Y4" s="218">
        <f t="shared" si="1"/>
        <v>19.311024978466836</v>
      </c>
      <c r="Z4" s="26">
        <v>19462210</v>
      </c>
      <c r="AA4" s="26">
        <f t="shared" si="2"/>
        <v>9731105</v>
      </c>
      <c r="AB4" s="11" t="s">
        <v>6177</v>
      </c>
    </row>
    <row r="5" spans="1:30">
      <c r="A5" s="240"/>
      <c r="B5" s="231" t="s">
        <v>6196</v>
      </c>
      <c r="C5" s="231" t="s">
        <v>6197</v>
      </c>
      <c r="D5" s="231">
        <v>0</v>
      </c>
      <c r="E5" s="231">
        <v>1545379960</v>
      </c>
      <c r="F5" s="231">
        <v>1545486874</v>
      </c>
      <c r="G5" s="22"/>
      <c r="H5" s="7">
        <f>(E5-D7)/10</f>
        <v>19462210.699999999</v>
      </c>
      <c r="I5" s="7">
        <f>H5/2</f>
        <v>9731105.3499999996</v>
      </c>
      <c r="R5" s="216" t="s">
        <v>5646</v>
      </c>
      <c r="S5" s="216" t="s">
        <v>6187</v>
      </c>
      <c r="T5" s="216">
        <v>23233.1</v>
      </c>
      <c r="U5" s="223">
        <v>1000</v>
      </c>
      <c r="V5" s="218" t="s">
        <v>6189</v>
      </c>
      <c r="W5" s="218">
        <v>1152</v>
      </c>
      <c r="X5" s="218">
        <f t="shared" si="0"/>
        <v>19914.936480069027</v>
      </c>
      <c r="Y5" s="218">
        <f t="shared" si="1"/>
        <v>20.167621527777776</v>
      </c>
      <c r="Z5" s="26">
        <v>0</v>
      </c>
      <c r="AA5" s="26">
        <f t="shared" si="2"/>
        <v>0</v>
      </c>
      <c r="AB5" s="11" t="s">
        <v>6177</v>
      </c>
    </row>
    <row r="6" spans="1:30">
      <c r="A6" s="230"/>
      <c r="B6" s="232" t="s">
        <v>6196</v>
      </c>
      <c r="C6" s="232" t="s">
        <v>6198</v>
      </c>
      <c r="D6" s="232">
        <v>0</v>
      </c>
      <c r="E6" s="232">
        <v>32194843</v>
      </c>
      <c r="F6" s="232">
        <v>1577681717</v>
      </c>
      <c r="G6" s="22"/>
      <c r="H6" s="7">
        <f>E6/10</f>
        <v>3219484.3</v>
      </c>
      <c r="I6" s="7">
        <f>H6/2</f>
        <v>1609742.15</v>
      </c>
      <c r="R6" s="216" t="s">
        <v>5648</v>
      </c>
      <c r="S6" s="216" t="s">
        <v>6187</v>
      </c>
      <c r="T6" s="216">
        <v>23900</v>
      </c>
      <c r="U6" s="223">
        <v>1000</v>
      </c>
      <c r="V6" s="218" t="s">
        <v>6190</v>
      </c>
      <c r="W6" s="218">
        <v>1153</v>
      </c>
      <c r="X6" s="218">
        <f t="shared" si="0"/>
        <v>20468.821398374203</v>
      </c>
      <c r="Y6" s="218">
        <f t="shared" si="1"/>
        <v>20.7285342584562</v>
      </c>
      <c r="Z6" s="26">
        <v>0</v>
      </c>
      <c r="AA6" s="26">
        <f t="shared" si="2"/>
        <v>0</v>
      </c>
      <c r="AB6" s="11" t="s">
        <v>6177</v>
      </c>
    </row>
    <row r="7" spans="1:30">
      <c r="A7" s="240"/>
      <c r="B7" s="231" t="s">
        <v>6196</v>
      </c>
      <c r="C7" s="231" t="s">
        <v>6199</v>
      </c>
      <c r="D7" s="231">
        <v>1350757853</v>
      </c>
      <c r="E7" s="231">
        <v>0</v>
      </c>
      <c r="F7" s="231">
        <v>226923864</v>
      </c>
      <c r="G7" s="22"/>
      <c r="H7" s="7"/>
      <c r="I7" s="7"/>
      <c r="R7" s="216" t="s">
        <v>5658</v>
      </c>
      <c r="S7" s="216" t="s">
        <v>6187</v>
      </c>
      <c r="T7" s="216">
        <v>22500</v>
      </c>
      <c r="U7" s="223">
        <v>2000</v>
      </c>
      <c r="V7" s="218" t="s">
        <v>6189</v>
      </c>
      <c r="W7" s="218">
        <v>1093</v>
      </c>
      <c r="X7" s="218">
        <f t="shared" si="0"/>
        <v>40655.246136679802</v>
      </c>
      <c r="Y7" s="218">
        <f t="shared" si="1"/>
        <v>20.585544373284538</v>
      </c>
      <c r="Z7" s="26">
        <v>0</v>
      </c>
      <c r="AA7" s="26">
        <f t="shared" si="2"/>
        <v>0</v>
      </c>
      <c r="AB7" s="11" t="s">
        <v>6177</v>
      </c>
    </row>
    <row r="8" spans="1:30" ht="30">
      <c r="A8" s="36">
        <v>1</v>
      </c>
      <c r="B8" s="232" t="s">
        <v>6200</v>
      </c>
      <c r="C8" s="232" t="s">
        <v>6201</v>
      </c>
      <c r="D8" s="232">
        <v>0</v>
      </c>
      <c r="E8" s="232">
        <v>417254126</v>
      </c>
      <c r="F8" s="232">
        <v>417260507</v>
      </c>
      <c r="G8" s="22" t="s">
        <v>6202</v>
      </c>
      <c r="H8" s="7"/>
      <c r="I8" s="7"/>
      <c r="R8" s="216" t="s">
        <v>6166</v>
      </c>
      <c r="S8" s="216" t="s">
        <v>6186</v>
      </c>
      <c r="T8" s="216">
        <v>23706</v>
      </c>
      <c r="U8" s="223">
        <v>1000</v>
      </c>
      <c r="V8" s="218" t="s">
        <v>4192</v>
      </c>
      <c r="W8" s="218">
        <v>1155</v>
      </c>
      <c r="X8" s="218">
        <f t="shared" si="0"/>
        <v>20267.516662882761</v>
      </c>
      <c r="Y8" s="218">
        <f t="shared" si="1"/>
        <v>20.524675324675325</v>
      </c>
      <c r="Z8" s="26">
        <v>0</v>
      </c>
      <c r="AA8" s="26">
        <f t="shared" si="2"/>
        <v>0</v>
      </c>
      <c r="AB8" s="11" t="s">
        <v>6177</v>
      </c>
    </row>
    <row r="9" spans="1:30">
      <c r="A9" s="36">
        <v>2</v>
      </c>
      <c r="B9" s="232" t="s">
        <v>6200</v>
      </c>
      <c r="C9" s="232" t="s">
        <v>6203</v>
      </c>
      <c r="D9" s="232">
        <v>417153593</v>
      </c>
      <c r="E9" s="232">
        <v>0</v>
      </c>
      <c r="F9" s="232">
        <v>106914</v>
      </c>
      <c r="G9" s="22"/>
      <c r="H9" s="7"/>
      <c r="I9" s="7"/>
      <c r="R9" s="51" t="s">
        <v>6166</v>
      </c>
      <c r="S9" s="51" t="s">
        <v>4329</v>
      </c>
      <c r="T9" s="51">
        <v>16794</v>
      </c>
      <c r="U9" s="51">
        <v>2227</v>
      </c>
      <c r="V9" s="218" t="s">
        <v>4192</v>
      </c>
      <c r="W9" s="218">
        <v>1146.6500000000001</v>
      </c>
      <c r="X9" s="218">
        <f t="shared" si="0"/>
        <v>32208.294857700886</v>
      </c>
      <c r="Y9" s="218">
        <f t="shared" si="1"/>
        <v>14.646143112545239</v>
      </c>
      <c r="Z9" s="26">
        <v>3219484</v>
      </c>
      <c r="AA9" s="26">
        <f t="shared" si="2"/>
        <v>1609742</v>
      </c>
      <c r="AB9" s="11" t="s">
        <v>6169</v>
      </c>
      <c r="AD9" t="s">
        <v>25</v>
      </c>
    </row>
    <row r="10" spans="1:30">
      <c r="A10" s="36">
        <v>3</v>
      </c>
      <c r="B10" s="231" t="s">
        <v>6204</v>
      </c>
      <c r="C10" s="233" t="s">
        <v>6205</v>
      </c>
      <c r="D10" s="233">
        <v>0</v>
      </c>
      <c r="E10" s="233">
        <v>234963645</v>
      </c>
      <c r="F10" s="233">
        <v>235147671</v>
      </c>
      <c r="G10" s="22"/>
      <c r="H10" s="7"/>
      <c r="I10" s="7"/>
    </row>
    <row r="11" spans="1:30">
      <c r="A11" s="232">
        <v>4</v>
      </c>
      <c r="B11" s="232" t="s">
        <v>6204</v>
      </c>
      <c r="C11" s="232" t="s">
        <v>6206</v>
      </c>
      <c r="D11" s="232">
        <v>0</v>
      </c>
      <c r="E11" s="232">
        <v>370711163</v>
      </c>
      <c r="F11" s="232">
        <v>605858834</v>
      </c>
      <c r="G11" s="22"/>
      <c r="H11" s="7"/>
      <c r="I11" s="7"/>
    </row>
    <row r="12" spans="1:30" ht="30">
      <c r="A12" s="232">
        <v>5</v>
      </c>
      <c r="B12" s="231" t="s">
        <v>6204</v>
      </c>
      <c r="C12" s="232" t="s">
        <v>6207</v>
      </c>
      <c r="D12" s="233">
        <v>605852453</v>
      </c>
      <c r="E12" s="233">
        <v>0</v>
      </c>
      <c r="F12" s="233">
        <v>6381</v>
      </c>
      <c r="G12" s="22" t="s">
        <v>6208</v>
      </c>
      <c r="H12" s="7"/>
      <c r="I12" s="7"/>
    </row>
    <row r="13" spans="1:30">
      <c r="A13" s="36">
        <v>11</v>
      </c>
      <c r="B13" s="36" t="s">
        <v>6094</v>
      </c>
      <c r="C13" s="36" t="s">
        <v>6209</v>
      </c>
      <c r="D13" s="36">
        <v>88258180</v>
      </c>
      <c r="E13" s="36">
        <v>0</v>
      </c>
      <c r="F13" s="36">
        <v>184108</v>
      </c>
      <c r="G13" s="22" t="s">
        <v>6210</v>
      </c>
      <c r="H13" s="7"/>
      <c r="I13" s="7"/>
    </row>
    <row r="14" spans="1:30">
      <c r="A14" s="234">
        <v>12</v>
      </c>
      <c r="B14" s="234" t="s">
        <v>6211</v>
      </c>
      <c r="C14" s="234" t="s">
        <v>6212</v>
      </c>
      <c r="D14" s="234">
        <v>0</v>
      </c>
      <c r="E14" s="234">
        <v>88371992</v>
      </c>
      <c r="F14" s="234">
        <v>88442288</v>
      </c>
      <c r="G14" s="22"/>
      <c r="H14" s="7"/>
      <c r="I14" s="7"/>
    </row>
    <row r="15" spans="1:30">
      <c r="A15" s="235">
        <v>15</v>
      </c>
      <c r="B15" s="231" t="s">
        <v>6213</v>
      </c>
      <c r="C15" s="235" t="s">
        <v>6214</v>
      </c>
      <c r="D15" s="235">
        <v>0</v>
      </c>
      <c r="E15" s="235">
        <v>446040000</v>
      </c>
      <c r="F15" s="235">
        <v>455337264</v>
      </c>
      <c r="G15" s="22"/>
      <c r="H15" s="7"/>
      <c r="I15" s="7"/>
    </row>
    <row r="16" spans="1:30">
      <c r="A16" s="36">
        <v>16</v>
      </c>
      <c r="B16" s="36" t="s">
        <v>6213</v>
      </c>
      <c r="C16" s="36" t="s">
        <v>6215</v>
      </c>
      <c r="D16" s="36">
        <v>0</v>
      </c>
      <c r="E16" s="36">
        <v>5458523</v>
      </c>
      <c r="F16" s="36">
        <v>460795787</v>
      </c>
      <c r="G16" s="22"/>
      <c r="H16" s="7"/>
      <c r="I16" s="7"/>
    </row>
    <row r="17" spans="1:9">
      <c r="A17" s="235">
        <v>17</v>
      </c>
      <c r="B17" s="231" t="s">
        <v>6213</v>
      </c>
      <c r="C17" s="235" t="s">
        <v>6216</v>
      </c>
      <c r="D17" s="235">
        <v>460784299</v>
      </c>
      <c r="E17" s="235">
        <v>0</v>
      </c>
      <c r="F17" s="235">
        <v>11488</v>
      </c>
      <c r="G17" s="22"/>
      <c r="H17" s="7"/>
      <c r="I17" s="7"/>
    </row>
    <row r="18" spans="1:9">
      <c r="A18" s="236">
        <v>19</v>
      </c>
      <c r="B18" s="231" t="s">
        <v>6217</v>
      </c>
      <c r="C18" s="236" t="s">
        <v>6218</v>
      </c>
      <c r="D18" s="236">
        <v>0</v>
      </c>
      <c r="E18" s="236">
        <v>236896800</v>
      </c>
      <c r="F18" s="236">
        <v>247051542</v>
      </c>
      <c r="G18" s="22"/>
      <c r="H18" s="7"/>
      <c r="I18" s="7"/>
    </row>
    <row r="19" spans="1:9">
      <c r="A19" s="236">
        <v>22</v>
      </c>
      <c r="B19" s="231" t="s">
        <v>6217</v>
      </c>
      <c r="C19" s="236" t="s">
        <v>6219</v>
      </c>
      <c r="D19" s="236">
        <v>244418699</v>
      </c>
      <c r="E19" s="236">
        <v>0</v>
      </c>
      <c r="F19" s="236">
        <v>8048350</v>
      </c>
      <c r="G19" s="22"/>
      <c r="H19" s="7"/>
      <c r="I19" s="7"/>
    </row>
    <row r="20" spans="1:9">
      <c r="A20" s="237">
        <v>23</v>
      </c>
      <c r="B20" s="231" t="s">
        <v>6220</v>
      </c>
      <c r="C20" s="237" t="s">
        <v>6221</v>
      </c>
      <c r="D20" s="237">
        <v>0</v>
      </c>
      <c r="E20" s="237">
        <v>230286491</v>
      </c>
      <c r="F20" s="237">
        <v>238422914</v>
      </c>
      <c r="G20" s="22"/>
      <c r="H20" s="7"/>
      <c r="I20" s="7"/>
    </row>
    <row r="21" spans="1:9">
      <c r="A21" s="237">
        <v>24</v>
      </c>
      <c r="B21" s="231" t="s">
        <v>6220</v>
      </c>
      <c r="C21" s="237" t="s">
        <v>6222</v>
      </c>
      <c r="D21" s="237">
        <v>228268172</v>
      </c>
      <c r="E21" s="237">
        <v>0</v>
      </c>
      <c r="F21" s="237">
        <v>10154742</v>
      </c>
      <c r="G21" s="22"/>
      <c r="H21" s="7"/>
      <c r="I21" s="7"/>
    </row>
    <row r="22" spans="1:9">
      <c r="A22" s="238">
        <v>25</v>
      </c>
      <c r="B22" s="231" t="s">
        <v>6223</v>
      </c>
      <c r="C22" s="238" t="s">
        <v>6224</v>
      </c>
      <c r="D22" s="238">
        <v>0</v>
      </c>
      <c r="E22" s="238">
        <v>222228038</v>
      </c>
      <c r="F22" s="238">
        <v>230347490</v>
      </c>
      <c r="G22" s="22"/>
      <c r="H22" s="7"/>
      <c r="I22" s="7"/>
    </row>
    <row r="23" spans="1:9">
      <c r="A23" s="238">
        <v>26</v>
      </c>
      <c r="B23" s="231" t="s">
        <v>6223</v>
      </c>
      <c r="C23" s="238" t="s">
        <v>6225</v>
      </c>
      <c r="D23" s="238">
        <v>222211067</v>
      </c>
      <c r="E23" s="238">
        <v>0</v>
      </c>
      <c r="F23" s="238">
        <v>8136423</v>
      </c>
      <c r="G23" s="22"/>
      <c r="H23" s="7"/>
      <c r="I23" s="7"/>
    </row>
    <row r="24" spans="1:9">
      <c r="A24" s="239">
        <v>27</v>
      </c>
      <c r="B24" s="239" t="s">
        <v>6226</v>
      </c>
      <c r="C24" s="239" t="s">
        <v>6227</v>
      </c>
      <c r="D24" s="239">
        <v>0</v>
      </c>
      <c r="E24" s="239">
        <v>396757423</v>
      </c>
      <c r="F24" s="239">
        <v>404903981</v>
      </c>
      <c r="G24" s="22"/>
      <c r="H24" s="7"/>
      <c r="I24" s="7"/>
    </row>
    <row r="25" spans="1:9" ht="30">
      <c r="A25" s="239">
        <v>28</v>
      </c>
      <c r="B25" s="239" t="s">
        <v>6226</v>
      </c>
      <c r="C25" s="239" t="s">
        <v>6228</v>
      </c>
      <c r="D25" s="239">
        <v>396784529</v>
      </c>
      <c r="E25" s="239">
        <v>0</v>
      </c>
      <c r="F25" s="239">
        <v>8119452</v>
      </c>
      <c r="G25" s="22" t="s">
        <v>6229</v>
      </c>
      <c r="H25" s="7"/>
      <c r="I25" s="7"/>
    </row>
    <row r="26" spans="1:9">
      <c r="A26" s="36">
        <v>41</v>
      </c>
      <c r="B26" s="36" t="s">
        <v>6230</v>
      </c>
      <c r="C26" s="36" t="s">
        <v>6231</v>
      </c>
      <c r="D26" s="36">
        <v>9935956</v>
      </c>
      <c r="E26" s="36">
        <v>0</v>
      </c>
      <c r="F26" s="36">
        <v>4150875</v>
      </c>
      <c r="G26" s="22"/>
      <c r="H26" s="7"/>
      <c r="I26" s="7"/>
    </row>
    <row r="27" spans="1:9" ht="30">
      <c r="A27" s="234">
        <v>46</v>
      </c>
      <c r="B27" s="234" t="s">
        <v>6232</v>
      </c>
      <c r="C27" s="234" t="s">
        <v>6233</v>
      </c>
      <c r="D27" s="234">
        <v>13072</v>
      </c>
      <c r="E27" s="234">
        <v>0</v>
      </c>
      <c r="F27" s="234">
        <v>4639060</v>
      </c>
      <c r="G27" s="22" t="s">
        <v>6234</v>
      </c>
      <c r="H27" s="7"/>
      <c r="I27" s="7"/>
    </row>
    <row r="28" spans="1:9">
      <c r="A28" s="36">
        <v>59</v>
      </c>
      <c r="B28" s="36" t="s">
        <v>6235</v>
      </c>
      <c r="C28" s="36" t="s">
        <v>6236</v>
      </c>
      <c r="D28" s="36">
        <v>0</v>
      </c>
      <c r="E28" s="36">
        <v>2339234</v>
      </c>
      <c r="F28" s="36">
        <v>2355939</v>
      </c>
      <c r="G28" s="22"/>
      <c r="H28" s="7"/>
      <c r="I28" s="7"/>
    </row>
    <row r="29" spans="1:9">
      <c r="A29" s="235">
        <v>65</v>
      </c>
      <c r="B29" s="235" t="s">
        <v>6237</v>
      </c>
      <c r="C29" s="235" t="s">
        <v>6238</v>
      </c>
      <c r="D29" s="235">
        <v>0</v>
      </c>
      <c r="E29" s="235">
        <v>161458284</v>
      </c>
      <c r="F29" s="235">
        <v>379598720</v>
      </c>
      <c r="G29" s="22" t="s">
        <v>6239</v>
      </c>
      <c r="H29" s="7">
        <f>(E29-D31)/10</f>
        <v>987467.4</v>
      </c>
      <c r="I29" s="7">
        <f>H29/2</f>
        <v>493733.7</v>
      </c>
    </row>
    <row r="30" spans="1:9">
      <c r="A30" s="36">
        <v>66</v>
      </c>
      <c r="B30" s="36" t="s">
        <v>6237</v>
      </c>
      <c r="C30" s="36" t="s">
        <v>6240</v>
      </c>
      <c r="D30" s="36">
        <v>227863316</v>
      </c>
      <c r="E30" s="36">
        <v>0</v>
      </c>
      <c r="F30" s="36">
        <v>151735404</v>
      </c>
      <c r="G30" s="22"/>
    </row>
    <row r="31" spans="1:9">
      <c r="A31" s="235">
        <v>67</v>
      </c>
      <c r="B31" s="235" t="s">
        <v>6237</v>
      </c>
      <c r="C31" s="235" t="s">
        <v>6241</v>
      </c>
      <c r="D31" s="235">
        <v>151583610</v>
      </c>
      <c r="E31" s="235">
        <v>0</v>
      </c>
      <c r="F31" s="235">
        <v>151794</v>
      </c>
      <c r="G31" s="22"/>
    </row>
    <row r="32" spans="1:9">
      <c r="A32" s="36">
        <v>69</v>
      </c>
      <c r="B32" s="36" t="s">
        <v>6242</v>
      </c>
      <c r="C32" s="36" t="s">
        <v>6243</v>
      </c>
      <c r="D32" s="36">
        <v>86650200</v>
      </c>
      <c r="E32" s="36">
        <v>0</v>
      </c>
      <c r="F32" s="36">
        <v>420268653</v>
      </c>
      <c r="G32" s="22"/>
    </row>
    <row r="33" spans="1:9">
      <c r="A33" s="36">
        <v>71</v>
      </c>
      <c r="B33" s="36" t="s">
        <v>6242</v>
      </c>
      <c r="C33" s="36" t="s">
        <v>6244</v>
      </c>
      <c r="D33" s="36">
        <v>135477677</v>
      </c>
      <c r="E33" s="36">
        <v>0</v>
      </c>
      <c r="F33" s="36">
        <v>223507936</v>
      </c>
      <c r="G33" s="22"/>
    </row>
    <row r="34" spans="1:9">
      <c r="A34" s="36">
        <v>73</v>
      </c>
      <c r="B34" s="36" t="s">
        <v>6242</v>
      </c>
      <c r="C34" s="36" t="s">
        <v>6245</v>
      </c>
      <c r="D34" s="36">
        <v>69492638</v>
      </c>
      <c r="E34" s="36">
        <v>0</v>
      </c>
      <c r="F34" s="36">
        <v>153774186</v>
      </c>
      <c r="G34" s="22"/>
    </row>
    <row r="35" spans="1:9">
      <c r="A35" s="36">
        <v>79</v>
      </c>
      <c r="B35" s="36" t="s">
        <v>6246</v>
      </c>
      <c r="C35" s="36" t="s">
        <v>6247</v>
      </c>
      <c r="D35" s="36">
        <v>338468093</v>
      </c>
      <c r="E35" s="36">
        <v>0</v>
      </c>
      <c r="F35" s="36">
        <v>-338350050</v>
      </c>
      <c r="G35" s="22"/>
    </row>
    <row r="36" spans="1:9">
      <c r="A36" s="36">
        <v>80</v>
      </c>
      <c r="B36" s="36" t="s">
        <v>6248</v>
      </c>
      <c r="C36" s="36" t="s">
        <v>6249</v>
      </c>
      <c r="D36" s="36">
        <v>330081591</v>
      </c>
      <c r="E36" s="36">
        <v>0</v>
      </c>
      <c r="F36" s="36">
        <v>-330057613</v>
      </c>
      <c r="G36" s="22"/>
    </row>
    <row r="37" spans="1:9">
      <c r="A37" s="36">
        <v>81</v>
      </c>
      <c r="B37" s="36" t="s">
        <v>6248</v>
      </c>
      <c r="C37" s="36" t="s">
        <v>6250</v>
      </c>
      <c r="D37" s="36">
        <v>169824344</v>
      </c>
      <c r="E37" s="36">
        <v>0</v>
      </c>
      <c r="F37" s="36">
        <v>-499881957</v>
      </c>
      <c r="G37" s="22"/>
    </row>
    <row r="38" spans="1:9">
      <c r="A38" s="36">
        <v>82</v>
      </c>
      <c r="B38" s="36" t="s">
        <v>6251</v>
      </c>
      <c r="C38" s="36" t="s">
        <v>6252</v>
      </c>
      <c r="D38" s="36">
        <v>176497082</v>
      </c>
      <c r="E38" s="36">
        <v>0</v>
      </c>
      <c r="F38" s="36">
        <v>152229958</v>
      </c>
      <c r="G38" s="22"/>
    </row>
    <row r="39" spans="1:9">
      <c r="A39" s="36">
        <v>83</v>
      </c>
      <c r="B39" s="36" t="s">
        <v>6251</v>
      </c>
      <c r="C39" s="36" t="s">
        <v>6253</v>
      </c>
      <c r="D39" s="36">
        <v>152205980</v>
      </c>
      <c r="E39" s="36">
        <v>0</v>
      </c>
      <c r="F39" s="36">
        <v>23978</v>
      </c>
      <c r="G39" s="22"/>
    </row>
    <row r="40" spans="1:9">
      <c r="A40" s="36">
        <v>85</v>
      </c>
      <c r="B40" s="36" t="s">
        <v>6254</v>
      </c>
      <c r="C40" s="36" t="s">
        <v>6255</v>
      </c>
      <c r="D40" s="36">
        <v>170329802</v>
      </c>
      <c r="E40" s="36">
        <v>0</v>
      </c>
      <c r="F40" s="36">
        <v>329670198</v>
      </c>
      <c r="G40" s="22"/>
    </row>
    <row r="41" spans="1:9">
      <c r="A41" s="36">
        <v>86</v>
      </c>
      <c r="B41" s="36" t="s">
        <v>6256</v>
      </c>
      <c r="C41" s="36" t="s">
        <v>6257</v>
      </c>
      <c r="D41" s="36">
        <v>0</v>
      </c>
      <c r="E41" s="36">
        <v>0</v>
      </c>
      <c r="F41" s="36">
        <v>0</v>
      </c>
      <c r="H41">
        <f>SUM(H6:H40)</f>
        <v>4206951.7</v>
      </c>
      <c r="I41">
        <f>SUM(I6:I40)</f>
        <v>2103475.85</v>
      </c>
    </row>
    <row r="42" spans="1:9">
      <c r="A42" s="36">
        <v>87</v>
      </c>
      <c r="G42" s="22"/>
      <c r="H42" s="22" t="s">
        <v>6258</v>
      </c>
      <c r="I42" t="s">
        <v>6259</v>
      </c>
    </row>
    <row r="43" spans="1:9">
      <c r="G43" s="22"/>
    </row>
  </sheetData>
  <mergeCells count="2">
    <mergeCell ref="B1:C1"/>
    <mergeCell ref="D1:E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2" t="s">
        <v>280</v>
      </c>
      <c r="E1" s="32" t="s">
        <v>281</v>
      </c>
      <c r="F1" s="32" t="s">
        <v>285</v>
      </c>
      <c r="G1" s="11" t="s">
        <v>282</v>
      </c>
    </row>
    <row r="2" spans="1:7">
      <c r="A2" s="11" t="s">
        <v>292</v>
      </c>
      <c r="B2" s="3">
        <v>50000</v>
      </c>
      <c r="C2" s="11" t="s">
        <v>1</v>
      </c>
      <c r="D2" s="11">
        <v>45</v>
      </c>
      <c r="E2" s="11">
        <f>E3+D2</f>
        <v>747</v>
      </c>
      <c r="F2" s="11">
        <f>IF(B2&gt;0,1,0)</f>
        <v>1</v>
      </c>
      <c r="G2" s="11">
        <f>B2*(E2-F2)</f>
        <v>37300000</v>
      </c>
    </row>
    <row r="3" spans="1:7">
      <c r="A3" s="11" t="s">
        <v>451</v>
      </c>
      <c r="B3" s="3">
        <v>673</v>
      </c>
      <c r="C3" s="11" t="s">
        <v>880</v>
      </c>
      <c r="D3" s="11">
        <v>32</v>
      </c>
      <c r="E3" s="11">
        <f t="shared" ref="E3:E45" si="0">E4+D3</f>
        <v>702</v>
      </c>
      <c r="F3" s="11">
        <f t="shared" ref="F3:F84" si="1">IF(B3&gt;0,1,0)</f>
        <v>1</v>
      </c>
      <c r="G3" s="11">
        <f t="shared" ref="G3:G84" si="2">B3*(E3-F3)</f>
        <v>471773</v>
      </c>
    </row>
    <row r="4" spans="1:7">
      <c r="A4" s="11" t="s">
        <v>486</v>
      </c>
      <c r="B4" s="3">
        <v>503</v>
      </c>
      <c r="C4" s="11" t="s">
        <v>880</v>
      </c>
      <c r="D4" s="11">
        <v>31</v>
      </c>
      <c r="E4" s="11">
        <f t="shared" si="0"/>
        <v>670</v>
      </c>
      <c r="F4" s="11">
        <f t="shared" si="1"/>
        <v>1</v>
      </c>
      <c r="G4" s="11">
        <f t="shared" si="2"/>
        <v>336507</v>
      </c>
    </row>
    <row r="5" spans="1:7">
      <c r="A5" s="11" t="s">
        <v>527</v>
      </c>
      <c r="B5" s="3">
        <v>478</v>
      </c>
      <c r="C5" s="11" t="s">
        <v>880</v>
      </c>
      <c r="D5" s="11">
        <v>31</v>
      </c>
      <c r="E5" s="11">
        <f t="shared" si="0"/>
        <v>639</v>
      </c>
      <c r="F5" s="11">
        <f t="shared" si="1"/>
        <v>1</v>
      </c>
      <c r="G5" s="11">
        <f t="shared" si="2"/>
        <v>304964</v>
      </c>
    </row>
    <row r="6" spans="1:7">
      <c r="A6" s="11" t="s">
        <v>558</v>
      </c>
      <c r="B6" s="3">
        <v>482</v>
      </c>
      <c r="C6" s="11" t="s">
        <v>880</v>
      </c>
      <c r="D6" s="11">
        <v>31</v>
      </c>
      <c r="E6" s="11">
        <f t="shared" si="0"/>
        <v>608</v>
      </c>
      <c r="F6" s="11">
        <f t="shared" si="1"/>
        <v>1</v>
      </c>
      <c r="G6" s="11">
        <f t="shared" si="2"/>
        <v>292574</v>
      </c>
    </row>
    <row r="7" spans="1:7">
      <c r="A7" s="11" t="s">
        <v>601</v>
      </c>
      <c r="B7" s="3">
        <v>487</v>
      </c>
      <c r="C7" s="11" t="s">
        <v>880</v>
      </c>
      <c r="D7" s="11">
        <v>31</v>
      </c>
      <c r="E7" s="11">
        <f t="shared" si="0"/>
        <v>577</v>
      </c>
      <c r="F7" s="11">
        <f t="shared" si="1"/>
        <v>1</v>
      </c>
      <c r="G7" s="11">
        <f t="shared" si="2"/>
        <v>280512</v>
      </c>
    </row>
    <row r="8" spans="1:7">
      <c r="A8" s="11" t="s">
        <v>604</v>
      </c>
      <c r="B8" s="3">
        <v>491</v>
      </c>
      <c r="C8" s="11" t="s">
        <v>880</v>
      </c>
      <c r="D8" s="11">
        <v>31</v>
      </c>
      <c r="E8" s="11">
        <f t="shared" si="0"/>
        <v>546</v>
      </c>
      <c r="F8" s="11">
        <f t="shared" si="1"/>
        <v>1</v>
      </c>
      <c r="G8" s="11">
        <f t="shared" si="2"/>
        <v>267595</v>
      </c>
    </row>
    <row r="9" spans="1:7">
      <c r="A9" s="11" t="s">
        <v>605</v>
      </c>
      <c r="B9" s="3">
        <v>496</v>
      </c>
      <c r="C9" s="11" t="s">
        <v>880</v>
      </c>
      <c r="D9" s="11">
        <v>30</v>
      </c>
      <c r="E9" s="11">
        <f t="shared" si="0"/>
        <v>515</v>
      </c>
      <c r="F9" s="11">
        <f t="shared" si="1"/>
        <v>1</v>
      </c>
      <c r="G9" s="11">
        <f t="shared" si="2"/>
        <v>254944</v>
      </c>
    </row>
    <row r="10" spans="1:7">
      <c r="A10" s="11" t="s">
        <v>606</v>
      </c>
      <c r="B10" s="3">
        <v>440</v>
      </c>
      <c r="C10" s="11" t="s">
        <v>880</v>
      </c>
      <c r="D10" s="11">
        <v>30</v>
      </c>
      <c r="E10" s="11">
        <f t="shared" si="0"/>
        <v>485</v>
      </c>
      <c r="F10" s="11">
        <f t="shared" si="1"/>
        <v>1</v>
      </c>
      <c r="G10" s="11">
        <f t="shared" si="2"/>
        <v>212960</v>
      </c>
    </row>
    <row r="11" spans="1:7">
      <c r="A11" s="11" t="s">
        <v>607</v>
      </c>
      <c r="B11" s="3">
        <v>444</v>
      </c>
      <c r="C11" s="11" t="s">
        <v>880</v>
      </c>
      <c r="D11" s="11">
        <v>25</v>
      </c>
      <c r="E11" s="11">
        <f t="shared" si="0"/>
        <v>455</v>
      </c>
      <c r="F11" s="11">
        <f t="shared" si="1"/>
        <v>1</v>
      </c>
      <c r="G11" s="11">
        <f t="shared" si="2"/>
        <v>201576</v>
      </c>
    </row>
    <row r="12" spans="1:7">
      <c r="A12" s="11" t="s">
        <v>767</v>
      </c>
      <c r="B12" s="3">
        <v>-10000</v>
      </c>
      <c r="C12" s="11" t="s">
        <v>479</v>
      </c>
      <c r="D12" s="11">
        <v>4</v>
      </c>
      <c r="E12" s="11">
        <f t="shared" si="0"/>
        <v>430</v>
      </c>
      <c r="F12" s="11">
        <f t="shared" si="1"/>
        <v>0</v>
      </c>
      <c r="G12" s="11">
        <f t="shared" si="2"/>
        <v>-4300000</v>
      </c>
    </row>
    <row r="13" spans="1:7">
      <c r="A13" s="11" t="s">
        <v>864</v>
      </c>
      <c r="B13" s="3">
        <v>436</v>
      </c>
      <c r="C13" s="11" t="s">
        <v>777</v>
      </c>
      <c r="D13" s="11">
        <v>3</v>
      </c>
      <c r="E13" s="11">
        <f t="shared" si="0"/>
        <v>426</v>
      </c>
      <c r="F13" s="11">
        <f t="shared" si="1"/>
        <v>1</v>
      </c>
      <c r="G13" s="11">
        <f t="shared" si="2"/>
        <v>185300</v>
      </c>
    </row>
    <row r="14" spans="1:7">
      <c r="A14" s="11" t="s">
        <v>780</v>
      </c>
      <c r="B14" s="3">
        <v>1000000</v>
      </c>
      <c r="C14" s="11" t="s">
        <v>782</v>
      </c>
      <c r="D14" s="11">
        <v>3</v>
      </c>
      <c r="E14" s="11">
        <f t="shared" si="0"/>
        <v>423</v>
      </c>
      <c r="F14" s="11">
        <f t="shared" si="1"/>
        <v>1</v>
      </c>
      <c r="G14" s="11">
        <f t="shared" si="2"/>
        <v>422000000</v>
      </c>
    </row>
    <row r="15" spans="1:7">
      <c r="A15" s="11" t="s">
        <v>784</v>
      </c>
      <c r="B15" s="3">
        <v>-95000</v>
      </c>
      <c r="C15" s="11" t="s">
        <v>479</v>
      </c>
      <c r="D15" s="11">
        <v>0</v>
      </c>
      <c r="E15" s="11">
        <f t="shared" si="0"/>
        <v>420</v>
      </c>
      <c r="F15" s="11">
        <f t="shared" si="1"/>
        <v>0</v>
      </c>
      <c r="G15" s="11">
        <f t="shared" si="2"/>
        <v>-39900000</v>
      </c>
    </row>
    <row r="16" spans="1:7">
      <c r="A16" s="11" t="s">
        <v>784</v>
      </c>
      <c r="B16" s="3">
        <v>-70600</v>
      </c>
      <c r="C16" s="11" t="s">
        <v>785</v>
      </c>
      <c r="D16" s="11">
        <v>0</v>
      </c>
      <c r="E16" s="11">
        <f t="shared" si="0"/>
        <v>420</v>
      </c>
      <c r="F16" s="11">
        <f t="shared" si="1"/>
        <v>0</v>
      </c>
      <c r="G16" s="11">
        <f t="shared" si="2"/>
        <v>-29652000</v>
      </c>
    </row>
    <row r="17" spans="1:7">
      <c r="A17" s="11" t="s">
        <v>784</v>
      </c>
      <c r="B17" s="3">
        <v>-450030</v>
      </c>
      <c r="C17" s="11" t="s">
        <v>786</v>
      </c>
      <c r="D17" s="11">
        <v>2</v>
      </c>
      <c r="E17" s="11">
        <f t="shared" si="0"/>
        <v>420</v>
      </c>
      <c r="F17" s="11">
        <f t="shared" si="1"/>
        <v>0</v>
      </c>
      <c r="G17" s="11">
        <f t="shared" si="2"/>
        <v>-189012600</v>
      </c>
    </row>
    <row r="18" spans="1:7">
      <c r="A18" s="11" t="s">
        <v>787</v>
      </c>
      <c r="B18" s="3">
        <v>-109047</v>
      </c>
      <c r="C18" s="11" t="s">
        <v>482</v>
      </c>
      <c r="D18" s="11">
        <v>1</v>
      </c>
      <c r="E18" s="11">
        <f t="shared" si="0"/>
        <v>418</v>
      </c>
      <c r="F18" s="11">
        <f t="shared" si="1"/>
        <v>0</v>
      </c>
      <c r="G18" s="11">
        <f t="shared" si="2"/>
        <v>-45581646</v>
      </c>
    </row>
    <row r="19" spans="1:7">
      <c r="A19" s="11" t="s">
        <v>790</v>
      </c>
      <c r="B19" s="3">
        <v>-26000</v>
      </c>
      <c r="C19" s="11" t="s">
        <v>791</v>
      </c>
      <c r="D19" s="11">
        <v>3</v>
      </c>
      <c r="E19" s="11">
        <f t="shared" si="0"/>
        <v>417</v>
      </c>
      <c r="F19" s="11">
        <f t="shared" si="1"/>
        <v>0</v>
      </c>
      <c r="G19" s="11">
        <f t="shared" si="2"/>
        <v>-10842000</v>
      </c>
    </row>
    <row r="20" spans="1:7">
      <c r="A20" s="11" t="s">
        <v>794</v>
      </c>
      <c r="B20" s="3">
        <v>-80000</v>
      </c>
      <c r="C20" s="11" t="s">
        <v>479</v>
      </c>
      <c r="D20" s="11">
        <v>2</v>
      </c>
      <c r="E20" s="11">
        <f t="shared" si="0"/>
        <v>414</v>
      </c>
      <c r="F20" s="11">
        <f t="shared" si="1"/>
        <v>0</v>
      </c>
      <c r="G20" s="11">
        <f t="shared" si="2"/>
        <v>-33120000</v>
      </c>
    </row>
    <row r="21" spans="1:7">
      <c r="A21" s="11" t="s">
        <v>796</v>
      </c>
      <c r="B21" s="3">
        <v>-95000</v>
      </c>
      <c r="C21" s="11" t="s">
        <v>479</v>
      </c>
      <c r="D21" s="11">
        <v>2</v>
      </c>
      <c r="E21" s="11">
        <f t="shared" si="0"/>
        <v>412</v>
      </c>
      <c r="F21" s="11">
        <f t="shared" si="1"/>
        <v>0</v>
      </c>
      <c r="G21" s="11">
        <f t="shared" si="2"/>
        <v>-39140000</v>
      </c>
    </row>
    <row r="22" spans="1:7">
      <c r="A22" s="11" t="s">
        <v>799</v>
      </c>
      <c r="B22" s="3">
        <v>-15670</v>
      </c>
      <c r="C22" s="11" t="s">
        <v>627</v>
      </c>
      <c r="D22" s="11">
        <v>1</v>
      </c>
      <c r="E22" s="11">
        <f t="shared" si="0"/>
        <v>410</v>
      </c>
      <c r="F22" s="11">
        <f t="shared" si="1"/>
        <v>0</v>
      </c>
      <c r="G22" s="11">
        <f t="shared" si="2"/>
        <v>-6424700</v>
      </c>
    </row>
    <row r="23" spans="1:7">
      <c r="A23" s="11" t="s">
        <v>802</v>
      </c>
      <c r="B23" s="3">
        <v>-95500</v>
      </c>
      <c r="C23" s="11" t="s">
        <v>803</v>
      </c>
      <c r="D23" s="11">
        <v>1</v>
      </c>
      <c r="E23" s="11">
        <f t="shared" si="0"/>
        <v>409</v>
      </c>
      <c r="F23" s="11">
        <f t="shared" si="1"/>
        <v>0</v>
      </c>
      <c r="G23" s="11">
        <f t="shared" si="2"/>
        <v>-39059500</v>
      </c>
    </row>
    <row r="24" spans="1:7">
      <c r="A24" s="11" t="s">
        <v>804</v>
      </c>
      <c r="B24" s="3">
        <v>2000000</v>
      </c>
      <c r="C24" s="11" t="s">
        <v>805</v>
      </c>
      <c r="D24" s="11">
        <v>0</v>
      </c>
      <c r="E24" s="11">
        <f t="shared" si="0"/>
        <v>408</v>
      </c>
      <c r="F24" s="11">
        <f t="shared" si="1"/>
        <v>1</v>
      </c>
      <c r="G24" s="11">
        <f t="shared" si="2"/>
        <v>814000000</v>
      </c>
    </row>
    <row r="25" spans="1:7">
      <c r="A25" s="11" t="s">
        <v>804</v>
      </c>
      <c r="B25" s="3">
        <v>-131450</v>
      </c>
      <c r="C25" s="11" t="s">
        <v>807</v>
      </c>
      <c r="D25" s="11">
        <v>6</v>
      </c>
      <c r="E25" s="11">
        <f t="shared" si="0"/>
        <v>408</v>
      </c>
      <c r="F25" s="11">
        <f t="shared" si="1"/>
        <v>0</v>
      </c>
      <c r="G25" s="11">
        <f t="shared" si="2"/>
        <v>-53631600</v>
      </c>
    </row>
    <row r="26" spans="1:7">
      <c r="A26" s="11" t="s">
        <v>809</v>
      </c>
      <c r="B26" s="3">
        <v>-15120</v>
      </c>
      <c r="C26" s="11" t="s">
        <v>627</v>
      </c>
      <c r="D26" s="11">
        <v>2</v>
      </c>
      <c r="E26" s="11">
        <f t="shared" si="0"/>
        <v>402</v>
      </c>
      <c r="F26" s="11">
        <f t="shared" si="1"/>
        <v>0</v>
      </c>
      <c r="G26" s="11">
        <f t="shared" si="2"/>
        <v>-6078240</v>
      </c>
    </row>
    <row r="27" spans="1:7">
      <c r="A27" s="11" t="s">
        <v>810</v>
      </c>
      <c r="B27" s="3">
        <v>-200000</v>
      </c>
      <c r="C27" s="11" t="s">
        <v>479</v>
      </c>
      <c r="D27" s="11">
        <v>1</v>
      </c>
      <c r="E27" s="11">
        <f t="shared" si="0"/>
        <v>400</v>
      </c>
      <c r="F27" s="11">
        <f t="shared" si="1"/>
        <v>0</v>
      </c>
      <c r="G27" s="11">
        <f t="shared" si="2"/>
        <v>-80000000</v>
      </c>
    </row>
    <row r="28" spans="1:7">
      <c r="A28" s="11" t="s">
        <v>811</v>
      </c>
      <c r="B28" s="3">
        <v>-180500</v>
      </c>
      <c r="C28" s="11" t="s">
        <v>812</v>
      </c>
      <c r="D28" s="11">
        <v>3</v>
      </c>
      <c r="E28" s="11">
        <f t="shared" si="0"/>
        <v>399</v>
      </c>
      <c r="F28" s="11">
        <f t="shared" si="1"/>
        <v>0</v>
      </c>
      <c r="G28" s="11">
        <f t="shared" si="2"/>
        <v>-72019500</v>
      </c>
    </row>
    <row r="29" spans="1:7">
      <c r="A29" s="11" t="s">
        <v>814</v>
      </c>
      <c r="B29" s="31">
        <v>7117</v>
      </c>
      <c r="C29" s="11" t="s">
        <v>820</v>
      </c>
      <c r="D29" s="11">
        <v>4</v>
      </c>
      <c r="E29" s="11">
        <f t="shared" si="0"/>
        <v>396</v>
      </c>
      <c r="F29" s="11">
        <f t="shared" si="1"/>
        <v>1</v>
      </c>
      <c r="G29" s="11">
        <f t="shared" si="2"/>
        <v>2811215</v>
      </c>
    </row>
    <row r="30" spans="1:7">
      <c r="A30" s="11" t="s">
        <v>828</v>
      </c>
      <c r="B30" s="3">
        <v>-10000</v>
      </c>
      <c r="C30" s="11" t="s">
        <v>479</v>
      </c>
      <c r="D30" s="11">
        <v>4</v>
      </c>
      <c r="E30" s="11">
        <f t="shared" si="0"/>
        <v>392</v>
      </c>
      <c r="F30" s="11">
        <f t="shared" si="1"/>
        <v>0</v>
      </c>
      <c r="G30" s="11">
        <f t="shared" si="2"/>
        <v>-3920000</v>
      </c>
    </row>
    <row r="31" spans="1:7">
      <c r="A31" s="11" t="s">
        <v>834</v>
      </c>
      <c r="B31" s="3">
        <v>-47053</v>
      </c>
      <c r="C31" s="11" t="s">
        <v>835</v>
      </c>
      <c r="D31" s="11">
        <v>6</v>
      </c>
      <c r="E31" s="11">
        <f t="shared" si="0"/>
        <v>388</v>
      </c>
      <c r="F31" s="11">
        <f t="shared" si="1"/>
        <v>0</v>
      </c>
      <c r="G31" s="11">
        <f t="shared" si="2"/>
        <v>-18256564</v>
      </c>
    </row>
    <row r="32" spans="1:7">
      <c r="A32" s="11" t="s">
        <v>836</v>
      </c>
      <c r="B32" s="3">
        <v>-33870</v>
      </c>
      <c r="C32" s="11" t="s">
        <v>837</v>
      </c>
      <c r="D32" s="11">
        <v>4</v>
      </c>
      <c r="E32" s="11">
        <f t="shared" si="0"/>
        <v>382</v>
      </c>
      <c r="F32" s="11">
        <f t="shared" si="1"/>
        <v>0</v>
      </c>
      <c r="G32" s="11">
        <f t="shared" si="2"/>
        <v>-12938340</v>
      </c>
    </row>
    <row r="33" spans="1:9">
      <c r="A33" s="11" t="s">
        <v>838</v>
      </c>
      <c r="B33" s="3">
        <v>-22000</v>
      </c>
      <c r="C33" s="11" t="s">
        <v>839</v>
      </c>
      <c r="D33" s="11">
        <v>0</v>
      </c>
      <c r="E33" s="11">
        <f t="shared" si="0"/>
        <v>378</v>
      </c>
      <c r="F33" s="11">
        <f t="shared" si="1"/>
        <v>0</v>
      </c>
      <c r="G33" s="11">
        <f t="shared" si="2"/>
        <v>-8316000</v>
      </c>
    </row>
    <row r="34" spans="1:9">
      <c r="A34" s="11" t="s">
        <v>838</v>
      </c>
      <c r="B34" s="3">
        <v>-250000</v>
      </c>
      <c r="C34" s="11" t="s">
        <v>840</v>
      </c>
      <c r="D34" s="11">
        <v>0</v>
      </c>
      <c r="E34" s="11">
        <f t="shared" si="0"/>
        <v>378</v>
      </c>
      <c r="F34" s="11">
        <f t="shared" si="1"/>
        <v>0</v>
      </c>
      <c r="G34" s="11">
        <f t="shared" si="2"/>
        <v>-94500000</v>
      </c>
    </row>
    <row r="35" spans="1:9">
      <c r="A35" s="11" t="s">
        <v>838</v>
      </c>
      <c r="B35" s="3">
        <v>-650500</v>
      </c>
      <c r="C35" s="11" t="s">
        <v>841</v>
      </c>
      <c r="D35" s="11">
        <v>2</v>
      </c>
      <c r="E35" s="11">
        <f t="shared" si="0"/>
        <v>378</v>
      </c>
      <c r="F35" s="11">
        <f t="shared" si="1"/>
        <v>0</v>
      </c>
      <c r="G35" s="11">
        <f t="shared" si="2"/>
        <v>-245889000</v>
      </c>
    </row>
    <row r="36" spans="1:9">
      <c r="A36" s="11" t="s">
        <v>842</v>
      </c>
      <c r="B36" s="3">
        <v>-200000</v>
      </c>
      <c r="C36" s="11" t="s">
        <v>479</v>
      </c>
      <c r="D36" s="11">
        <v>3</v>
      </c>
      <c r="E36" s="11">
        <f t="shared" si="0"/>
        <v>376</v>
      </c>
      <c r="F36" s="11">
        <f t="shared" si="1"/>
        <v>0</v>
      </c>
      <c r="G36" s="11">
        <f t="shared" si="2"/>
        <v>-75200000</v>
      </c>
    </row>
    <row r="37" spans="1:9">
      <c r="A37" s="11" t="s">
        <v>843</v>
      </c>
      <c r="B37" s="3">
        <v>-200000</v>
      </c>
      <c r="C37" s="11" t="s">
        <v>479</v>
      </c>
      <c r="D37" s="11">
        <v>0</v>
      </c>
      <c r="E37" s="11">
        <f t="shared" si="0"/>
        <v>373</v>
      </c>
      <c r="F37" s="11">
        <f t="shared" si="1"/>
        <v>0</v>
      </c>
      <c r="G37" s="11">
        <f t="shared" si="2"/>
        <v>-74600000</v>
      </c>
    </row>
    <row r="38" spans="1:9">
      <c r="A38" s="11" t="s">
        <v>865</v>
      </c>
      <c r="B38" s="3">
        <v>-26274</v>
      </c>
      <c r="C38" s="11" t="s">
        <v>61</v>
      </c>
      <c r="D38" s="11">
        <v>1</v>
      </c>
      <c r="E38" s="11">
        <f t="shared" si="0"/>
        <v>373</v>
      </c>
      <c r="F38" s="11">
        <f t="shared" si="1"/>
        <v>0</v>
      </c>
      <c r="G38" s="11">
        <f t="shared" si="2"/>
        <v>-9800202</v>
      </c>
    </row>
    <row r="39" spans="1:9">
      <c r="A39" s="11" t="s">
        <v>866</v>
      </c>
      <c r="B39" s="3">
        <v>-10070</v>
      </c>
      <c r="C39" s="11" t="s">
        <v>61</v>
      </c>
      <c r="D39" s="11">
        <v>1</v>
      </c>
      <c r="E39" s="11">
        <f t="shared" si="0"/>
        <v>372</v>
      </c>
      <c r="F39" s="11">
        <f t="shared" si="1"/>
        <v>0</v>
      </c>
      <c r="G39" s="11">
        <f t="shared" si="2"/>
        <v>-3746040</v>
      </c>
    </row>
    <row r="40" spans="1:9">
      <c r="A40" s="11" t="s">
        <v>867</v>
      </c>
      <c r="B40" s="3">
        <v>-30000</v>
      </c>
      <c r="C40" s="11" t="s">
        <v>868</v>
      </c>
      <c r="D40" s="11">
        <v>5</v>
      </c>
      <c r="E40" s="11">
        <f t="shared" si="0"/>
        <v>371</v>
      </c>
      <c r="F40" s="11">
        <f t="shared" si="1"/>
        <v>0</v>
      </c>
      <c r="G40" s="11">
        <f t="shared" si="2"/>
        <v>-11130000</v>
      </c>
    </row>
    <row r="41" spans="1:9">
      <c r="A41" s="11" t="s">
        <v>850</v>
      </c>
      <c r="B41" s="3">
        <v>7481</v>
      </c>
      <c r="C41" s="11" t="s">
        <v>869</v>
      </c>
      <c r="D41" s="11">
        <v>1</v>
      </c>
      <c r="E41" s="11">
        <f t="shared" si="0"/>
        <v>366</v>
      </c>
      <c r="F41" s="11">
        <f t="shared" si="1"/>
        <v>1</v>
      </c>
      <c r="G41" s="11">
        <f t="shared" si="2"/>
        <v>2730565</v>
      </c>
    </row>
    <row r="42" spans="1:9">
      <c r="A42" s="11" t="s">
        <v>853</v>
      </c>
      <c r="B42" s="3">
        <v>1000000</v>
      </c>
      <c r="C42" s="11" t="s">
        <v>854</v>
      </c>
      <c r="D42" s="11">
        <v>2</v>
      </c>
      <c r="E42" s="11">
        <f t="shared" si="0"/>
        <v>365</v>
      </c>
      <c r="F42" s="11">
        <f t="shared" si="1"/>
        <v>1</v>
      </c>
      <c r="G42" s="11">
        <f t="shared" si="2"/>
        <v>364000000</v>
      </c>
    </row>
    <row r="43" spans="1:9">
      <c r="A43" s="11" t="s">
        <v>870</v>
      </c>
      <c r="B43" s="3">
        <v>-39330</v>
      </c>
      <c r="C43" s="11" t="s">
        <v>856</v>
      </c>
      <c r="D43" s="11">
        <v>3</v>
      </c>
      <c r="E43" s="11">
        <f t="shared" si="0"/>
        <v>363</v>
      </c>
      <c r="F43" s="11">
        <f t="shared" si="1"/>
        <v>0</v>
      </c>
      <c r="G43" s="11">
        <f t="shared" si="2"/>
        <v>-14276790</v>
      </c>
    </row>
    <row r="44" spans="1:9">
      <c r="A44" s="11" t="s">
        <v>871</v>
      </c>
      <c r="B44" s="3">
        <v>-35080</v>
      </c>
      <c r="C44" s="11" t="s">
        <v>61</v>
      </c>
      <c r="D44" s="11">
        <v>3</v>
      </c>
      <c r="E44" s="11">
        <f t="shared" si="0"/>
        <v>360</v>
      </c>
      <c r="F44" s="11">
        <f t="shared" si="1"/>
        <v>0</v>
      </c>
      <c r="G44" s="11">
        <f t="shared" si="2"/>
        <v>-12628800</v>
      </c>
    </row>
    <row r="45" spans="1:9">
      <c r="A45" s="11" t="s">
        <v>855</v>
      </c>
      <c r="B45" s="3">
        <v>-200000</v>
      </c>
      <c r="C45" s="11" t="s">
        <v>479</v>
      </c>
      <c r="D45" s="11">
        <v>1</v>
      </c>
      <c r="E45" s="11">
        <f t="shared" si="0"/>
        <v>357</v>
      </c>
      <c r="F45" s="11">
        <f t="shared" si="1"/>
        <v>0</v>
      </c>
      <c r="G45" s="11">
        <f t="shared" si="2"/>
        <v>-71400000</v>
      </c>
    </row>
    <row r="46" spans="1:9">
      <c r="A46" s="11" t="s">
        <v>857</v>
      </c>
      <c r="B46" s="3">
        <v>-42370</v>
      </c>
      <c r="C46" s="11" t="s">
        <v>61</v>
      </c>
      <c r="D46" s="11">
        <v>1</v>
      </c>
      <c r="E46" s="11">
        <f>E47+D46</f>
        <v>356</v>
      </c>
      <c r="F46" s="11">
        <f t="shared" si="1"/>
        <v>0</v>
      </c>
      <c r="G46" s="11">
        <f t="shared" si="2"/>
        <v>-15083720</v>
      </c>
    </row>
    <row r="47" spans="1:9">
      <c r="A47" s="11" t="s">
        <v>872</v>
      </c>
      <c r="B47" s="3">
        <v>-42914</v>
      </c>
      <c r="C47" s="11" t="s">
        <v>61</v>
      </c>
      <c r="D47" s="11">
        <v>3</v>
      </c>
      <c r="E47" s="11">
        <f t="shared" ref="E47:E84" si="3">E48+D47</f>
        <v>355</v>
      </c>
      <c r="F47" s="11">
        <f t="shared" si="1"/>
        <v>0</v>
      </c>
      <c r="G47" s="11">
        <f t="shared" si="2"/>
        <v>-15234470</v>
      </c>
    </row>
    <row r="48" spans="1:9">
      <c r="A48" s="11" t="s">
        <v>873</v>
      </c>
      <c r="B48" s="3">
        <v>-83000</v>
      </c>
      <c r="C48" s="11" t="s">
        <v>874</v>
      </c>
      <c r="D48" s="11">
        <v>1</v>
      </c>
      <c r="E48" s="11">
        <f t="shared" si="3"/>
        <v>352</v>
      </c>
      <c r="F48" s="11">
        <f t="shared" si="1"/>
        <v>0</v>
      </c>
      <c r="G48" s="11">
        <f t="shared" si="2"/>
        <v>-29216000</v>
      </c>
      <c r="I48" t="s">
        <v>25</v>
      </c>
    </row>
    <row r="49" spans="1:7">
      <c r="A49" s="11" t="s">
        <v>875</v>
      </c>
      <c r="B49" s="3">
        <v>-95000</v>
      </c>
      <c r="C49" s="11" t="s">
        <v>479</v>
      </c>
      <c r="D49" s="11">
        <v>2</v>
      </c>
      <c r="E49" s="11">
        <f t="shared" si="3"/>
        <v>351</v>
      </c>
      <c r="F49" s="11">
        <f t="shared" si="1"/>
        <v>0</v>
      </c>
      <c r="G49" s="11">
        <f t="shared" si="2"/>
        <v>-33345000</v>
      </c>
    </row>
    <row r="50" spans="1:7">
      <c r="A50" s="11" t="s">
        <v>876</v>
      </c>
      <c r="B50" s="3">
        <v>-180000</v>
      </c>
      <c r="C50" s="11" t="s">
        <v>877</v>
      </c>
      <c r="D50" s="11">
        <v>0</v>
      </c>
      <c r="E50" s="11">
        <f t="shared" si="3"/>
        <v>349</v>
      </c>
      <c r="F50" s="11">
        <f t="shared" si="1"/>
        <v>0</v>
      </c>
      <c r="G50" s="11">
        <f t="shared" si="2"/>
        <v>-62820000</v>
      </c>
    </row>
    <row r="51" spans="1:7">
      <c r="A51" s="11" t="s">
        <v>878</v>
      </c>
      <c r="B51" s="3">
        <v>-95000</v>
      </c>
      <c r="C51" s="11" t="s">
        <v>479</v>
      </c>
      <c r="D51" s="11">
        <v>2</v>
      </c>
      <c r="E51" s="11">
        <f t="shared" si="3"/>
        <v>349</v>
      </c>
      <c r="F51" s="11">
        <f t="shared" si="1"/>
        <v>0</v>
      </c>
      <c r="G51" s="11">
        <f t="shared" si="2"/>
        <v>-33155000</v>
      </c>
    </row>
    <row r="52" spans="1:7">
      <c r="A52" s="11" t="s">
        <v>879</v>
      </c>
      <c r="B52" s="3">
        <v>-12780</v>
      </c>
      <c r="C52" s="11" t="s">
        <v>61</v>
      </c>
      <c r="D52" s="11">
        <v>1</v>
      </c>
      <c r="E52" s="11">
        <f t="shared" si="3"/>
        <v>347</v>
      </c>
      <c r="F52" s="11">
        <f t="shared" si="1"/>
        <v>0</v>
      </c>
      <c r="G52" s="11">
        <f t="shared" si="2"/>
        <v>-4434660</v>
      </c>
    </row>
    <row r="53" spans="1:7">
      <c r="A53" s="11" t="s">
        <v>889</v>
      </c>
      <c r="B53" s="3">
        <v>-22000</v>
      </c>
      <c r="C53" s="11" t="s">
        <v>890</v>
      </c>
      <c r="D53" s="11">
        <v>1</v>
      </c>
      <c r="E53" s="11">
        <f t="shared" si="3"/>
        <v>346</v>
      </c>
      <c r="F53" s="11">
        <f t="shared" si="1"/>
        <v>0</v>
      </c>
      <c r="G53" s="11">
        <f t="shared" si="2"/>
        <v>-7612000</v>
      </c>
    </row>
    <row r="54" spans="1:7">
      <c r="A54" s="11" t="s">
        <v>883</v>
      </c>
      <c r="B54" s="3">
        <v>999000</v>
      </c>
      <c r="C54" s="11" t="s">
        <v>887</v>
      </c>
      <c r="D54" s="11">
        <v>0</v>
      </c>
      <c r="E54" s="11">
        <f t="shared" si="3"/>
        <v>345</v>
      </c>
      <c r="F54" s="11">
        <f t="shared" si="1"/>
        <v>1</v>
      </c>
      <c r="G54" s="11">
        <f t="shared" si="2"/>
        <v>343656000</v>
      </c>
    </row>
    <row r="55" spans="1:7">
      <c r="A55" s="11" t="s">
        <v>883</v>
      </c>
      <c r="B55" s="3">
        <v>106900</v>
      </c>
      <c r="C55" s="11" t="s">
        <v>888</v>
      </c>
      <c r="D55" s="11">
        <v>0</v>
      </c>
      <c r="E55" s="11">
        <f t="shared" si="3"/>
        <v>345</v>
      </c>
      <c r="F55" s="11">
        <f t="shared" si="1"/>
        <v>1</v>
      </c>
      <c r="G55" s="11">
        <f t="shared" si="2"/>
        <v>36773600</v>
      </c>
    </row>
    <row r="56" spans="1:7">
      <c r="A56" s="11" t="s">
        <v>883</v>
      </c>
      <c r="B56" s="3">
        <v>-163000</v>
      </c>
      <c r="C56" s="11" t="s">
        <v>443</v>
      </c>
      <c r="D56" s="11">
        <v>1</v>
      </c>
      <c r="E56" s="11">
        <f t="shared" si="3"/>
        <v>345</v>
      </c>
      <c r="F56" s="11">
        <f t="shared" si="1"/>
        <v>0</v>
      </c>
      <c r="G56" s="11">
        <f t="shared" si="2"/>
        <v>-56235000</v>
      </c>
    </row>
    <row r="57" spans="1:7">
      <c r="A57" s="11" t="s">
        <v>892</v>
      </c>
      <c r="B57" s="3">
        <v>-18400</v>
      </c>
      <c r="C57" s="11" t="s">
        <v>835</v>
      </c>
      <c r="D57" s="11">
        <v>1</v>
      </c>
      <c r="E57" s="11">
        <f t="shared" si="3"/>
        <v>344</v>
      </c>
      <c r="F57" s="11">
        <f t="shared" si="1"/>
        <v>0</v>
      </c>
      <c r="G57" s="11">
        <f t="shared" si="2"/>
        <v>-6329600</v>
      </c>
    </row>
    <row r="58" spans="1:7">
      <c r="A58" s="11" t="s">
        <v>898</v>
      </c>
      <c r="B58" s="3">
        <v>-457777</v>
      </c>
      <c r="C58" s="11" t="s">
        <v>893</v>
      </c>
      <c r="D58" s="11">
        <v>1</v>
      </c>
      <c r="E58" s="11">
        <f t="shared" si="3"/>
        <v>343</v>
      </c>
      <c r="F58" s="11">
        <f t="shared" si="1"/>
        <v>0</v>
      </c>
      <c r="G58" s="11">
        <f t="shared" si="2"/>
        <v>-157017511</v>
      </c>
    </row>
    <row r="59" spans="1:7">
      <c r="A59" s="11" t="s">
        <v>1001</v>
      </c>
      <c r="B59" s="3">
        <v>-200000</v>
      </c>
      <c r="C59" s="11" t="s">
        <v>479</v>
      </c>
      <c r="D59" s="11">
        <v>3</v>
      </c>
      <c r="E59" s="11">
        <f t="shared" si="3"/>
        <v>342</v>
      </c>
      <c r="F59" s="11">
        <f t="shared" si="1"/>
        <v>0</v>
      </c>
      <c r="G59" s="11">
        <f t="shared" si="2"/>
        <v>-68400000</v>
      </c>
    </row>
    <row r="60" spans="1:7">
      <c r="A60" s="11" t="s">
        <v>980</v>
      </c>
      <c r="B60" s="3">
        <v>-23809</v>
      </c>
      <c r="C60" s="11" t="s">
        <v>61</v>
      </c>
      <c r="D60" s="11">
        <v>2</v>
      </c>
      <c r="E60" s="11">
        <f t="shared" si="3"/>
        <v>339</v>
      </c>
      <c r="F60" s="11">
        <f t="shared" si="1"/>
        <v>0</v>
      </c>
      <c r="G60" s="11">
        <f t="shared" si="2"/>
        <v>-8071251</v>
      </c>
    </row>
    <row r="61" spans="1:7">
      <c r="A61" s="11" t="s">
        <v>997</v>
      </c>
      <c r="B61" s="3">
        <v>4172</v>
      </c>
      <c r="C61" s="11" t="s">
        <v>999</v>
      </c>
      <c r="D61" s="11">
        <v>1</v>
      </c>
      <c r="E61" s="11">
        <f t="shared" si="3"/>
        <v>337</v>
      </c>
      <c r="F61" s="11">
        <f t="shared" si="1"/>
        <v>1</v>
      </c>
      <c r="G61" s="11">
        <f t="shared" si="2"/>
        <v>1401792</v>
      </c>
    </row>
    <row r="62" spans="1:7">
      <c r="A62" s="11" t="s">
        <v>1003</v>
      </c>
      <c r="B62" s="3">
        <v>-161000</v>
      </c>
      <c r="C62" s="11" t="s">
        <v>1011</v>
      </c>
      <c r="D62" s="11">
        <v>1</v>
      </c>
      <c r="E62" s="11">
        <f t="shared" si="3"/>
        <v>336</v>
      </c>
      <c r="F62" s="11">
        <f t="shared" si="1"/>
        <v>0</v>
      </c>
      <c r="G62" s="11">
        <f t="shared" si="2"/>
        <v>-54096000</v>
      </c>
    </row>
    <row r="63" spans="1:7">
      <c r="A63" s="11" t="s">
        <v>1016</v>
      </c>
      <c r="B63" s="3">
        <v>-149505</v>
      </c>
      <c r="C63" s="11" t="s">
        <v>1017</v>
      </c>
      <c r="D63" s="11">
        <v>4</v>
      </c>
      <c r="E63" s="11">
        <f t="shared" si="3"/>
        <v>335</v>
      </c>
      <c r="F63" s="11">
        <f t="shared" si="1"/>
        <v>0</v>
      </c>
      <c r="G63" s="11">
        <f t="shared" si="2"/>
        <v>-50084175</v>
      </c>
    </row>
    <row r="64" spans="1:7">
      <c r="A64" s="11" t="s">
        <v>1029</v>
      </c>
      <c r="B64" s="3">
        <v>-4940</v>
      </c>
      <c r="C64" s="11" t="s">
        <v>1033</v>
      </c>
      <c r="D64" s="11">
        <v>25</v>
      </c>
      <c r="E64" s="11">
        <f t="shared" si="3"/>
        <v>331</v>
      </c>
      <c r="F64" s="11">
        <f t="shared" si="1"/>
        <v>0</v>
      </c>
      <c r="G64" s="11">
        <f t="shared" si="2"/>
        <v>-1635140</v>
      </c>
    </row>
    <row r="65" spans="1:9">
      <c r="A65" s="11" t="s">
        <v>1107</v>
      </c>
      <c r="B65" s="3">
        <v>1009</v>
      </c>
      <c r="C65" s="11" t="s">
        <v>487</v>
      </c>
      <c r="D65" s="11">
        <v>2</v>
      </c>
      <c r="E65" s="11">
        <f t="shared" si="3"/>
        <v>306</v>
      </c>
      <c r="F65" s="11">
        <f t="shared" si="1"/>
        <v>1</v>
      </c>
      <c r="G65" s="11">
        <f t="shared" si="2"/>
        <v>307745</v>
      </c>
    </row>
    <row r="66" spans="1:9">
      <c r="A66" s="11" t="s">
        <v>1110</v>
      </c>
      <c r="B66" s="3">
        <v>-64538</v>
      </c>
      <c r="C66" s="11" t="s">
        <v>835</v>
      </c>
      <c r="D66" s="11">
        <v>9</v>
      </c>
      <c r="E66" s="11">
        <f t="shared" si="3"/>
        <v>304</v>
      </c>
      <c r="F66" s="11">
        <f t="shared" si="1"/>
        <v>0</v>
      </c>
      <c r="G66" s="11">
        <f t="shared" si="2"/>
        <v>-19619552</v>
      </c>
    </row>
    <row r="67" spans="1:9">
      <c r="A67" s="11" t="s">
        <v>1159</v>
      </c>
      <c r="B67" s="3">
        <v>1000000</v>
      </c>
      <c r="C67" s="11" t="s">
        <v>1164</v>
      </c>
      <c r="D67" s="11">
        <v>5</v>
      </c>
      <c r="E67" s="11">
        <f t="shared" si="3"/>
        <v>295</v>
      </c>
      <c r="F67" s="11">
        <f t="shared" si="1"/>
        <v>1</v>
      </c>
      <c r="G67" s="11">
        <f t="shared" si="2"/>
        <v>294000000</v>
      </c>
    </row>
    <row r="68" spans="1:9">
      <c r="A68" s="11" t="s">
        <v>1175</v>
      </c>
      <c r="B68" s="3">
        <v>-910500</v>
      </c>
      <c r="C68" s="11" t="s">
        <v>1176</v>
      </c>
      <c r="D68" s="11">
        <v>2</v>
      </c>
      <c r="E68" s="11">
        <f t="shared" si="3"/>
        <v>290</v>
      </c>
      <c r="F68" s="11">
        <f t="shared" si="1"/>
        <v>0</v>
      </c>
      <c r="G68" s="11">
        <f t="shared" si="2"/>
        <v>-264045000</v>
      </c>
    </row>
    <row r="69" spans="1:9">
      <c r="A69" s="11" t="s">
        <v>1184</v>
      </c>
      <c r="B69" s="3">
        <v>-24550</v>
      </c>
      <c r="C69" s="11" t="s">
        <v>835</v>
      </c>
      <c r="D69" s="11">
        <v>1</v>
      </c>
      <c r="E69" s="11">
        <f t="shared" si="3"/>
        <v>288</v>
      </c>
      <c r="F69" s="11">
        <f t="shared" si="1"/>
        <v>0</v>
      </c>
      <c r="G69" s="11">
        <f t="shared" si="2"/>
        <v>-7070400</v>
      </c>
    </row>
    <row r="70" spans="1:9">
      <c r="A70" s="11" t="s">
        <v>1185</v>
      </c>
      <c r="B70" s="3">
        <v>-75000</v>
      </c>
      <c r="C70" s="11" t="s">
        <v>1187</v>
      </c>
      <c r="D70" s="11">
        <v>12</v>
      </c>
      <c r="E70" s="11">
        <f t="shared" si="3"/>
        <v>287</v>
      </c>
      <c r="F70" s="11">
        <f t="shared" si="1"/>
        <v>0</v>
      </c>
      <c r="G70" s="11">
        <f t="shared" si="2"/>
        <v>-21525000</v>
      </c>
    </row>
    <row r="71" spans="1:9">
      <c r="A71" s="11" t="s">
        <v>3634</v>
      </c>
      <c r="B71" s="3">
        <v>1471</v>
      </c>
      <c r="C71" s="11" t="s">
        <v>3637</v>
      </c>
      <c r="D71" s="11">
        <v>139</v>
      </c>
      <c r="E71" s="11">
        <f t="shared" si="3"/>
        <v>275</v>
      </c>
      <c r="F71" s="11">
        <f t="shared" si="1"/>
        <v>1</v>
      </c>
      <c r="G71" s="11">
        <f t="shared" si="2"/>
        <v>403054</v>
      </c>
    </row>
    <row r="72" spans="1:9">
      <c r="A72" s="11" t="s">
        <v>4196</v>
      </c>
      <c r="B72" s="3">
        <v>-5000</v>
      </c>
      <c r="C72" s="11" t="s">
        <v>4197</v>
      </c>
      <c r="D72" s="11">
        <v>84</v>
      </c>
      <c r="E72" s="11">
        <f t="shared" si="3"/>
        <v>136</v>
      </c>
      <c r="F72" s="11">
        <f t="shared" si="1"/>
        <v>0</v>
      </c>
      <c r="G72" s="11">
        <f t="shared" si="2"/>
        <v>-680000</v>
      </c>
    </row>
    <row r="73" spans="1:9">
      <c r="A73" s="11" t="s">
        <v>4480</v>
      </c>
      <c r="B73" s="3">
        <v>100000</v>
      </c>
      <c r="C73" s="11" t="s">
        <v>3853</v>
      </c>
      <c r="D73" s="11">
        <v>50</v>
      </c>
      <c r="E73" s="11">
        <f t="shared" si="3"/>
        <v>52</v>
      </c>
      <c r="F73" s="11">
        <f t="shared" si="1"/>
        <v>1</v>
      </c>
      <c r="G73" s="11">
        <f t="shared" si="2"/>
        <v>5100000</v>
      </c>
    </row>
    <row r="74" spans="1:9">
      <c r="A74" s="11" t="s">
        <v>4605</v>
      </c>
      <c r="B74" s="3">
        <v>-38130</v>
      </c>
      <c r="C74" s="11" t="s">
        <v>1002</v>
      </c>
      <c r="D74" s="11">
        <v>1</v>
      </c>
      <c r="E74" s="11">
        <f t="shared" si="3"/>
        <v>2</v>
      </c>
      <c r="F74" s="11">
        <f t="shared" si="1"/>
        <v>0</v>
      </c>
      <c r="G74" s="11">
        <f t="shared" si="2"/>
        <v>-76260</v>
      </c>
      <c r="I74" t="s">
        <v>25</v>
      </c>
    </row>
    <row r="75" spans="1:9">
      <c r="A75" s="11" t="s">
        <v>4608</v>
      </c>
      <c r="B75" s="3">
        <v>-20000</v>
      </c>
      <c r="C75" s="11" t="s">
        <v>4612</v>
      </c>
      <c r="D75" s="11">
        <v>1</v>
      </c>
      <c r="E75" s="11">
        <f t="shared" si="3"/>
        <v>1</v>
      </c>
      <c r="F75" s="11">
        <f t="shared" si="1"/>
        <v>0</v>
      </c>
      <c r="G75" s="11">
        <f t="shared" si="2"/>
        <v>-20000</v>
      </c>
    </row>
    <row r="76" spans="1:9">
      <c r="A76" s="11"/>
      <c r="B76" s="3"/>
      <c r="C76" s="11"/>
      <c r="D76" s="11"/>
      <c r="E76" s="11">
        <f t="shared" si="3"/>
        <v>0</v>
      </c>
      <c r="F76" s="11">
        <f t="shared" si="1"/>
        <v>0</v>
      </c>
      <c r="G76" s="11">
        <f t="shared" si="2"/>
        <v>0</v>
      </c>
    </row>
    <row r="77" spans="1:9">
      <c r="A77" s="11" t="s">
        <v>25</v>
      </c>
      <c r="B77" s="3"/>
      <c r="C77" s="11"/>
      <c r="D77" s="11"/>
      <c r="E77" s="11">
        <f t="shared" si="3"/>
        <v>0</v>
      </c>
      <c r="F77" s="11">
        <f t="shared" si="1"/>
        <v>0</v>
      </c>
      <c r="G77" s="11">
        <f t="shared" si="2"/>
        <v>0</v>
      </c>
    </row>
    <row r="78" spans="1:9">
      <c r="A78" s="11"/>
      <c r="B78" s="3"/>
      <c r="C78" s="11"/>
      <c r="D78" s="11"/>
      <c r="E78" s="11">
        <f t="shared" si="3"/>
        <v>0</v>
      </c>
      <c r="F78" s="11">
        <f t="shared" si="1"/>
        <v>0</v>
      </c>
      <c r="G78" s="11">
        <f t="shared" si="2"/>
        <v>0</v>
      </c>
    </row>
    <row r="79" spans="1:9">
      <c r="A79" s="11"/>
      <c r="B79" s="3"/>
      <c r="C79" s="11"/>
      <c r="D79" s="11"/>
      <c r="E79" s="11">
        <f t="shared" si="3"/>
        <v>0</v>
      </c>
      <c r="F79" s="11">
        <f t="shared" si="1"/>
        <v>0</v>
      </c>
      <c r="G79" s="11">
        <f t="shared" si="2"/>
        <v>0</v>
      </c>
    </row>
    <row r="80" spans="1:9">
      <c r="A80" s="11"/>
      <c r="B80" s="3"/>
      <c r="C80" s="11"/>
      <c r="D80" s="11"/>
      <c r="E80" s="11">
        <f t="shared" si="3"/>
        <v>0</v>
      </c>
      <c r="F80" s="11">
        <f t="shared" si="1"/>
        <v>0</v>
      </c>
      <c r="G80" s="11">
        <f t="shared" si="2"/>
        <v>0</v>
      </c>
    </row>
    <row r="81" spans="1:7">
      <c r="A81" s="11" t="s">
        <v>25</v>
      </c>
      <c r="B81" s="3"/>
      <c r="C81" s="11"/>
      <c r="D81" s="11"/>
      <c r="E81" s="11">
        <f t="shared" si="3"/>
        <v>0</v>
      </c>
      <c r="F81" s="11">
        <f t="shared" si="1"/>
        <v>0</v>
      </c>
      <c r="G81" s="11">
        <f t="shared" si="2"/>
        <v>0</v>
      </c>
    </row>
    <row r="82" spans="1:7">
      <c r="A82" s="11"/>
      <c r="B82" s="3"/>
      <c r="C82" s="11"/>
      <c r="D82" s="11"/>
      <c r="E82" s="11">
        <f t="shared" si="3"/>
        <v>0</v>
      </c>
      <c r="F82" s="11">
        <f t="shared" si="1"/>
        <v>0</v>
      </c>
      <c r="G82" s="11">
        <f t="shared" si="2"/>
        <v>0</v>
      </c>
    </row>
    <row r="83" spans="1:7">
      <c r="A83" s="11" t="s">
        <v>25</v>
      </c>
      <c r="B83" s="3"/>
      <c r="C83" s="11"/>
      <c r="D83" s="11"/>
      <c r="E83" s="11">
        <f t="shared" si="3"/>
        <v>0</v>
      </c>
      <c r="F83" s="11">
        <f t="shared" si="1"/>
        <v>0</v>
      </c>
      <c r="G83" s="11">
        <f t="shared" si="2"/>
        <v>0</v>
      </c>
    </row>
    <row r="84" spans="1:7">
      <c r="A84" s="11"/>
      <c r="B84" s="3"/>
      <c r="C84" s="11"/>
      <c r="D84" s="11"/>
      <c r="E84" s="11">
        <f t="shared" si="3"/>
        <v>0</v>
      </c>
      <c r="F84" s="11">
        <f t="shared" si="1"/>
        <v>0</v>
      </c>
      <c r="G84" s="11">
        <f t="shared" si="2"/>
        <v>0</v>
      </c>
    </row>
    <row r="85" spans="1:7">
      <c r="A85" s="11"/>
      <c r="B85" s="26">
        <f>SUM(B2:B84)</f>
        <v>64773</v>
      </c>
      <c r="C85" s="11"/>
      <c r="D85" s="11"/>
      <c r="E85" s="11"/>
      <c r="F85" s="11"/>
      <c r="G85" s="26">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bestFit="1" customWidth="1"/>
    <col min="4" max="4" width="17" bestFit="1" customWidth="1"/>
    <col min="5" max="5" width="18.7109375" bestFit="1" customWidth="1"/>
    <col min="6" max="6" width="14.85546875" bestFit="1" customWidth="1"/>
    <col min="7" max="9" width="13.5703125" bestFit="1" customWidth="1"/>
    <col min="10" max="10" width="13.85546875" bestFit="1" customWidth="1"/>
    <col min="11" max="11" width="10" bestFit="1" customWidth="1"/>
    <col min="12" max="13" width="18.7109375" bestFit="1" customWidth="1"/>
    <col min="14" max="14" width="15.85546875" bestFit="1" customWidth="1"/>
    <col min="20" max="20" width="12" bestFit="1" customWidth="1"/>
  </cols>
  <sheetData>
    <row r="1" spans="1:21">
      <c r="A1" t="s">
        <v>5251</v>
      </c>
      <c r="B1">
        <v>0.24</v>
      </c>
    </row>
    <row r="4" spans="1:21">
      <c r="A4" s="11" t="s">
        <v>3603</v>
      </c>
      <c r="B4" s="11" t="s">
        <v>180</v>
      </c>
      <c r="C4" s="11" t="s">
        <v>5255</v>
      </c>
      <c r="D4" s="11" t="s">
        <v>5256</v>
      </c>
      <c r="E4" s="11" t="s">
        <v>5263</v>
      </c>
      <c r="F4" s="11" t="s">
        <v>5257</v>
      </c>
      <c r="G4" s="11" t="s">
        <v>5258</v>
      </c>
      <c r="H4" s="11" t="s">
        <v>5259</v>
      </c>
      <c r="I4" s="11" t="s">
        <v>5260</v>
      </c>
      <c r="J4" s="11" t="s">
        <v>5261</v>
      </c>
      <c r="K4" s="11" t="s">
        <v>5262</v>
      </c>
      <c r="L4" s="11" t="s">
        <v>5250</v>
      </c>
      <c r="M4" s="11" t="s">
        <v>5252</v>
      </c>
      <c r="N4" s="11" t="s">
        <v>5253</v>
      </c>
      <c r="O4" s="11"/>
    </row>
    <row r="5" spans="1:21">
      <c r="A5" s="11">
        <v>0</v>
      </c>
      <c r="B5" s="11" t="s">
        <v>5249</v>
      </c>
      <c r="C5" s="3">
        <v>1440600000</v>
      </c>
      <c r="D5" s="3">
        <v>808000000</v>
      </c>
      <c r="E5" s="3">
        <f>C5+D5</f>
        <v>2248600000</v>
      </c>
      <c r="F5" s="3"/>
      <c r="G5" s="3"/>
      <c r="H5" s="3"/>
      <c r="I5" s="3"/>
      <c r="J5" s="3"/>
      <c r="K5" s="3"/>
      <c r="L5" s="3">
        <v>2762000000</v>
      </c>
      <c r="M5" s="26">
        <f>'خرید و فروش سکه فیزیکی'!N291</f>
        <v>2762043832</v>
      </c>
      <c r="N5" s="26">
        <f>M5-L5</f>
        <v>43832</v>
      </c>
      <c r="O5" s="11"/>
    </row>
    <row r="6" spans="1:21">
      <c r="A6" s="11">
        <v>1</v>
      </c>
      <c r="B6" s="11" t="s">
        <v>5254</v>
      </c>
      <c r="C6" s="3">
        <f>C5*(1+$B$1/365)</f>
        <v>1441547243.8356164</v>
      </c>
      <c r="D6" s="3">
        <f>D5*(1+$B$1/365)</f>
        <v>808531287.67123282</v>
      </c>
      <c r="E6" s="3">
        <f>E5*(1+$B$1/365)</f>
        <v>2250078531.5068493</v>
      </c>
      <c r="F6" s="3"/>
      <c r="G6" s="3"/>
      <c r="H6" s="3"/>
      <c r="I6" s="3"/>
      <c r="J6" s="3"/>
      <c r="K6" s="3"/>
      <c r="L6" s="3">
        <f t="shared" ref="L6:L45" si="0">L5*(1+$B$1/365)</f>
        <v>2763816109.5890412</v>
      </c>
      <c r="M6" s="26">
        <v>2785000000</v>
      </c>
      <c r="N6" s="26">
        <f>M6-L6</f>
        <v>21183890.410958767</v>
      </c>
      <c r="O6" s="11"/>
    </row>
    <row r="7" spans="1:21">
      <c r="A7" s="11">
        <v>2</v>
      </c>
      <c r="B7" s="11" t="s">
        <v>5277</v>
      </c>
      <c r="C7" s="3">
        <f t="shared" ref="C7:C45" si="1">C6*(1+$B$1/365)</f>
        <v>1442495110.5164945</v>
      </c>
      <c r="D7" s="3">
        <f t="shared" ref="D7:D45" si="2">D6*(1+$B$1/365)</f>
        <v>809062924.68230426</v>
      </c>
      <c r="E7" s="3">
        <f t="shared" ref="E7:E45" si="3">E6*(1+$B$1/365)</f>
        <v>2251558035.1987991</v>
      </c>
      <c r="F7" s="3"/>
      <c r="G7" s="3"/>
      <c r="H7" s="3"/>
      <c r="I7" s="3"/>
      <c r="J7" s="3"/>
      <c r="K7" s="3"/>
      <c r="L7" s="3">
        <f t="shared" si="0"/>
        <v>2765633413.3323326</v>
      </c>
      <c r="M7" s="26">
        <v>2805000000</v>
      </c>
      <c r="N7" s="26">
        <f>M7-L7</f>
        <v>39366586.667667389</v>
      </c>
      <c r="O7" s="11"/>
    </row>
    <row r="8" spans="1:21">
      <c r="A8" s="11">
        <v>3</v>
      </c>
      <c r="B8" s="11" t="s">
        <v>5276</v>
      </c>
      <c r="C8" s="3">
        <f t="shared" si="1"/>
        <v>1443443600.4521766</v>
      </c>
      <c r="D8" s="3">
        <f t="shared" si="2"/>
        <v>809594911.26291728</v>
      </c>
      <c r="E8" s="3">
        <f t="shared" si="3"/>
        <v>2253038511.7150941</v>
      </c>
      <c r="F8" s="3"/>
      <c r="G8" s="3"/>
      <c r="H8" s="3"/>
      <c r="I8" s="3"/>
      <c r="J8" s="3"/>
      <c r="K8" s="3"/>
      <c r="L8" s="3">
        <f t="shared" si="0"/>
        <v>2767451912.0150719</v>
      </c>
      <c r="M8" s="26">
        <v>2831832761</v>
      </c>
      <c r="N8" s="26">
        <f>M8-L8</f>
        <v>64380848.984928131</v>
      </c>
      <c r="O8" s="11"/>
    </row>
    <row r="9" spans="1:21">
      <c r="A9" s="11">
        <v>4</v>
      </c>
      <c r="B9" s="11" t="s">
        <v>5280</v>
      </c>
      <c r="C9" s="3">
        <f t="shared" si="1"/>
        <v>1444392714.0524738</v>
      </c>
      <c r="D9" s="3">
        <f t="shared" si="2"/>
        <v>810127247.64292574</v>
      </c>
      <c r="E9" s="3">
        <f t="shared" si="3"/>
        <v>2254519961.6953998</v>
      </c>
      <c r="F9" s="3"/>
      <c r="G9" s="3"/>
      <c r="H9" s="3"/>
      <c r="I9" s="3"/>
      <c r="J9" s="3"/>
      <c r="K9" s="3"/>
      <c r="L9" s="3">
        <f t="shared" si="0"/>
        <v>2769271606.4229722</v>
      </c>
      <c r="M9" s="26">
        <v>2852743987</v>
      </c>
      <c r="N9" s="26">
        <f>M9-L9</f>
        <v>83472380.577027798</v>
      </c>
      <c r="O9" s="11"/>
    </row>
    <row r="10" spans="1:21">
      <c r="A10" s="11">
        <v>5</v>
      </c>
      <c r="B10" s="11"/>
      <c r="C10" s="3">
        <f t="shared" si="1"/>
        <v>1445342451.7274671</v>
      </c>
      <c r="D10" s="3">
        <f t="shared" si="2"/>
        <v>810659934.05233479</v>
      </c>
      <c r="E10" s="3">
        <f t="shared" si="3"/>
        <v>2256002385.7798023</v>
      </c>
      <c r="F10" s="3"/>
      <c r="G10" s="3"/>
      <c r="H10" s="3"/>
      <c r="I10" s="3"/>
      <c r="J10" s="3"/>
      <c r="K10" s="3"/>
      <c r="L10" s="3">
        <f t="shared" si="0"/>
        <v>2771092497.3422642</v>
      </c>
      <c r="M10" s="3"/>
      <c r="N10" s="3"/>
      <c r="O10" s="11"/>
    </row>
    <row r="11" spans="1:21">
      <c r="A11" s="11">
        <v>6</v>
      </c>
      <c r="B11" s="11"/>
      <c r="C11" s="3">
        <f t="shared" si="1"/>
        <v>1446292813.887507</v>
      </c>
      <c r="D11" s="3">
        <f t="shared" si="2"/>
        <v>811192970.72130072</v>
      </c>
      <c r="E11" s="3">
        <f t="shared" si="3"/>
        <v>2257485784.608808</v>
      </c>
      <c r="F11" s="3"/>
      <c r="G11" s="3"/>
      <c r="H11" s="3"/>
      <c r="I11" s="3"/>
      <c r="J11" s="3"/>
      <c r="K11" s="3"/>
      <c r="L11" s="3">
        <f t="shared" si="0"/>
        <v>2772914585.5596948</v>
      </c>
      <c r="M11" s="3"/>
      <c r="N11" s="3"/>
      <c r="O11" s="11"/>
    </row>
    <row r="12" spans="1:21">
      <c r="A12" s="11">
        <v>7</v>
      </c>
      <c r="B12" s="11"/>
      <c r="C12" s="3">
        <f t="shared" si="1"/>
        <v>1447243800.9432137</v>
      </c>
      <c r="D12" s="3">
        <f t="shared" si="2"/>
        <v>811726357.88013113</v>
      </c>
      <c r="E12" s="3">
        <f t="shared" si="3"/>
        <v>2258970158.8233452</v>
      </c>
      <c r="F12" s="3"/>
      <c r="G12" s="3"/>
      <c r="H12" s="3"/>
      <c r="I12" s="3"/>
      <c r="J12" s="3"/>
      <c r="K12" s="3"/>
      <c r="L12" s="3">
        <f t="shared" si="0"/>
        <v>2774737871.8625283</v>
      </c>
      <c r="M12" s="3"/>
      <c r="N12" s="3"/>
      <c r="O12" s="11"/>
      <c r="U12" t="s">
        <v>25</v>
      </c>
    </row>
    <row r="13" spans="1:21">
      <c r="A13" s="11">
        <v>8</v>
      </c>
      <c r="B13" s="11"/>
      <c r="C13" s="3">
        <f t="shared" si="1"/>
        <v>1448195413.3054776</v>
      </c>
      <c r="D13" s="3">
        <f t="shared" si="2"/>
        <v>812260095.75928521</v>
      </c>
      <c r="E13" s="3">
        <f t="shared" si="3"/>
        <v>2260455509.0647631</v>
      </c>
      <c r="F13" s="3"/>
      <c r="G13" s="3"/>
      <c r="H13" s="3"/>
      <c r="I13" s="3"/>
      <c r="J13" s="3"/>
      <c r="K13" s="3"/>
      <c r="L13" s="3">
        <f t="shared" si="0"/>
        <v>2776562357.0385475</v>
      </c>
      <c r="M13" s="3"/>
      <c r="N13" s="3"/>
      <c r="O13" s="11"/>
    </row>
    <row r="14" spans="1:21">
      <c r="A14" s="11">
        <v>9</v>
      </c>
      <c r="B14" s="11"/>
      <c r="C14" s="3">
        <f t="shared" si="1"/>
        <v>1449147651.3854592</v>
      </c>
      <c r="D14" s="3">
        <f t="shared" si="2"/>
        <v>812794184.58937347</v>
      </c>
      <c r="E14" s="3">
        <f t="shared" si="3"/>
        <v>2261941835.974833</v>
      </c>
      <c r="F14" s="3"/>
      <c r="G14" s="3"/>
      <c r="H14" s="3"/>
      <c r="I14" s="3"/>
      <c r="J14" s="3"/>
      <c r="K14" s="3"/>
      <c r="L14" s="3">
        <f t="shared" si="0"/>
        <v>2778388041.8760524</v>
      </c>
      <c r="M14" s="3"/>
      <c r="N14" s="3"/>
      <c r="O14" s="11"/>
    </row>
    <row r="15" spans="1:21">
      <c r="A15" s="11">
        <v>10</v>
      </c>
      <c r="B15" s="11"/>
      <c r="C15" s="3">
        <f t="shared" si="1"/>
        <v>1450100515.5945892</v>
      </c>
      <c r="D15" s="3">
        <f t="shared" si="2"/>
        <v>813328624.60115826</v>
      </c>
      <c r="E15" s="3">
        <f t="shared" si="3"/>
        <v>2263429140.1957479</v>
      </c>
      <c r="F15" s="3"/>
      <c r="G15" s="3"/>
      <c r="H15" s="3"/>
      <c r="I15" s="3"/>
      <c r="J15" s="3"/>
      <c r="K15" s="3"/>
      <c r="L15" s="3">
        <f t="shared" si="0"/>
        <v>2780214927.1638613</v>
      </c>
      <c r="M15" s="3"/>
      <c r="N15" s="3"/>
      <c r="O15" s="11"/>
    </row>
    <row r="16" spans="1:21">
      <c r="A16" s="11">
        <v>11</v>
      </c>
      <c r="B16" s="11"/>
      <c r="C16" s="3">
        <f t="shared" si="1"/>
        <v>1451054006.3445692</v>
      </c>
      <c r="D16" s="3">
        <f t="shared" si="2"/>
        <v>813863416.02555358</v>
      </c>
      <c r="E16" s="3">
        <f t="shared" si="3"/>
        <v>2264917422.3701229</v>
      </c>
      <c r="F16" s="3"/>
      <c r="G16" s="3"/>
      <c r="H16" s="3"/>
      <c r="I16" s="3"/>
      <c r="J16" s="3"/>
      <c r="K16" s="3"/>
      <c r="L16" s="3">
        <f t="shared" si="0"/>
        <v>2782043013.6913114</v>
      </c>
      <c r="M16" s="3"/>
      <c r="N16" s="3"/>
      <c r="O16" s="11"/>
    </row>
    <row r="17" spans="1:21">
      <c r="A17" s="11">
        <v>12</v>
      </c>
      <c r="B17" s="11"/>
      <c r="C17" s="3">
        <f t="shared" si="1"/>
        <v>1452008124.0473711</v>
      </c>
      <c r="D17" s="3">
        <f t="shared" si="2"/>
        <v>814398559.09362519</v>
      </c>
      <c r="E17" s="3">
        <f t="shared" si="3"/>
        <v>2266406683.1409965</v>
      </c>
      <c r="F17" s="3"/>
      <c r="G17" s="3"/>
      <c r="H17" s="3"/>
      <c r="I17" s="3"/>
      <c r="J17" s="3"/>
      <c r="K17" s="3"/>
      <c r="L17" s="3">
        <f t="shared" si="0"/>
        <v>2783872302.2482591</v>
      </c>
      <c r="M17" s="3"/>
      <c r="N17" s="3"/>
      <c r="O17" s="11"/>
    </row>
    <row r="18" spans="1:21">
      <c r="A18" s="11">
        <v>13</v>
      </c>
      <c r="B18" s="11"/>
      <c r="C18" s="3">
        <f t="shared" si="1"/>
        <v>1452962869.115238</v>
      </c>
      <c r="D18" s="3">
        <f t="shared" si="2"/>
        <v>814934054.03659081</v>
      </c>
      <c r="E18" s="3">
        <f t="shared" si="3"/>
        <v>2267896923.1518288</v>
      </c>
      <c r="F18" s="3"/>
      <c r="G18" s="3"/>
      <c r="H18" s="3"/>
      <c r="I18" s="3"/>
      <c r="J18" s="3"/>
      <c r="K18" s="3"/>
      <c r="L18" s="3">
        <f t="shared" si="0"/>
        <v>2785702793.6250796</v>
      </c>
      <c r="M18" s="3"/>
      <c r="N18" s="3"/>
      <c r="O18" s="11"/>
    </row>
    <row r="19" spans="1:21">
      <c r="A19" s="11">
        <v>14</v>
      </c>
      <c r="B19" s="11"/>
      <c r="C19" s="3">
        <f t="shared" si="1"/>
        <v>1453918241.9606836</v>
      </c>
      <c r="D19" s="3">
        <f t="shared" si="2"/>
        <v>815469901.08582032</v>
      </c>
      <c r="E19" s="3">
        <f t="shared" si="3"/>
        <v>2269388143.046504</v>
      </c>
      <c r="F19" s="3"/>
      <c r="G19" s="3"/>
      <c r="H19" s="3"/>
      <c r="I19" s="3"/>
      <c r="J19" s="3"/>
      <c r="K19" s="3"/>
      <c r="L19" s="3">
        <f t="shared" si="0"/>
        <v>2787534488.6126685</v>
      </c>
      <c r="M19" s="3"/>
      <c r="N19" s="3"/>
      <c r="O19" s="11"/>
    </row>
    <row r="20" spans="1:21">
      <c r="A20" s="11">
        <v>15</v>
      </c>
      <c r="B20" s="11"/>
      <c r="C20" s="3">
        <f t="shared" si="1"/>
        <v>1454874242.9964933</v>
      </c>
      <c r="D20" s="3">
        <f t="shared" si="2"/>
        <v>816006100.47283566</v>
      </c>
      <c r="E20" s="3">
        <f t="shared" si="3"/>
        <v>2270880343.4693289</v>
      </c>
      <c r="F20" s="3"/>
      <c r="G20" s="3"/>
      <c r="H20" s="3"/>
      <c r="I20" s="3"/>
      <c r="J20" s="3"/>
      <c r="K20" s="3"/>
      <c r="L20" s="3">
        <f t="shared" si="0"/>
        <v>2789367388.0024414</v>
      </c>
      <c r="M20" s="3"/>
      <c r="N20" s="3"/>
      <c r="O20" s="11"/>
      <c r="U20" t="s">
        <v>25</v>
      </c>
    </row>
    <row r="21" spans="1:21">
      <c r="A21" s="11">
        <v>16</v>
      </c>
      <c r="B21" s="11"/>
      <c r="C21" s="3">
        <f t="shared" si="1"/>
        <v>1455830872.6357238</v>
      </c>
      <c r="D21" s="3">
        <f t="shared" si="2"/>
        <v>816542652.42931092</v>
      </c>
      <c r="E21" s="3">
        <f t="shared" si="3"/>
        <v>2272373525.0650349</v>
      </c>
      <c r="F21" s="3"/>
      <c r="G21" s="3"/>
      <c r="H21" s="3"/>
      <c r="I21" s="3"/>
      <c r="J21" s="3"/>
      <c r="K21" s="3"/>
      <c r="L21" s="3">
        <f t="shared" si="0"/>
        <v>2791201492.5863333</v>
      </c>
      <c r="M21" s="3"/>
      <c r="N21" s="3"/>
      <c r="O21" s="11"/>
    </row>
    <row r="22" spans="1:21">
      <c r="A22" s="11">
        <v>17</v>
      </c>
      <c r="B22" s="11"/>
      <c r="C22" s="3">
        <f t="shared" si="1"/>
        <v>1456788131.2917035</v>
      </c>
      <c r="D22" s="3">
        <f t="shared" si="2"/>
        <v>817079557.18707263</v>
      </c>
      <c r="E22" s="3">
        <f t="shared" si="3"/>
        <v>2273867688.4787765</v>
      </c>
      <c r="F22" s="3"/>
      <c r="G22" s="3"/>
      <c r="H22" s="3"/>
      <c r="I22" s="3"/>
      <c r="J22" s="3"/>
      <c r="K22" s="3"/>
      <c r="L22" s="3">
        <f t="shared" si="0"/>
        <v>2793036803.1568007</v>
      </c>
      <c r="M22" s="3"/>
      <c r="N22" s="3"/>
      <c r="O22" s="11"/>
    </row>
    <row r="23" spans="1:21">
      <c r="A23" s="11">
        <v>18</v>
      </c>
      <c r="B23" s="11"/>
      <c r="C23" s="3">
        <f t="shared" si="1"/>
        <v>1457746019.3780322</v>
      </c>
      <c r="D23" s="3">
        <f t="shared" si="2"/>
        <v>817616814.9780997</v>
      </c>
      <c r="E23" s="3">
        <f t="shared" si="3"/>
        <v>2275362834.3561325</v>
      </c>
      <c r="F23" s="3"/>
      <c r="G23" s="3"/>
      <c r="H23" s="3"/>
      <c r="I23" s="3"/>
      <c r="J23" s="3"/>
      <c r="K23" s="3"/>
      <c r="L23" s="3">
        <f t="shared" si="0"/>
        <v>2794873320.5068216</v>
      </c>
      <c r="M23" s="3"/>
      <c r="N23" s="3"/>
      <c r="O23" s="11"/>
    </row>
    <row r="24" spans="1:21">
      <c r="A24" s="11">
        <v>19</v>
      </c>
      <c r="B24" s="11"/>
      <c r="C24" s="3">
        <f t="shared" si="1"/>
        <v>1458704537.3085821</v>
      </c>
      <c r="D24" s="3">
        <f t="shared" si="2"/>
        <v>818154426.03452361</v>
      </c>
      <c r="E24" s="3">
        <f t="shared" si="3"/>
        <v>2276858963.3431063</v>
      </c>
      <c r="F24" s="3"/>
      <c r="G24" s="3"/>
      <c r="H24" s="3"/>
      <c r="I24" s="3"/>
      <c r="J24" s="3"/>
      <c r="K24" s="3"/>
      <c r="L24" s="3">
        <f t="shared" si="0"/>
        <v>2796711045.4298944</v>
      </c>
      <c r="M24" s="3"/>
      <c r="N24" s="3"/>
      <c r="O24" s="11"/>
    </row>
    <row r="25" spans="1:21">
      <c r="A25" s="11">
        <v>20</v>
      </c>
      <c r="B25" s="11"/>
      <c r="C25" s="3">
        <f t="shared" si="1"/>
        <v>1459663685.4974973</v>
      </c>
      <c r="D25" s="3">
        <f t="shared" si="2"/>
        <v>818692390.58862853</v>
      </c>
      <c r="E25" s="3">
        <f t="shared" si="3"/>
        <v>2278356076.0861263</v>
      </c>
      <c r="F25" s="3"/>
      <c r="G25" s="3"/>
      <c r="H25" s="3"/>
      <c r="I25" s="3"/>
      <c r="J25" s="3"/>
      <c r="K25" s="3"/>
      <c r="L25" s="3">
        <f t="shared" si="0"/>
        <v>2798549978.7200403</v>
      </c>
      <c r="M25" s="3"/>
      <c r="N25" s="3"/>
      <c r="O25" s="11"/>
    </row>
    <row r="26" spans="1:21">
      <c r="A26" s="11">
        <v>21</v>
      </c>
      <c r="B26" s="11"/>
      <c r="C26" s="3">
        <f t="shared" si="1"/>
        <v>1460623464.3591943</v>
      </c>
      <c r="D26" s="3">
        <f t="shared" si="2"/>
        <v>819230708.87285113</v>
      </c>
      <c r="E26" s="3">
        <f t="shared" si="3"/>
        <v>2279854173.2320461</v>
      </c>
      <c r="F26" s="3"/>
      <c r="G26" s="3"/>
      <c r="H26" s="3"/>
      <c r="I26" s="3"/>
      <c r="J26" s="3"/>
      <c r="K26" s="3"/>
      <c r="L26" s="3">
        <f t="shared" si="0"/>
        <v>2800390121.1718016</v>
      </c>
      <c r="M26" s="3"/>
      <c r="N26" s="3"/>
      <c r="O26" s="11"/>
    </row>
    <row r="27" spans="1:21">
      <c r="A27" s="11">
        <v>22</v>
      </c>
      <c r="B27" s="11"/>
      <c r="C27" s="3">
        <f t="shared" si="1"/>
        <v>1461583874.308362</v>
      </c>
      <c r="D27" s="3">
        <f t="shared" si="2"/>
        <v>819769381.11978126</v>
      </c>
      <c r="E27" s="3">
        <f t="shared" si="3"/>
        <v>2281353255.428144</v>
      </c>
      <c r="F27" s="3"/>
      <c r="G27" s="3"/>
      <c r="H27" s="3"/>
      <c r="I27" s="3"/>
      <c r="J27" s="3"/>
      <c r="K27" s="3"/>
      <c r="L27" s="3">
        <f t="shared" si="0"/>
        <v>2802231473.5802431</v>
      </c>
      <c r="M27" s="3"/>
      <c r="N27" s="3"/>
      <c r="O27" s="11"/>
    </row>
    <row r="28" spans="1:21">
      <c r="A28" s="11">
        <v>23</v>
      </c>
      <c r="B28" s="11"/>
      <c r="C28" s="3">
        <f t="shared" si="1"/>
        <v>1462544915.7599621</v>
      </c>
      <c r="D28" s="3">
        <f t="shared" si="2"/>
        <v>820308407.56216133</v>
      </c>
      <c r="E28" s="3">
        <f t="shared" si="3"/>
        <v>2282853323.322124</v>
      </c>
      <c r="F28" s="3"/>
      <c r="G28" s="3"/>
      <c r="H28" s="3"/>
      <c r="I28" s="3"/>
      <c r="J28" s="3"/>
      <c r="K28" s="3"/>
      <c r="L28" s="3">
        <f t="shared" si="0"/>
        <v>2804074036.7409534</v>
      </c>
      <c r="M28" s="3"/>
      <c r="N28" s="3"/>
      <c r="O28" s="11"/>
    </row>
    <row r="29" spans="1:21">
      <c r="A29" s="11">
        <v>24</v>
      </c>
      <c r="B29" s="11"/>
      <c r="C29" s="3">
        <f t="shared" si="1"/>
        <v>1463506589.1292288</v>
      </c>
      <c r="D29" s="3">
        <f t="shared" si="2"/>
        <v>820847788.43288708</v>
      </c>
      <c r="E29" s="3">
        <f t="shared" si="3"/>
        <v>2284354377.5621166</v>
      </c>
      <c r="F29" s="3"/>
      <c r="G29" s="3"/>
      <c r="H29" s="3"/>
      <c r="I29" s="3"/>
      <c r="J29" s="3"/>
      <c r="K29" s="3"/>
      <c r="L29" s="3">
        <f t="shared" si="0"/>
        <v>2805917811.4500432</v>
      </c>
      <c r="M29" s="3"/>
      <c r="N29" s="3"/>
      <c r="O29" s="11"/>
    </row>
    <row r="30" spans="1:21">
      <c r="A30" s="11">
        <v>25</v>
      </c>
      <c r="B30" s="11"/>
      <c r="C30" s="3">
        <f t="shared" si="1"/>
        <v>1464468894.83167</v>
      </c>
      <c r="D30" s="3">
        <f t="shared" si="2"/>
        <v>821387523.96500731</v>
      </c>
      <c r="E30" s="3">
        <f t="shared" si="3"/>
        <v>2285856418.7966781</v>
      </c>
      <c r="F30" s="3"/>
      <c r="G30" s="3"/>
      <c r="H30" s="3"/>
      <c r="I30" s="3"/>
      <c r="J30" s="3"/>
      <c r="K30" s="3"/>
      <c r="L30" s="3">
        <f t="shared" si="0"/>
        <v>2807762798.5041475</v>
      </c>
      <c r="M30" s="3"/>
      <c r="N30" s="3"/>
      <c r="O30" s="11"/>
    </row>
    <row r="31" spans="1:21">
      <c r="A31" s="11">
        <v>26</v>
      </c>
      <c r="B31" s="11"/>
      <c r="C31" s="3">
        <f t="shared" si="1"/>
        <v>1465431833.2830663</v>
      </c>
      <c r="D31" s="3">
        <f t="shared" si="2"/>
        <v>821927614.39172399</v>
      </c>
      <c r="E31" s="3">
        <f t="shared" si="3"/>
        <v>2287359447.6747909</v>
      </c>
      <c r="F31" s="3"/>
      <c r="G31" s="3"/>
      <c r="H31" s="3"/>
      <c r="I31" s="3"/>
      <c r="J31" s="3"/>
      <c r="K31" s="3"/>
      <c r="L31" s="3">
        <f t="shared" si="0"/>
        <v>2809608998.7004242</v>
      </c>
      <c r="M31" s="3"/>
      <c r="N31" s="3"/>
      <c r="O31" s="11"/>
    </row>
    <row r="32" spans="1:21">
      <c r="A32" s="11">
        <v>27</v>
      </c>
      <c r="B32" s="11"/>
      <c r="C32" s="3">
        <f t="shared" si="1"/>
        <v>1466395404.8994715</v>
      </c>
      <c r="D32" s="3">
        <f t="shared" si="2"/>
        <v>822468059.94639254</v>
      </c>
      <c r="E32" s="3">
        <f t="shared" si="3"/>
        <v>2288863464.8458648</v>
      </c>
      <c r="F32" s="3"/>
      <c r="G32" s="3"/>
      <c r="H32" s="3"/>
      <c r="I32" s="3"/>
      <c r="J32" s="3"/>
      <c r="K32" s="3"/>
      <c r="L32" s="3">
        <f t="shared" si="0"/>
        <v>2811456412.836556</v>
      </c>
      <c r="M32" s="3"/>
      <c r="N32" s="3"/>
      <c r="O32" s="11"/>
    </row>
    <row r="33" spans="1:15">
      <c r="A33" s="11">
        <v>28</v>
      </c>
      <c r="B33" s="11"/>
      <c r="C33" s="3">
        <f t="shared" si="1"/>
        <v>1467359610.0972135</v>
      </c>
      <c r="D33" s="3">
        <f t="shared" si="2"/>
        <v>823008860.86252165</v>
      </c>
      <c r="E33" s="3">
        <f t="shared" si="3"/>
        <v>2290368470.9597359</v>
      </c>
      <c r="F33" s="3"/>
      <c r="G33" s="3"/>
      <c r="H33" s="3"/>
      <c r="I33" s="3"/>
      <c r="J33" s="3"/>
      <c r="K33" s="3"/>
      <c r="L33" s="3">
        <f t="shared" si="0"/>
        <v>2813305041.7107496</v>
      </c>
      <c r="M33" s="3"/>
      <c r="N33" s="3"/>
      <c r="O33" s="11"/>
    </row>
    <row r="34" spans="1:15">
      <c r="A34" s="11">
        <v>29</v>
      </c>
      <c r="B34" s="11"/>
      <c r="C34" s="3">
        <f t="shared" si="1"/>
        <v>1468324449.2928939</v>
      </c>
      <c r="D34" s="3">
        <f t="shared" si="2"/>
        <v>823550017.37377369</v>
      </c>
      <c r="E34" s="3">
        <f t="shared" si="3"/>
        <v>2291874466.6666684</v>
      </c>
      <c r="F34" s="3"/>
      <c r="G34" s="3"/>
      <c r="H34" s="3"/>
      <c r="I34" s="3"/>
      <c r="J34" s="3"/>
      <c r="K34" s="3"/>
      <c r="L34" s="3">
        <f t="shared" si="0"/>
        <v>2815154886.1217375</v>
      </c>
      <c r="M34" s="3"/>
      <c r="N34" s="3"/>
      <c r="O34" s="11"/>
    </row>
    <row r="35" spans="1:15">
      <c r="A35" s="11">
        <v>30</v>
      </c>
      <c r="B35" s="11"/>
      <c r="C35" s="3">
        <f t="shared" si="1"/>
        <v>1469289922.9033878</v>
      </c>
      <c r="D35" s="3">
        <f t="shared" si="2"/>
        <v>824091529.7139647</v>
      </c>
      <c r="E35" s="3">
        <f t="shared" si="3"/>
        <v>2293381452.6173534</v>
      </c>
      <c r="F35" s="3"/>
      <c r="G35" s="3"/>
      <c r="H35" s="3"/>
      <c r="I35" s="3"/>
      <c r="J35" s="3"/>
      <c r="K35" s="3"/>
      <c r="L35" s="3">
        <f t="shared" si="0"/>
        <v>2817005946.8687763</v>
      </c>
      <c r="M35" s="3"/>
      <c r="N35" s="3"/>
      <c r="O35" s="11"/>
    </row>
    <row r="36" spans="1:15">
      <c r="A36" s="11">
        <v>31</v>
      </c>
      <c r="B36" s="11"/>
      <c r="C36" s="3">
        <f t="shared" si="1"/>
        <v>1470256031.3458447</v>
      </c>
      <c r="D36" s="3">
        <f t="shared" si="2"/>
        <v>824633398.11706424</v>
      </c>
      <c r="E36" s="3">
        <f t="shared" si="3"/>
        <v>2294889429.4629102</v>
      </c>
      <c r="F36" s="3"/>
      <c r="G36" s="3"/>
      <c r="H36" s="3"/>
      <c r="I36" s="3"/>
      <c r="J36" s="3"/>
      <c r="K36" s="3"/>
      <c r="L36" s="3">
        <f t="shared" si="0"/>
        <v>2818858224.7516489</v>
      </c>
      <c r="M36" s="3"/>
      <c r="N36" s="3"/>
      <c r="O36" s="11"/>
    </row>
    <row r="37" spans="1:15">
      <c r="A37" s="11">
        <v>32</v>
      </c>
      <c r="B37" s="11"/>
      <c r="C37" s="3">
        <f t="shared" si="1"/>
        <v>1471222775.0376885</v>
      </c>
      <c r="D37" s="3">
        <f t="shared" si="2"/>
        <v>825175622.81719601</v>
      </c>
      <c r="E37" s="3">
        <f t="shared" si="3"/>
        <v>2296398397.8548856</v>
      </c>
      <c r="F37" s="3"/>
      <c r="G37" s="3"/>
      <c r="H37" s="3"/>
      <c r="I37" s="3"/>
      <c r="J37" s="3"/>
      <c r="K37" s="3"/>
      <c r="L37" s="3">
        <f t="shared" si="0"/>
        <v>2820711720.5706635</v>
      </c>
      <c r="M37" s="3"/>
      <c r="N37" s="3"/>
      <c r="O37" s="11"/>
    </row>
    <row r="38" spans="1:15">
      <c r="A38" s="11">
        <v>33</v>
      </c>
      <c r="B38" s="11"/>
      <c r="C38" s="3">
        <f t="shared" si="1"/>
        <v>1472190154.3966174</v>
      </c>
      <c r="D38" s="3">
        <f t="shared" si="2"/>
        <v>825718204.04863739</v>
      </c>
      <c r="E38" s="3">
        <f t="shared" si="3"/>
        <v>2297908358.4452558</v>
      </c>
      <c r="F38" s="3"/>
      <c r="G38" s="3" t="s">
        <v>25</v>
      </c>
      <c r="H38" s="3"/>
      <c r="I38" s="3"/>
      <c r="J38" s="3"/>
      <c r="K38" s="3"/>
      <c r="L38" s="3">
        <f t="shared" si="0"/>
        <v>2822566435.1266551</v>
      </c>
      <c r="M38" s="3"/>
      <c r="N38" s="3"/>
      <c r="O38" s="11"/>
    </row>
    <row r="39" spans="1:15">
      <c r="A39" s="11">
        <v>34</v>
      </c>
      <c r="B39" s="11"/>
      <c r="C39" s="3">
        <f t="shared" si="1"/>
        <v>1473158169.8406043</v>
      </c>
      <c r="D39" s="3">
        <f t="shared" si="2"/>
        <v>826261142.04582</v>
      </c>
      <c r="E39" s="3">
        <f t="shared" si="3"/>
        <v>2299419311.886425</v>
      </c>
      <c r="F39" s="3"/>
      <c r="G39" s="3"/>
      <c r="H39" s="3"/>
      <c r="I39" s="3"/>
      <c r="J39" s="3"/>
      <c r="K39" s="3"/>
      <c r="L39" s="3">
        <f t="shared" si="0"/>
        <v>2824422369.2209849</v>
      </c>
      <c r="M39" s="3"/>
      <c r="N39" s="3"/>
      <c r="O39" s="11"/>
    </row>
    <row r="40" spans="1:15">
      <c r="A40" s="11">
        <v>35</v>
      </c>
      <c r="B40" s="11"/>
      <c r="C40" s="3">
        <f t="shared" si="1"/>
        <v>1474126821.7878966</v>
      </c>
      <c r="D40" s="3">
        <f t="shared" si="2"/>
        <v>826804437.0433296</v>
      </c>
      <c r="E40" s="3">
        <f t="shared" si="3"/>
        <v>2300931258.8312268</v>
      </c>
      <c r="F40" s="3"/>
      <c r="G40" s="3"/>
      <c r="H40" s="3"/>
      <c r="I40" s="3"/>
      <c r="J40" s="3"/>
      <c r="K40" s="3"/>
      <c r="L40" s="3">
        <f t="shared" si="0"/>
        <v>2826279523.6555409</v>
      </c>
      <c r="M40" s="3"/>
      <c r="N40" s="3"/>
      <c r="O40" s="11"/>
    </row>
    <row r="41" spans="1:15">
      <c r="A41" s="11">
        <v>36</v>
      </c>
      <c r="B41" s="11"/>
      <c r="C41" s="3">
        <f t="shared" si="1"/>
        <v>1475096110.6570175</v>
      </c>
      <c r="D41" s="3">
        <f t="shared" si="2"/>
        <v>827348089.27590597</v>
      </c>
      <c r="E41" s="3">
        <f t="shared" si="3"/>
        <v>2302444199.9329243</v>
      </c>
      <c r="F41" s="3"/>
      <c r="G41" s="3"/>
      <c r="H41" s="3"/>
      <c r="I41" s="3"/>
      <c r="J41" s="3"/>
      <c r="K41" s="3"/>
      <c r="L41" s="3">
        <f t="shared" si="0"/>
        <v>2828137899.232739</v>
      </c>
      <c r="M41" s="3"/>
      <c r="N41" s="3"/>
      <c r="O41" s="11"/>
    </row>
    <row r="42" spans="1:15">
      <c r="A42" s="11">
        <v>37</v>
      </c>
      <c r="B42" s="11"/>
      <c r="C42" s="3">
        <f t="shared" si="1"/>
        <v>1476066036.8667645</v>
      </c>
      <c r="D42" s="3">
        <f t="shared" si="2"/>
        <v>827892098.9784435</v>
      </c>
      <c r="E42" s="3">
        <f t="shared" si="3"/>
        <v>2303958135.8452091</v>
      </c>
      <c r="F42" s="3"/>
      <c r="G42" s="3"/>
      <c r="H42" s="3"/>
      <c r="I42" s="3"/>
      <c r="J42" s="3"/>
      <c r="K42" s="3"/>
      <c r="L42" s="3">
        <f t="shared" si="0"/>
        <v>2829997496.7555223</v>
      </c>
      <c r="M42" s="3"/>
      <c r="N42" s="3"/>
      <c r="O42" s="11"/>
    </row>
    <row r="43" spans="1:15">
      <c r="A43" s="11">
        <v>38</v>
      </c>
      <c r="B43" s="11"/>
      <c r="C43" s="3">
        <f t="shared" si="1"/>
        <v>1477036600.8362112</v>
      </c>
      <c r="D43" s="3">
        <f t="shared" si="2"/>
        <v>828436466.38599098</v>
      </c>
      <c r="E43" s="3">
        <f t="shared" si="3"/>
        <v>2305473067.2222033</v>
      </c>
      <c r="F43" s="3"/>
      <c r="G43" s="3"/>
      <c r="H43" s="3"/>
      <c r="I43" s="3"/>
      <c r="J43" s="3"/>
      <c r="K43" s="3"/>
      <c r="L43" s="3">
        <f t="shared" si="0"/>
        <v>2831858317.0273614</v>
      </c>
      <c r="M43" s="3"/>
      <c r="N43" s="3"/>
      <c r="O43" s="11"/>
    </row>
    <row r="44" spans="1:15">
      <c r="A44" s="11">
        <v>39</v>
      </c>
      <c r="B44" s="11"/>
      <c r="C44" s="3">
        <f t="shared" si="1"/>
        <v>1478007802.9847062</v>
      </c>
      <c r="D44" s="3">
        <f t="shared" si="2"/>
        <v>828981191.73375165</v>
      </c>
      <c r="E44" s="3">
        <f t="shared" si="3"/>
        <v>2306988994.7184591</v>
      </c>
      <c r="F44" s="3"/>
      <c r="G44" s="3"/>
      <c r="H44" s="3"/>
      <c r="I44" s="3"/>
      <c r="J44" s="3"/>
      <c r="K44" s="3"/>
      <c r="L44" s="3">
        <f t="shared" si="0"/>
        <v>2833720360.8522563</v>
      </c>
      <c r="M44" s="3"/>
      <c r="N44" s="3"/>
      <c r="O44" s="11"/>
    </row>
    <row r="45" spans="1:15">
      <c r="A45" s="11">
        <v>40</v>
      </c>
      <c r="B45" s="11"/>
      <c r="C45" s="3">
        <f t="shared" si="1"/>
        <v>1478979643.7318742</v>
      </c>
      <c r="D45" s="3">
        <f t="shared" si="2"/>
        <v>829526275.25708342</v>
      </c>
      <c r="E45" s="3">
        <f t="shared" si="3"/>
        <v>2308505918.9889588</v>
      </c>
      <c r="F45" s="3"/>
      <c r="G45" s="3"/>
      <c r="H45" s="3"/>
      <c r="I45" s="3"/>
      <c r="J45" s="3"/>
      <c r="K45" s="3"/>
      <c r="L45" s="3">
        <f t="shared" si="0"/>
        <v>2835583629.0347342</v>
      </c>
      <c r="M45" s="3"/>
      <c r="N45" s="3"/>
      <c r="O45" s="11"/>
    </row>
    <row r="51" spans="1:14" ht="15.75" thickBot="1"/>
    <row r="52" spans="1:14" ht="27" thickBot="1">
      <c r="A52" s="209" t="s">
        <v>4450</v>
      </c>
      <c r="B52" s="209" t="s">
        <v>5264</v>
      </c>
      <c r="C52" s="209" t="s">
        <v>5265</v>
      </c>
      <c r="D52" s="209" t="s">
        <v>5266</v>
      </c>
      <c r="E52" s="209" t="s">
        <v>4221</v>
      </c>
      <c r="F52" s="209" t="s">
        <v>5267</v>
      </c>
      <c r="G52" s="209" t="s">
        <v>5268</v>
      </c>
      <c r="H52" s="209" t="s">
        <v>5269</v>
      </c>
      <c r="I52" s="209" t="s">
        <v>5270</v>
      </c>
      <c r="J52" s="209" t="s">
        <v>5271</v>
      </c>
      <c r="K52" s="209" t="s">
        <v>5272</v>
      </c>
      <c r="L52" s="209" t="s">
        <v>5273</v>
      </c>
      <c r="M52" s="209" t="s">
        <v>5274</v>
      </c>
      <c r="N52" s="209" t="s">
        <v>5275</v>
      </c>
    </row>
    <row r="53" spans="1:14" ht="15.75" thickBot="1">
      <c r="A53" s="210" t="s">
        <v>4192</v>
      </c>
      <c r="B53" s="211">
        <v>2806332</v>
      </c>
      <c r="C53" s="211">
        <v>5993639424</v>
      </c>
      <c r="D53" s="211">
        <v>2136</v>
      </c>
      <c r="E53" s="211">
        <v>5184</v>
      </c>
      <c r="F53" s="211">
        <v>14406181843</v>
      </c>
      <c r="G53" s="211">
        <v>2157</v>
      </c>
      <c r="H53" s="211">
        <v>1296909440</v>
      </c>
      <c r="I53" s="211">
        <v>314122000</v>
      </c>
      <c r="J53" s="211">
        <v>8412542419</v>
      </c>
      <c r="K53" s="212">
        <v>1.4036</v>
      </c>
      <c r="L53" s="211">
        <v>10023573859</v>
      </c>
      <c r="M53" s="212">
        <v>1.1309</v>
      </c>
      <c r="N53" s="212">
        <v>0.83099999999999996</v>
      </c>
    </row>
    <row r="54" spans="1:14" ht="15.75" thickBot="1">
      <c r="A54" s="210" t="s">
        <v>4333</v>
      </c>
      <c r="B54" s="211">
        <v>27101</v>
      </c>
      <c r="C54" s="211">
        <v>2027973760</v>
      </c>
      <c r="D54" s="211">
        <v>74830</v>
      </c>
      <c r="E54" s="211">
        <v>75601</v>
      </c>
      <c r="F54" s="211">
        <v>2028886290</v>
      </c>
      <c r="G54" s="211">
        <v>75567</v>
      </c>
      <c r="H54" s="211">
        <v>3434430</v>
      </c>
      <c r="I54" s="210">
        <v>0</v>
      </c>
      <c r="J54" s="211">
        <v>912530</v>
      </c>
      <c r="K54" s="212">
        <v>4.0000000000000002E-4</v>
      </c>
      <c r="L54" s="211">
        <v>4346960</v>
      </c>
      <c r="M54" s="212">
        <v>2E-3</v>
      </c>
      <c r="N54" s="212">
        <v>0.11700000000000001</v>
      </c>
    </row>
    <row r="55" spans="1:14" ht="15.75" thickBot="1">
      <c r="A55" s="210" t="s">
        <v>4346</v>
      </c>
      <c r="B55" s="211">
        <v>54523</v>
      </c>
      <c r="C55" s="211">
        <v>397795200</v>
      </c>
      <c r="D55" s="211">
        <v>7296</v>
      </c>
      <c r="E55" s="211">
        <v>12992</v>
      </c>
      <c r="F55" s="211">
        <v>701456279</v>
      </c>
      <c r="G55" s="211">
        <v>7368</v>
      </c>
      <c r="H55" s="211">
        <v>455670432</v>
      </c>
      <c r="I55" s="211">
        <v>162660000</v>
      </c>
      <c r="J55" s="211">
        <v>303661079</v>
      </c>
      <c r="K55" s="212">
        <v>0.76339999999999997</v>
      </c>
      <c r="L55" s="211">
        <v>921991511</v>
      </c>
      <c r="M55" s="212">
        <v>0.53590000000000004</v>
      </c>
      <c r="N55" s="212">
        <v>4.0500000000000001E-2</v>
      </c>
    </row>
    <row r="56" spans="1:14" ht="15.75" thickBot="1">
      <c r="A56" s="210" t="s">
        <v>5237</v>
      </c>
      <c r="B56" s="211">
        <v>45598</v>
      </c>
      <c r="C56" s="211">
        <v>182155728</v>
      </c>
      <c r="D56" s="211">
        <v>3995</v>
      </c>
      <c r="E56" s="211">
        <v>3918</v>
      </c>
      <c r="F56" s="211">
        <v>176911098</v>
      </c>
      <c r="G56" s="211">
        <v>4034</v>
      </c>
      <c r="H56" s="211">
        <v>3904</v>
      </c>
      <c r="I56" s="210">
        <v>0</v>
      </c>
      <c r="J56" s="211">
        <v>-5244630</v>
      </c>
      <c r="K56" s="212">
        <v>-2.8799999999999999E-2</v>
      </c>
      <c r="L56" s="211">
        <v>-5240726</v>
      </c>
      <c r="M56" s="212">
        <v>-2.86E-2</v>
      </c>
      <c r="N56" s="212">
        <v>1.0200000000000001E-2</v>
      </c>
    </row>
    <row r="57" spans="1:14" ht="15.75" thickBot="1">
      <c r="A57" s="210" t="s">
        <v>5232</v>
      </c>
      <c r="B57" s="211">
        <v>3073</v>
      </c>
      <c r="C57" s="211">
        <v>14075376</v>
      </c>
      <c r="D57" s="211">
        <v>4580</v>
      </c>
      <c r="E57" s="211">
        <v>4903</v>
      </c>
      <c r="F57" s="211">
        <v>14920017</v>
      </c>
      <c r="G57" s="211">
        <v>4625</v>
      </c>
      <c r="H57" s="211">
        <v>1818148</v>
      </c>
      <c r="I57" s="210">
        <v>0</v>
      </c>
      <c r="J57" s="211">
        <v>844641</v>
      </c>
      <c r="K57" s="213">
        <v>0.06</v>
      </c>
      <c r="L57" s="211">
        <v>2662789</v>
      </c>
      <c r="M57" s="212">
        <v>5.2499999999999998E-2</v>
      </c>
      <c r="N57" s="212">
        <v>8.9999999999999998E-4</v>
      </c>
    </row>
    <row r="58" spans="1:14" ht="15.75" thickBot="1">
      <c r="A58" s="210" t="s">
        <v>5223</v>
      </c>
      <c r="B58" s="210">
        <v>369</v>
      </c>
      <c r="C58" s="211">
        <v>2085047</v>
      </c>
      <c r="D58" s="211">
        <v>5651</v>
      </c>
      <c r="E58" s="211">
        <v>7535</v>
      </c>
      <c r="F58" s="211">
        <v>2753306</v>
      </c>
      <c r="G58" s="211">
        <v>5707</v>
      </c>
      <c r="H58" s="210">
        <v>0</v>
      </c>
      <c r="I58" s="210">
        <v>0</v>
      </c>
      <c r="J58" s="211">
        <v>668259</v>
      </c>
      <c r="K58" s="212">
        <v>0.32050000000000001</v>
      </c>
      <c r="L58" s="211">
        <v>668259</v>
      </c>
      <c r="M58" s="212">
        <v>0.32050000000000001</v>
      </c>
      <c r="N58" s="212">
        <v>2.0000000000000001E-4</v>
      </c>
    </row>
    <row r="59" spans="1:14" ht="15.75" thickBot="1">
      <c r="A59" s="210" t="s">
        <v>4792</v>
      </c>
      <c r="B59" s="210">
        <v>100</v>
      </c>
      <c r="C59" s="211">
        <v>2844133</v>
      </c>
      <c r="D59" s="211">
        <v>28441</v>
      </c>
      <c r="E59" s="211">
        <v>28361</v>
      </c>
      <c r="F59" s="211">
        <v>2808448</v>
      </c>
      <c r="G59" s="211">
        <v>28721</v>
      </c>
      <c r="H59" s="210">
        <v>0</v>
      </c>
      <c r="I59" s="210">
        <v>0</v>
      </c>
      <c r="J59" s="211">
        <v>-35685</v>
      </c>
      <c r="K59" s="212">
        <v>-1.2500000000000001E-2</v>
      </c>
      <c r="L59" s="211">
        <v>-35685</v>
      </c>
      <c r="M59" s="212">
        <v>-1.2500000000000001E-2</v>
      </c>
      <c r="N59" s="212">
        <v>2.0000000000000001E-4</v>
      </c>
    </row>
    <row r="60" spans="1:14" ht="15.75" thickBot="1">
      <c r="A60" s="210" t="s">
        <v>5214</v>
      </c>
      <c r="B60" s="210">
        <v>38</v>
      </c>
      <c r="C60" s="211">
        <v>1126087</v>
      </c>
      <c r="D60" s="211">
        <v>29634</v>
      </c>
      <c r="E60" s="211">
        <v>45760</v>
      </c>
      <c r="F60" s="211">
        <v>1721926</v>
      </c>
      <c r="G60" s="211">
        <v>29926</v>
      </c>
      <c r="H60" s="210">
        <v>0</v>
      </c>
      <c r="I60" s="210">
        <v>0</v>
      </c>
      <c r="J60" s="211">
        <v>595839</v>
      </c>
      <c r="K60" s="212">
        <v>0.52910000000000001</v>
      </c>
      <c r="L60" s="211">
        <v>595839</v>
      </c>
      <c r="M60" s="212">
        <v>0.52910000000000001</v>
      </c>
      <c r="N60" s="212">
        <v>1E-4</v>
      </c>
    </row>
    <row r="61" spans="1:14" ht="15.75" thickBot="1">
      <c r="A61" s="210" t="s">
        <v>5246</v>
      </c>
      <c r="B61" s="210">
        <v>67</v>
      </c>
      <c r="C61" s="211">
        <v>1144282</v>
      </c>
      <c r="D61" s="211">
        <v>17079</v>
      </c>
      <c r="E61" s="211">
        <v>17000</v>
      </c>
      <c r="F61" s="211">
        <v>1127895</v>
      </c>
      <c r="G61" s="211">
        <v>17247</v>
      </c>
      <c r="H61" s="210">
        <v>0</v>
      </c>
      <c r="I61" s="210">
        <v>0</v>
      </c>
      <c r="J61" s="211">
        <v>-16387</v>
      </c>
      <c r="K61" s="212">
        <v>-1.43E-2</v>
      </c>
      <c r="L61" s="211">
        <v>-16387</v>
      </c>
      <c r="M61" s="212">
        <v>-1.43E-2</v>
      </c>
      <c r="N61" s="212">
        <v>1E-4</v>
      </c>
    </row>
    <row r="63" spans="1:14" ht="15.75" thickBot="1"/>
    <row r="64" spans="1:14" ht="27" thickBot="1">
      <c r="A64" s="209" t="s">
        <v>4450</v>
      </c>
      <c r="B64" s="209" t="s">
        <v>5264</v>
      </c>
      <c r="C64" s="209" t="s">
        <v>5265</v>
      </c>
      <c r="D64" s="209" t="s">
        <v>5266</v>
      </c>
      <c r="E64" s="209" t="s">
        <v>4221</v>
      </c>
      <c r="F64" s="209" t="s">
        <v>5267</v>
      </c>
      <c r="G64" s="209" t="s">
        <v>5268</v>
      </c>
      <c r="H64" s="209" t="s">
        <v>5269</v>
      </c>
      <c r="I64" s="209" t="s">
        <v>5270</v>
      </c>
      <c r="J64" s="209" t="s">
        <v>5271</v>
      </c>
      <c r="K64" s="209" t="s">
        <v>5272</v>
      </c>
      <c r="L64" s="209" t="s">
        <v>5273</v>
      </c>
      <c r="M64" s="209" t="s">
        <v>5274</v>
      </c>
      <c r="N64" s="209" t="s">
        <v>5275</v>
      </c>
    </row>
    <row r="65" spans="1:14" ht="15.75" thickBot="1">
      <c r="A65" s="210" t="s">
        <v>4192</v>
      </c>
      <c r="B65" s="211">
        <v>1574177</v>
      </c>
      <c r="C65" s="211">
        <v>3344449792</v>
      </c>
      <c r="D65" s="211">
        <v>2125</v>
      </c>
      <c r="E65" s="211">
        <v>5184</v>
      </c>
      <c r="F65" s="211">
        <v>8080968366</v>
      </c>
      <c r="G65" s="211">
        <v>2146</v>
      </c>
      <c r="H65" s="211">
        <v>309993152</v>
      </c>
      <c r="I65" s="211">
        <v>20607250</v>
      </c>
      <c r="J65" s="211">
        <v>4736518574</v>
      </c>
      <c r="K65" s="212">
        <v>1.4161999999999999</v>
      </c>
      <c r="L65" s="211">
        <v>5067118976</v>
      </c>
      <c r="M65" s="212">
        <v>1.2862</v>
      </c>
      <c r="N65" s="212">
        <v>0.78559999999999997</v>
      </c>
    </row>
    <row r="66" spans="1:14" ht="15.75" thickBot="1">
      <c r="A66" s="210" t="s">
        <v>4346</v>
      </c>
      <c r="B66" s="211">
        <v>146408</v>
      </c>
      <c r="C66" s="211">
        <v>824376640</v>
      </c>
      <c r="D66" s="211">
        <v>5631</v>
      </c>
      <c r="E66" s="211">
        <v>12992</v>
      </c>
      <c r="F66" s="211">
        <v>1883586942</v>
      </c>
      <c r="G66" s="211">
        <v>5686</v>
      </c>
      <c r="H66" s="211">
        <v>132503776</v>
      </c>
      <c r="I66" s="211">
        <v>241591500</v>
      </c>
      <c r="J66" s="211">
        <v>1059210302</v>
      </c>
      <c r="K66" s="212">
        <v>1.2848999999999999</v>
      </c>
      <c r="L66" s="211">
        <v>1433305578</v>
      </c>
      <c r="M66" s="212">
        <v>1.4287000000000001</v>
      </c>
      <c r="N66" s="212">
        <v>0.18310000000000001</v>
      </c>
    </row>
    <row r="67" spans="1:14" ht="15.75" thickBot="1">
      <c r="A67" s="210" t="s">
        <v>4333</v>
      </c>
      <c r="B67" s="211">
        <v>3975</v>
      </c>
      <c r="C67" s="211">
        <v>284494112</v>
      </c>
      <c r="D67" s="211">
        <v>71571</v>
      </c>
      <c r="E67" s="211">
        <v>75601</v>
      </c>
      <c r="F67" s="211">
        <v>297583964</v>
      </c>
      <c r="G67" s="211">
        <v>72276</v>
      </c>
      <c r="H67" s="211">
        <v>2696941</v>
      </c>
      <c r="I67" s="210">
        <v>0</v>
      </c>
      <c r="J67" s="211">
        <v>13089852</v>
      </c>
      <c r="K67" s="212">
        <v>4.5999999999999999E-2</v>
      </c>
      <c r="L67" s="211">
        <v>15786793</v>
      </c>
      <c r="M67" s="212">
        <v>4.36E-2</v>
      </c>
      <c r="N67" s="212">
        <v>2.8899999999999999E-2</v>
      </c>
    </row>
    <row r="68" spans="1:14" ht="15.75" thickBot="1">
      <c r="A68" s="210" t="s">
        <v>5237</v>
      </c>
      <c r="B68" s="211">
        <v>4687</v>
      </c>
      <c r="C68" s="211">
        <v>18756876</v>
      </c>
      <c r="D68" s="211">
        <v>4002</v>
      </c>
      <c r="E68" s="211">
        <v>3918</v>
      </c>
      <c r="F68" s="211">
        <v>18184620</v>
      </c>
      <c r="G68" s="211">
        <v>4041</v>
      </c>
      <c r="H68" s="210">
        <v>0</v>
      </c>
      <c r="I68" s="210">
        <v>0</v>
      </c>
      <c r="J68" s="211">
        <v>-572256</v>
      </c>
      <c r="K68" s="212">
        <v>-3.0499999999999999E-2</v>
      </c>
      <c r="L68" s="211">
        <v>-572256</v>
      </c>
      <c r="M68" s="212">
        <v>-3.0499999999999999E-2</v>
      </c>
      <c r="N68" s="212">
        <v>1.8E-3</v>
      </c>
    </row>
    <row r="69" spans="1:14" ht="15.75" thickBot="1">
      <c r="A69" s="210" t="s">
        <v>5223</v>
      </c>
      <c r="B69" s="210">
        <v>369</v>
      </c>
      <c r="C69" s="211">
        <v>2085047</v>
      </c>
      <c r="D69" s="211">
        <v>5651</v>
      </c>
      <c r="E69" s="211">
        <v>7535</v>
      </c>
      <c r="F69" s="211">
        <v>2753306</v>
      </c>
      <c r="G69" s="211">
        <v>5707</v>
      </c>
      <c r="H69" s="210">
        <v>0</v>
      </c>
      <c r="I69" s="210">
        <v>0</v>
      </c>
      <c r="J69" s="211">
        <v>668259</v>
      </c>
      <c r="K69" s="212">
        <v>0.32050000000000001</v>
      </c>
      <c r="L69" s="211">
        <v>668259</v>
      </c>
      <c r="M69" s="212">
        <v>0.32050000000000001</v>
      </c>
      <c r="N69" s="212">
        <v>2.9999999999999997E-4</v>
      </c>
    </row>
    <row r="70" spans="1:14" ht="15.75" thickBot="1">
      <c r="A70" s="210" t="s">
        <v>5214</v>
      </c>
      <c r="B70" s="210">
        <v>38</v>
      </c>
      <c r="C70" s="211">
        <v>1126087</v>
      </c>
      <c r="D70" s="211">
        <v>29634</v>
      </c>
      <c r="E70" s="211">
        <v>45760</v>
      </c>
      <c r="F70" s="211">
        <v>1721926</v>
      </c>
      <c r="G70" s="211">
        <v>29926</v>
      </c>
      <c r="H70" s="210">
        <v>0</v>
      </c>
      <c r="I70" s="210">
        <v>0</v>
      </c>
      <c r="J70" s="211">
        <v>595839</v>
      </c>
      <c r="K70" s="212">
        <v>0.52910000000000001</v>
      </c>
      <c r="L70" s="211">
        <v>595839</v>
      </c>
      <c r="M70" s="212">
        <v>0.52910000000000001</v>
      </c>
      <c r="N70" s="212">
        <v>2.0000000000000001E-4</v>
      </c>
    </row>
    <row r="71" spans="1:14" ht="15.75" thickBot="1">
      <c r="A71" s="210" t="s">
        <v>5246</v>
      </c>
      <c r="B71" s="210">
        <v>67</v>
      </c>
      <c r="C71" s="211">
        <v>1144282</v>
      </c>
      <c r="D71" s="211">
        <v>17079</v>
      </c>
      <c r="E71" s="211">
        <v>17000</v>
      </c>
      <c r="F71" s="211">
        <v>1127895</v>
      </c>
      <c r="G71" s="211">
        <v>17247</v>
      </c>
      <c r="H71" s="210">
        <v>0</v>
      </c>
      <c r="I71" s="210">
        <v>0</v>
      </c>
      <c r="J71" s="211">
        <v>-16387</v>
      </c>
      <c r="K71" s="212">
        <v>-1.43E-2</v>
      </c>
      <c r="L71" s="211">
        <v>-16387</v>
      </c>
      <c r="M71" s="212">
        <v>-1.43E-2</v>
      </c>
      <c r="N71" s="212">
        <v>1E-4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3"/>
  <sheetViews>
    <sheetView workbookViewId="0">
      <selection activeCell="AC4" sqref="AC4"/>
    </sheetView>
  </sheetViews>
  <sheetFormatPr defaultRowHeight="15"/>
  <cols>
    <col min="1" max="1" width="5" bestFit="1" customWidth="1"/>
    <col min="2" max="2" width="8.7109375"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bestFit="1" customWidth="1"/>
    <col min="18" max="18" width="11.28515625"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11" t="s">
        <v>3603</v>
      </c>
      <c r="B1" s="11" t="s">
        <v>180</v>
      </c>
      <c r="C1" s="11" t="s">
        <v>4221</v>
      </c>
      <c r="D1" s="11" t="s">
        <v>4222</v>
      </c>
      <c r="E1" s="11" t="s">
        <v>4223</v>
      </c>
      <c r="F1" s="11" t="s">
        <v>4224</v>
      </c>
      <c r="G1" s="61" t="s">
        <v>4225</v>
      </c>
      <c r="H1" s="61" t="s">
        <v>4365</v>
      </c>
      <c r="I1" s="61" t="s">
        <v>4246</v>
      </c>
      <c r="N1" s="11" t="s">
        <v>912</v>
      </c>
      <c r="O1" s="11">
        <v>6.3E-3</v>
      </c>
    </row>
    <row r="2" spans="1:34">
      <c r="A2" s="11">
        <v>1</v>
      </c>
      <c r="B2" s="11" t="s">
        <v>4125</v>
      </c>
      <c r="C2" s="3">
        <v>192</v>
      </c>
      <c r="D2" s="11">
        <v>0</v>
      </c>
      <c r="E2" s="11">
        <v>1000000</v>
      </c>
      <c r="F2" s="3">
        <v>0</v>
      </c>
      <c r="G2" s="61">
        <v>0</v>
      </c>
      <c r="H2" s="61">
        <v>191</v>
      </c>
      <c r="I2" s="61">
        <v>198</v>
      </c>
      <c r="N2" s="11" t="s">
        <v>61</v>
      </c>
      <c r="O2" s="11">
        <v>4.8999999999999998E-3</v>
      </c>
      <c r="Y2" s="11" t="s">
        <v>4450</v>
      </c>
      <c r="Z2" s="11" t="s">
        <v>4499</v>
      </c>
      <c r="AA2" s="11" t="s">
        <v>4497</v>
      </c>
      <c r="AB2" s="11" t="s">
        <v>4498</v>
      </c>
      <c r="AC2" s="11" t="s">
        <v>4501</v>
      </c>
      <c r="AD2" s="11"/>
      <c r="AE2" s="11"/>
      <c r="AF2" s="11"/>
      <c r="AG2" s="11"/>
      <c r="AH2" s="11"/>
    </row>
    <row r="3" spans="1:34">
      <c r="A3" s="11">
        <v>2</v>
      </c>
      <c r="B3" s="11"/>
      <c r="C3" s="3">
        <v>102</v>
      </c>
      <c r="D3" s="11">
        <v>-20000</v>
      </c>
      <c r="E3" s="11">
        <f>E2+D3</f>
        <v>980000</v>
      </c>
      <c r="F3" s="3">
        <f>-C3*D3*(1-IF(D3&lt;0,$O$1,$O$2))</f>
        <v>2027148</v>
      </c>
      <c r="G3" s="3">
        <f>ABS(C3*D3*IF(D3&lt;0,$O$1,$O$2))</f>
        <v>12852</v>
      </c>
      <c r="N3" s="11" t="s">
        <v>6</v>
      </c>
      <c r="O3" s="11">
        <f>O1+O2</f>
        <v>1.12E-2</v>
      </c>
      <c r="Y3" s="11" t="s">
        <v>4192</v>
      </c>
      <c r="Z3" s="11">
        <v>2740</v>
      </c>
      <c r="AA3" s="11">
        <v>1790</v>
      </c>
      <c r="AB3" s="11">
        <f>AA3/Z3</f>
        <v>0.65328467153284675</v>
      </c>
      <c r="AC3" s="11" t="s">
        <v>4503</v>
      </c>
      <c r="AD3" s="11"/>
      <c r="AE3" s="11"/>
      <c r="AF3" s="11"/>
      <c r="AG3" s="11"/>
      <c r="AH3" s="11"/>
    </row>
    <row r="4" spans="1:34">
      <c r="A4" s="11">
        <v>3</v>
      </c>
      <c r="B4" s="11"/>
      <c r="C4" s="3">
        <v>104</v>
      </c>
      <c r="D4" s="11">
        <v>-20000</v>
      </c>
      <c r="E4" s="11">
        <f t="shared" ref="E4:E24" si="0">E3+D4</f>
        <v>960000</v>
      </c>
      <c r="F4" s="3">
        <f t="shared" ref="F4:F24" si="1">-C4*D4*(1-IF(D4&lt;0,$O$1,$O$2))</f>
        <v>2066896</v>
      </c>
      <c r="G4" s="3">
        <f t="shared" ref="G4:G24" si="2">ABS(C4*D4*IF(D4&lt;0,$O$1,$O$2))</f>
        <v>13104</v>
      </c>
      <c r="Y4" s="11" t="s">
        <v>4500</v>
      </c>
      <c r="Z4" s="11">
        <v>1</v>
      </c>
      <c r="AA4" s="11">
        <v>1</v>
      </c>
      <c r="AB4" s="11">
        <f>AA4/Z4</f>
        <v>1</v>
      </c>
      <c r="AC4" s="11" t="s">
        <v>4502</v>
      </c>
      <c r="AD4" s="11"/>
      <c r="AE4" s="11"/>
      <c r="AF4" s="11"/>
      <c r="AG4" s="11"/>
      <c r="AH4" s="11"/>
    </row>
    <row r="5" spans="1:34">
      <c r="A5" s="11">
        <v>4</v>
      </c>
      <c r="B5" s="11"/>
      <c r="C5" s="3">
        <v>102</v>
      </c>
      <c r="D5" s="11">
        <v>20000</v>
      </c>
      <c r="E5" s="11">
        <f t="shared" si="0"/>
        <v>980000</v>
      </c>
      <c r="F5" s="3">
        <f t="shared" si="1"/>
        <v>-2030004</v>
      </c>
      <c r="G5" s="3">
        <f t="shared" si="2"/>
        <v>9996</v>
      </c>
      <c r="Y5" s="11" t="s">
        <v>4487</v>
      </c>
      <c r="Z5" s="11">
        <v>2180</v>
      </c>
      <c r="AA5" s="11">
        <v>1194</v>
      </c>
      <c r="AB5" s="11">
        <f>AA5/Z5</f>
        <v>0.54770642201834863</v>
      </c>
      <c r="AC5" s="11"/>
      <c r="AD5" s="11"/>
      <c r="AE5" s="11"/>
      <c r="AF5" s="11"/>
      <c r="AG5" s="11"/>
      <c r="AH5" s="11"/>
    </row>
    <row r="6" spans="1:34">
      <c r="A6" s="11">
        <v>5</v>
      </c>
      <c r="B6" s="11"/>
      <c r="C6" s="3">
        <v>100</v>
      </c>
      <c r="D6" s="11">
        <v>20000</v>
      </c>
      <c r="E6" s="11">
        <f t="shared" si="0"/>
        <v>1000000</v>
      </c>
      <c r="F6" s="3">
        <f t="shared" si="1"/>
        <v>-1990200</v>
      </c>
      <c r="G6" s="3">
        <f t="shared" si="2"/>
        <v>9800</v>
      </c>
      <c r="Y6" s="11"/>
      <c r="Z6" s="11"/>
      <c r="AA6" s="11"/>
      <c r="AB6" s="11"/>
      <c r="AC6" s="11"/>
      <c r="AD6" s="11"/>
      <c r="AE6" s="11"/>
      <c r="AF6" s="11"/>
      <c r="AG6" s="11"/>
      <c r="AH6" s="11"/>
    </row>
    <row r="7" spans="1:34">
      <c r="A7" s="11">
        <v>6</v>
      </c>
      <c r="B7" s="11"/>
      <c r="C7" s="3">
        <v>98</v>
      </c>
      <c r="D7" s="11">
        <v>20000</v>
      </c>
      <c r="E7" s="11">
        <f t="shared" si="0"/>
        <v>1020000</v>
      </c>
      <c r="F7" s="3">
        <f t="shared" si="1"/>
        <v>-1950396</v>
      </c>
      <c r="G7" s="3">
        <f t="shared" si="2"/>
        <v>9604</v>
      </c>
      <c r="Y7" s="11"/>
      <c r="Z7" s="11"/>
      <c r="AA7" s="11"/>
      <c r="AB7" s="11"/>
      <c r="AC7" s="11"/>
      <c r="AD7" s="11"/>
      <c r="AE7" s="11"/>
      <c r="AF7" s="11"/>
      <c r="AG7" s="11"/>
      <c r="AH7" s="11"/>
    </row>
    <row r="8" spans="1:34">
      <c r="A8" s="11">
        <v>7</v>
      </c>
      <c r="B8" s="11"/>
      <c r="C8" s="3">
        <v>96</v>
      </c>
      <c r="D8" s="11">
        <v>20000</v>
      </c>
      <c r="E8" s="11">
        <f t="shared" si="0"/>
        <v>1040000</v>
      </c>
      <c r="F8" s="3">
        <f t="shared" si="1"/>
        <v>-1910592</v>
      </c>
      <c r="G8" s="3">
        <f t="shared" si="2"/>
        <v>9408</v>
      </c>
      <c r="Y8" s="11"/>
      <c r="Z8" s="11"/>
      <c r="AA8" s="11"/>
      <c r="AB8" s="11"/>
      <c r="AC8" s="11"/>
      <c r="AD8" s="11"/>
      <c r="AE8" s="11"/>
      <c r="AF8" s="11"/>
      <c r="AG8" s="11"/>
      <c r="AH8" s="11"/>
    </row>
    <row r="9" spans="1:34">
      <c r="A9" s="11">
        <v>8</v>
      </c>
      <c r="B9" s="11"/>
      <c r="C9" s="3">
        <v>98</v>
      </c>
      <c r="D9" s="11">
        <v>-20000</v>
      </c>
      <c r="E9" s="11">
        <f t="shared" si="0"/>
        <v>1020000</v>
      </c>
      <c r="F9" s="3">
        <f t="shared" si="1"/>
        <v>1947652</v>
      </c>
      <c r="G9" s="3">
        <f t="shared" si="2"/>
        <v>12348</v>
      </c>
      <c r="Q9">
        <v>1000000</v>
      </c>
      <c r="R9">
        <f>Q9*0.03</f>
        <v>30000</v>
      </c>
      <c r="Y9" s="11"/>
      <c r="Z9" s="11"/>
      <c r="AA9" s="11"/>
      <c r="AB9" s="11"/>
      <c r="AC9" s="11"/>
      <c r="AD9" s="11"/>
      <c r="AE9" s="11"/>
      <c r="AF9" s="11"/>
      <c r="AG9" s="11"/>
      <c r="AH9" s="11"/>
    </row>
    <row r="10" spans="1:34">
      <c r="A10" s="11">
        <v>9</v>
      </c>
      <c r="B10" s="11"/>
      <c r="C10" s="3">
        <v>96</v>
      </c>
      <c r="D10" s="11">
        <v>20000</v>
      </c>
      <c r="E10" s="11">
        <f t="shared" si="0"/>
        <v>1040000</v>
      </c>
      <c r="F10" s="3">
        <f t="shared" si="1"/>
        <v>-1910592</v>
      </c>
      <c r="G10" s="3">
        <f t="shared" si="2"/>
        <v>9408</v>
      </c>
      <c r="Q10">
        <v>200</v>
      </c>
      <c r="R10">
        <f>Q10*0.03</f>
        <v>6</v>
      </c>
      <c r="S10">
        <f>Q10*R9</f>
        <v>6000000</v>
      </c>
      <c r="Y10" s="11"/>
      <c r="Z10" s="11"/>
      <c r="AA10" s="11"/>
      <c r="AB10" s="11"/>
      <c r="AC10" s="11"/>
      <c r="AD10" s="11"/>
      <c r="AE10" s="11"/>
      <c r="AF10" s="11"/>
      <c r="AG10" s="11"/>
      <c r="AH10" s="11"/>
    </row>
    <row r="11" spans="1:34">
      <c r="A11" s="11">
        <v>10</v>
      </c>
      <c r="B11" s="11"/>
      <c r="C11" s="3">
        <v>98</v>
      </c>
      <c r="D11" s="11">
        <v>-20000</v>
      </c>
      <c r="E11" s="11">
        <f t="shared" si="0"/>
        <v>1020000</v>
      </c>
      <c r="F11" s="3">
        <f t="shared" si="1"/>
        <v>1947652</v>
      </c>
      <c r="G11" s="3">
        <f t="shared" si="2"/>
        <v>12348</v>
      </c>
      <c r="Y11" s="11"/>
      <c r="Z11" s="11"/>
      <c r="AA11" s="11"/>
      <c r="AB11" s="11"/>
      <c r="AC11" s="11"/>
      <c r="AD11" s="11"/>
      <c r="AE11" s="11"/>
      <c r="AF11" s="11"/>
      <c r="AG11" s="11"/>
      <c r="AH11" s="11"/>
    </row>
    <row r="12" spans="1:34">
      <c r="A12" s="11">
        <v>11</v>
      </c>
      <c r="B12" s="11"/>
      <c r="C12" s="3">
        <v>100</v>
      </c>
      <c r="D12" s="11">
        <v>-20000</v>
      </c>
      <c r="E12" s="11">
        <f t="shared" si="0"/>
        <v>1000000</v>
      </c>
      <c r="F12" s="3">
        <f t="shared" si="1"/>
        <v>1987400</v>
      </c>
      <c r="G12" s="3">
        <f t="shared" si="2"/>
        <v>12600</v>
      </c>
      <c r="Y12" s="11"/>
      <c r="Z12" s="11"/>
      <c r="AA12" s="11"/>
      <c r="AB12" s="11"/>
      <c r="AC12" s="11"/>
      <c r="AD12" s="11"/>
      <c r="AE12" s="11"/>
      <c r="AF12" s="11"/>
      <c r="AG12" s="11"/>
      <c r="AH12" s="11"/>
    </row>
    <row r="13" spans="1:34">
      <c r="A13" s="11">
        <v>12</v>
      </c>
      <c r="B13" s="11"/>
      <c r="C13" s="3">
        <v>102</v>
      </c>
      <c r="D13" s="11">
        <v>-20000</v>
      </c>
      <c r="E13" s="11">
        <f t="shared" si="0"/>
        <v>980000</v>
      </c>
      <c r="F13" s="3">
        <f t="shared" si="1"/>
        <v>2027148</v>
      </c>
      <c r="G13" s="3">
        <f t="shared" si="2"/>
        <v>12852</v>
      </c>
      <c r="Q13">
        <v>1</v>
      </c>
      <c r="R13">
        <v>100000</v>
      </c>
      <c r="Y13" s="11"/>
      <c r="Z13" s="11"/>
      <c r="AA13" s="11"/>
      <c r="AB13" s="11"/>
      <c r="AC13" s="11"/>
      <c r="AD13" s="11"/>
      <c r="AE13" s="11"/>
      <c r="AF13" s="11"/>
      <c r="AG13" s="11"/>
      <c r="AH13" s="11"/>
    </row>
    <row r="14" spans="1:34">
      <c r="A14" s="11">
        <v>13</v>
      </c>
      <c r="B14" s="11"/>
      <c r="C14" s="3">
        <v>104</v>
      </c>
      <c r="D14" s="11">
        <v>-20000</v>
      </c>
      <c r="E14" s="11">
        <f t="shared" si="0"/>
        <v>960000</v>
      </c>
      <c r="F14" s="3">
        <f t="shared" si="1"/>
        <v>2066896</v>
      </c>
      <c r="G14" s="3">
        <f t="shared" si="2"/>
        <v>13104</v>
      </c>
      <c r="Y14" s="11"/>
      <c r="Z14" s="11"/>
      <c r="AA14" s="11"/>
      <c r="AB14" s="11"/>
      <c r="AC14" s="11"/>
      <c r="AD14" s="11"/>
      <c r="AE14" s="11"/>
      <c r="AF14" s="11"/>
      <c r="AG14" s="11"/>
      <c r="AH14" s="11"/>
    </row>
    <row r="15" spans="1:34">
      <c r="A15" s="11">
        <v>14</v>
      </c>
      <c r="B15" s="11"/>
      <c r="C15" s="3">
        <v>102</v>
      </c>
      <c r="D15" s="11">
        <v>20000</v>
      </c>
      <c r="E15" s="11">
        <f t="shared" si="0"/>
        <v>980000</v>
      </c>
      <c r="F15" s="3">
        <f t="shared" si="1"/>
        <v>-2030004</v>
      </c>
      <c r="G15" s="3">
        <f t="shared" si="2"/>
        <v>9996</v>
      </c>
      <c r="Y15" s="11"/>
      <c r="Z15" s="11"/>
      <c r="AA15" s="11"/>
      <c r="AB15" s="11"/>
      <c r="AC15" s="11"/>
      <c r="AD15" s="11"/>
      <c r="AE15" s="11"/>
      <c r="AF15" s="11"/>
      <c r="AG15" s="11"/>
      <c r="AH15" s="11"/>
    </row>
    <row r="16" spans="1:34">
      <c r="A16" s="11">
        <v>15</v>
      </c>
      <c r="B16" s="11"/>
      <c r="C16" s="3">
        <v>100</v>
      </c>
      <c r="D16" s="11">
        <v>20000</v>
      </c>
      <c r="E16" s="11">
        <f t="shared" si="0"/>
        <v>1000000</v>
      </c>
      <c r="F16" s="3">
        <f t="shared" si="1"/>
        <v>-1990200</v>
      </c>
      <c r="G16" s="3">
        <f t="shared" si="2"/>
        <v>9800</v>
      </c>
      <c r="Y16" s="11"/>
      <c r="Z16" s="11"/>
      <c r="AA16" s="11"/>
      <c r="AB16" s="11"/>
      <c r="AC16" s="11"/>
      <c r="AD16" s="11"/>
      <c r="AE16" s="11"/>
      <c r="AF16" s="11"/>
      <c r="AG16" s="11"/>
      <c r="AH16" s="11"/>
    </row>
    <row r="17" spans="1:7">
      <c r="A17" s="11">
        <v>16</v>
      </c>
      <c r="B17" s="11"/>
      <c r="C17" s="3">
        <v>102</v>
      </c>
      <c r="D17" s="11">
        <v>-20000</v>
      </c>
      <c r="E17" s="11">
        <f t="shared" si="0"/>
        <v>980000</v>
      </c>
      <c r="F17" s="3">
        <f t="shared" si="1"/>
        <v>2027148</v>
      </c>
      <c r="G17" s="3">
        <f t="shared" si="2"/>
        <v>12852</v>
      </c>
    </row>
    <row r="18" spans="1:7">
      <c r="A18" s="11">
        <v>17</v>
      </c>
      <c r="B18" s="11"/>
      <c r="C18" s="3">
        <v>104</v>
      </c>
      <c r="D18" s="11">
        <v>-20000</v>
      </c>
      <c r="E18" s="11">
        <f t="shared" si="0"/>
        <v>960000</v>
      </c>
      <c r="F18" s="3">
        <f t="shared" si="1"/>
        <v>2066896</v>
      </c>
      <c r="G18" s="3">
        <f t="shared" si="2"/>
        <v>13104</v>
      </c>
    </row>
    <row r="19" spans="1:7">
      <c r="A19" s="11">
        <v>18</v>
      </c>
      <c r="B19" s="11"/>
      <c r="C19" s="3">
        <v>106</v>
      </c>
      <c r="D19" s="11">
        <v>-20000</v>
      </c>
      <c r="E19" s="11">
        <f t="shared" si="0"/>
        <v>940000</v>
      </c>
      <c r="F19" s="3">
        <f t="shared" si="1"/>
        <v>2106644</v>
      </c>
      <c r="G19" s="3">
        <f t="shared" si="2"/>
        <v>13356</v>
      </c>
    </row>
    <row r="20" spans="1:7">
      <c r="A20" s="11">
        <v>19</v>
      </c>
      <c r="B20" s="11"/>
      <c r="C20" s="3">
        <v>108</v>
      </c>
      <c r="D20" s="11">
        <v>-20000</v>
      </c>
      <c r="E20" s="11">
        <f t="shared" si="0"/>
        <v>920000</v>
      </c>
      <c r="F20" s="3">
        <f t="shared" si="1"/>
        <v>2146392</v>
      </c>
      <c r="G20" s="3">
        <f t="shared" si="2"/>
        <v>13608</v>
      </c>
    </row>
    <row r="21" spans="1:7">
      <c r="A21" s="11">
        <v>20</v>
      </c>
      <c r="B21" s="11"/>
      <c r="C21" s="3">
        <v>106</v>
      </c>
      <c r="D21" s="11">
        <v>20000</v>
      </c>
      <c r="E21" s="11">
        <f t="shared" si="0"/>
        <v>940000</v>
      </c>
      <c r="F21" s="3">
        <f t="shared" si="1"/>
        <v>-2109612</v>
      </c>
      <c r="G21" s="3">
        <f t="shared" si="2"/>
        <v>10388</v>
      </c>
    </row>
    <row r="22" spans="1:7">
      <c r="A22" s="11">
        <v>21</v>
      </c>
      <c r="B22" s="11"/>
      <c r="C22" s="3">
        <v>104</v>
      </c>
      <c r="D22" s="11">
        <v>20000</v>
      </c>
      <c r="E22" s="11">
        <f t="shared" si="0"/>
        <v>960000</v>
      </c>
      <c r="F22" s="3">
        <f t="shared" si="1"/>
        <v>-2069808</v>
      </c>
      <c r="G22" s="3">
        <f t="shared" si="2"/>
        <v>10192</v>
      </c>
    </row>
    <row r="23" spans="1:7">
      <c r="A23" s="11">
        <v>22</v>
      </c>
      <c r="B23" s="11"/>
      <c r="C23" s="3">
        <v>102</v>
      </c>
      <c r="D23" s="11">
        <v>20000</v>
      </c>
      <c r="E23" s="11">
        <f t="shared" si="0"/>
        <v>980000</v>
      </c>
      <c r="F23" s="3">
        <f t="shared" si="1"/>
        <v>-2030004</v>
      </c>
      <c r="G23" s="3">
        <f t="shared" si="2"/>
        <v>9996</v>
      </c>
    </row>
    <row r="24" spans="1:7">
      <c r="A24" s="11">
        <v>23</v>
      </c>
      <c r="B24" s="11"/>
      <c r="C24" s="3">
        <v>100</v>
      </c>
      <c r="D24" s="11">
        <v>20000</v>
      </c>
      <c r="E24" s="11">
        <f t="shared" si="0"/>
        <v>1000000</v>
      </c>
      <c r="F24" s="3">
        <f t="shared" si="1"/>
        <v>-1990200</v>
      </c>
      <c r="G24" s="3">
        <f t="shared" si="2"/>
        <v>9800</v>
      </c>
    </row>
    <row r="25" spans="1:7">
      <c r="A25" s="11">
        <v>24</v>
      </c>
      <c r="B25" s="11"/>
      <c r="C25" s="11"/>
      <c r="D25" s="11"/>
      <c r="E25" s="11"/>
      <c r="F25" s="3"/>
      <c r="G25" s="11"/>
    </row>
    <row r="26" spans="1:7">
      <c r="A26" s="11">
        <v>25</v>
      </c>
      <c r="B26" s="11"/>
      <c r="C26" s="11"/>
      <c r="D26" s="11"/>
      <c r="E26" s="11"/>
      <c r="F26" s="3">
        <f>SUM(F2:F24)</f>
        <v>406260</v>
      </c>
      <c r="G26" s="3">
        <f>SUM(G2:G25)</f>
        <v>250516</v>
      </c>
    </row>
    <row r="27" spans="1:7">
      <c r="A27" s="11">
        <v>26</v>
      </c>
      <c r="B27" s="11"/>
      <c r="C27" s="11"/>
      <c r="D27" s="11"/>
      <c r="E27" s="11"/>
      <c r="F27" s="11" t="s">
        <v>4226</v>
      </c>
      <c r="G27" s="11" t="s">
        <v>4227</v>
      </c>
    </row>
    <row r="33" spans="19:19">
      <c r="S33"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11" t="s">
        <v>180</v>
      </c>
      <c r="B1" s="11" t="s">
        <v>267</v>
      </c>
      <c r="C1" s="11" t="s">
        <v>8</v>
      </c>
      <c r="D1" s="32" t="s">
        <v>280</v>
      </c>
      <c r="E1" s="32" t="s">
        <v>281</v>
      </c>
      <c r="F1" s="32" t="s">
        <v>285</v>
      </c>
      <c r="G1" s="11" t="s">
        <v>282</v>
      </c>
    </row>
    <row r="2" spans="1:7">
      <c r="A2" s="11" t="s">
        <v>292</v>
      </c>
      <c r="B2" s="3">
        <v>50000</v>
      </c>
      <c r="C2" s="11" t="s">
        <v>1</v>
      </c>
      <c r="D2" s="11">
        <v>6</v>
      </c>
      <c r="E2" s="11">
        <f>E3+D2</f>
        <v>768</v>
      </c>
      <c r="F2" s="11">
        <f t="shared" ref="F2:F43" si="0">IF(B2&gt;0,1,0)</f>
        <v>1</v>
      </c>
      <c r="G2" s="11">
        <f>B2*(E2-F2)</f>
        <v>38350000</v>
      </c>
    </row>
    <row r="3" spans="1:7">
      <c r="A3" s="11" t="s">
        <v>311</v>
      </c>
      <c r="B3" s="3">
        <v>15000000</v>
      </c>
      <c r="C3" s="11" t="s">
        <v>312</v>
      </c>
      <c r="D3" s="11">
        <v>2</v>
      </c>
      <c r="E3" s="11">
        <f t="shared" ref="E3:E19" si="1">E4+D3</f>
        <v>762</v>
      </c>
      <c r="F3" s="11">
        <f t="shared" si="0"/>
        <v>1</v>
      </c>
      <c r="G3" s="11">
        <f t="shared" ref="G3:G62" si="2">B3*(E3-F3)</f>
        <v>11415000000</v>
      </c>
    </row>
    <row r="4" spans="1:7">
      <c r="A4" s="11" t="s">
        <v>324</v>
      </c>
      <c r="B4" s="3">
        <v>-3000000</v>
      </c>
      <c r="C4" s="11" t="s">
        <v>325</v>
      </c>
      <c r="D4" s="11">
        <v>1</v>
      </c>
      <c r="E4" s="11">
        <f t="shared" si="1"/>
        <v>760</v>
      </c>
      <c r="F4" s="11">
        <f t="shared" si="0"/>
        <v>0</v>
      </c>
      <c r="G4" s="11">
        <f t="shared" si="2"/>
        <v>-2280000000</v>
      </c>
    </row>
    <row r="5" spans="1:7">
      <c r="A5" s="11" t="s">
        <v>390</v>
      </c>
      <c r="B5" s="3">
        <v>-3200900</v>
      </c>
      <c r="C5" s="11" t="s">
        <v>392</v>
      </c>
      <c r="D5" s="11">
        <v>2</v>
      </c>
      <c r="E5" s="11">
        <f t="shared" si="1"/>
        <v>759</v>
      </c>
      <c r="F5" s="11">
        <f t="shared" si="0"/>
        <v>0</v>
      </c>
      <c r="G5" s="11">
        <f t="shared" si="2"/>
        <v>-2429483100</v>
      </c>
    </row>
    <row r="6" spans="1:7">
      <c r="A6" s="11" t="s">
        <v>402</v>
      </c>
      <c r="B6" s="3">
        <v>-3000900</v>
      </c>
      <c r="C6" s="11" t="s">
        <v>403</v>
      </c>
      <c r="D6" s="11">
        <v>2</v>
      </c>
      <c r="E6" s="11">
        <f t="shared" si="1"/>
        <v>757</v>
      </c>
      <c r="F6" s="11">
        <f t="shared" si="0"/>
        <v>0</v>
      </c>
      <c r="G6" s="11">
        <f>B6*(E6-F6)</f>
        <v>-2271681300</v>
      </c>
    </row>
    <row r="7" spans="1:7">
      <c r="A7" s="11" t="s">
        <v>415</v>
      </c>
      <c r="B7" s="3">
        <v>-5805900</v>
      </c>
      <c r="C7" s="11" t="s">
        <v>416</v>
      </c>
      <c r="D7" s="11">
        <v>22</v>
      </c>
      <c r="E7" s="11">
        <f t="shared" si="1"/>
        <v>755</v>
      </c>
      <c r="F7" s="11">
        <f t="shared" si="0"/>
        <v>0</v>
      </c>
      <c r="G7" s="11">
        <f t="shared" si="2"/>
        <v>-4383454500</v>
      </c>
    </row>
    <row r="8" spans="1:7">
      <c r="A8" s="11" t="s">
        <v>451</v>
      </c>
      <c r="B8" s="3">
        <v>54417</v>
      </c>
      <c r="C8" s="23" t="s">
        <v>455</v>
      </c>
      <c r="D8" s="23">
        <v>272</v>
      </c>
      <c r="E8" s="11">
        <f t="shared" si="1"/>
        <v>733</v>
      </c>
      <c r="F8" s="11">
        <f t="shared" si="0"/>
        <v>1</v>
      </c>
      <c r="G8" s="11">
        <f t="shared" si="2"/>
        <v>39833244</v>
      </c>
    </row>
    <row r="9" spans="1:7">
      <c r="A9" s="11" t="s">
        <v>767</v>
      </c>
      <c r="B9" s="3">
        <v>-80000</v>
      </c>
      <c r="C9" s="11" t="s">
        <v>774</v>
      </c>
      <c r="D9" s="11">
        <v>65</v>
      </c>
      <c r="E9" s="11">
        <f t="shared" si="1"/>
        <v>461</v>
      </c>
      <c r="F9" s="11">
        <f t="shared" si="0"/>
        <v>0</v>
      </c>
      <c r="G9" s="11">
        <f>B9*(E9-F9)</f>
        <v>-36880000</v>
      </c>
    </row>
    <row r="10" spans="1:7">
      <c r="A10" s="11" t="s">
        <v>853</v>
      </c>
      <c r="B10" s="3">
        <v>850000</v>
      </c>
      <c r="C10" s="11" t="s">
        <v>859</v>
      </c>
      <c r="D10" s="11">
        <v>14</v>
      </c>
      <c r="E10" s="11">
        <f t="shared" si="1"/>
        <v>396</v>
      </c>
      <c r="F10" s="11">
        <f t="shared" si="0"/>
        <v>1</v>
      </c>
      <c r="G10" s="11">
        <f t="shared" si="2"/>
        <v>335750000</v>
      </c>
    </row>
    <row r="11" spans="1:7">
      <c r="A11" s="11" t="s">
        <v>875</v>
      </c>
      <c r="B11" s="3">
        <v>-700000</v>
      </c>
      <c r="C11" s="11" t="s">
        <v>885</v>
      </c>
      <c r="D11" s="11">
        <v>6</v>
      </c>
      <c r="E11" s="11">
        <f t="shared" si="1"/>
        <v>382</v>
      </c>
      <c r="F11" s="11">
        <f t="shared" si="0"/>
        <v>0</v>
      </c>
      <c r="G11" s="11">
        <f t="shared" si="2"/>
        <v>-267400000</v>
      </c>
    </row>
    <row r="12" spans="1:7">
      <c r="A12" s="11" t="s">
        <v>883</v>
      </c>
      <c r="B12" s="3">
        <v>1000000</v>
      </c>
      <c r="C12" s="11" t="s">
        <v>886</v>
      </c>
      <c r="D12" s="11">
        <v>8</v>
      </c>
      <c r="E12" s="11">
        <f t="shared" si="1"/>
        <v>376</v>
      </c>
      <c r="F12" s="11">
        <f t="shared" si="0"/>
        <v>1</v>
      </c>
      <c r="G12" s="11">
        <f t="shared" si="2"/>
        <v>375000000</v>
      </c>
    </row>
    <row r="13" spans="1:7">
      <c r="A13" s="11" t="s">
        <v>997</v>
      </c>
      <c r="B13" s="3">
        <v>4857</v>
      </c>
      <c r="C13" s="11" t="s">
        <v>455</v>
      </c>
      <c r="D13" s="11">
        <v>1</v>
      </c>
      <c r="E13" s="11">
        <f t="shared" si="1"/>
        <v>368</v>
      </c>
      <c r="F13" s="11">
        <f t="shared" si="0"/>
        <v>1</v>
      </c>
      <c r="G13" s="11">
        <f t="shared" si="2"/>
        <v>1782519</v>
      </c>
    </row>
    <row r="14" spans="1:7">
      <c r="A14" s="11" t="s">
        <v>1003</v>
      </c>
      <c r="B14" s="3">
        <v>-191000</v>
      </c>
      <c r="C14" s="11" t="s">
        <v>885</v>
      </c>
      <c r="D14" s="11">
        <v>15</v>
      </c>
      <c r="E14" s="11">
        <f t="shared" si="1"/>
        <v>367</v>
      </c>
      <c r="F14" s="11">
        <f t="shared" si="0"/>
        <v>0</v>
      </c>
      <c r="G14" s="11">
        <f t="shared" si="2"/>
        <v>-70097000</v>
      </c>
    </row>
    <row r="15" spans="1:7">
      <c r="A15" s="11" t="s">
        <v>1041</v>
      </c>
      <c r="B15" s="3">
        <v>-200000</v>
      </c>
      <c r="C15" s="11" t="s">
        <v>774</v>
      </c>
      <c r="D15" s="11">
        <v>16</v>
      </c>
      <c r="E15" s="11">
        <f t="shared" si="1"/>
        <v>352</v>
      </c>
      <c r="F15" s="11">
        <f t="shared" si="0"/>
        <v>0</v>
      </c>
      <c r="G15" s="11">
        <f t="shared" si="2"/>
        <v>-70400000</v>
      </c>
    </row>
    <row r="16" spans="1:7">
      <c r="A16" s="11" t="s">
        <v>1125</v>
      </c>
      <c r="B16" s="3">
        <v>-694356</v>
      </c>
      <c r="C16" s="11" t="s">
        <v>1126</v>
      </c>
      <c r="D16" s="11">
        <v>7</v>
      </c>
      <c r="E16" s="11">
        <f t="shared" si="1"/>
        <v>336</v>
      </c>
      <c r="F16" s="11">
        <f t="shared" si="0"/>
        <v>0</v>
      </c>
      <c r="G16" s="11">
        <f t="shared" si="2"/>
        <v>-233303616</v>
      </c>
    </row>
    <row r="17" spans="1:7">
      <c r="A17" s="11" t="s">
        <v>1137</v>
      </c>
      <c r="B17" s="3">
        <v>50000</v>
      </c>
      <c r="C17" s="11" t="s">
        <v>1151</v>
      </c>
      <c r="D17" s="11">
        <v>23</v>
      </c>
      <c r="E17" s="11">
        <f t="shared" si="1"/>
        <v>329</v>
      </c>
      <c r="F17" s="11">
        <f t="shared" si="0"/>
        <v>1</v>
      </c>
      <c r="G17" s="11">
        <f t="shared" si="2"/>
        <v>16400000</v>
      </c>
    </row>
    <row r="18" spans="1:7">
      <c r="A18" s="11" t="s">
        <v>3634</v>
      </c>
      <c r="B18" s="3">
        <v>1047</v>
      </c>
      <c r="C18" s="11" t="s">
        <v>3637</v>
      </c>
      <c r="D18" s="11">
        <v>8</v>
      </c>
      <c r="E18" s="11">
        <f>E19+D18</f>
        <v>306</v>
      </c>
      <c r="F18" s="11">
        <f t="shared" si="0"/>
        <v>1</v>
      </c>
      <c r="G18" s="11">
        <f t="shared" si="2"/>
        <v>319335</v>
      </c>
    </row>
    <row r="19" spans="1:7">
      <c r="A19" s="11" t="s">
        <v>3670</v>
      </c>
      <c r="B19" s="3">
        <v>785500</v>
      </c>
      <c r="C19" s="11" t="s">
        <v>3674</v>
      </c>
      <c r="D19" s="11">
        <v>1</v>
      </c>
      <c r="E19" s="11">
        <f t="shared" si="1"/>
        <v>298</v>
      </c>
      <c r="F19" s="11">
        <f t="shared" si="0"/>
        <v>1</v>
      </c>
      <c r="G19" s="11">
        <f t="shared" si="2"/>
        <v>233293500</v>
      </c>
    </row>
    <row r="20" spans="1:7">
      <c r="A20" s="11" t="s">
        <v>3766</v>
      </c>
      <c r="B20" s="3">
        <v>-57500</v>
      </c>
      <c r="C20" s="11" t="s">
        <v>982</v>
      </c>
      <c r="D20" s="11">
        <v>0</v>
      </c>
      <c r="E20" s="11">
        <f>E21+D20</f>
        <v>297</v>
      </c>
      <c r="F20" s="11">
        <f t="shared" si="0"/>
        <v>0</v>
      </c>
      <c r="G20" s="11">
        <f t="shared" si="2"/>
        <v>-17077500</v>
      </c>
    </row>
    <row r="21" spans="1:7">
      <c r="A21" s="11" t="s">
        <v>3766</v>
      </c>
      <c r="B21" s="3">
        <v>6099</v>
      </c>
      <c r="C21" s="11" t="s">
        <v>559</v>
      </c>
      <c r="D21" s="11">
        <v>10</v>
      </c>
      <c r="E21" s="11">
        <f t="shared" ref="E21:E31" si="3">E22+D21</f>
        <v>297</v>
      </c>
      <c r="F21" s="11">
        <f t="shared" si="0"/>
        <v>1</v>
      </c>
      <c r="G21" s="11">
        <f t="shared" si="2"/>
        <v>1805304</v>
      </c>
    </row>
    <row r="22" spans="1:7">
      <c r="A22" s="11" t="s">
        <v>3878</v>
      </c>
      <c r="B22" s="3">
        <v>-85000</v>
      </c>
      <c r="C22" s="11" t="s">
        <v>3889</v>
      </c>
      <c r="D22" s="11">
        <v>4</v>
      </c>
      <c r="E22" s="11">
        <f t="shared" si="3"/>
        <v>287</v>
      </c>
      <c r="F22" s="11">
        <f t="shared" si="0"/>
        <v>0</v>
      </c>
      <c r="G22" s="11">
        <f t="shared" si="2"/>
        <v>-24395000</v>
      </c>
    </row>
    <row r="23" spans="1:7">
      <c r="A23" s="11" t="s">
        <v>3857</v>
      </c>
      <c r="B23" s="3">
        <v>-180000</v>
      </c>
      <c r="C23" s="11" t="s">
        <v>3889</v>
      </c>
      <c r="D23" s="11">
        <v>0</v>
      </c>
      <c r="E23" s="11">
        <f t="shared" si="3"/>
        <v>283</v>
      </c>
      <c r="F23" s="11">
        <f t="shared" si="0"/>
        <v>0</v>
      </c>
      <c r="G23" s="11">
        <f t="shared" si="2"/>
        <v>-50940000</v>
      </c>
    </row>
    <row r="24" spans="1:7">
      <c r="A24" s="11" t="s">
        <v>3857</v>
      </c>
      <c r="B24" s="3">
        <v>-69000</v>
      </c>
      <c r="C24" s="11" t="s">
        <v>3889</v>
      </c>
      <c r="D24" s="11">
        <v>6</v>
      </c>
      <c r="E24" s="11">
        <f t="shared" si="3"/>
        <v>283</v>
      </c>
      <c r="F24" s="11">
        <f t="shared" si="0"/>
        <v>0</v>
      </c>
      <c r="G24" s="11">
        <f t="shared" si="2"/>
        <v>-19527000</v>
      </c>
    </row>
    <row r="25" spans="1:7">
      <c r="A25" s="11" t="s">
        <v>3874</v>
      </c>
      <c r="B25" s="3">
        <v>-8600</v>
      </c>
      <c r="C25" s="11" t="s">
        <v>3889</v>
      </c>
      <c r="D25" s="11">
        <v>0</v>
      </c>
      <c r="E25" s="11">
        <f t="shared" si="3"/>
        <v>277</v>
      </c>
      <c r="F25" s="11">
        <f t="shared" si="0"/>
        <v>0</v>
      </c>
      <c r="G25" s="11">
        <f t="shared" si="2"/>
        <v>-2382200</v>
      </c>
    </row>
    <row r="26" spans="1:7">
      <c r="A26" s="11" t="s">
        <v>3874</v>
      </c>
      <c r="B26" s="3">
        <v>-40000</v>
      </c>
      <c r="C26" s="11" t="s">
        <v>3889</v>
      </c>
      <c r="D26" s="11">
        <v>0</v>
      </c>
      <c r="E26" s="11">
        <f t="shared" si="3"/>
        <v>277</v>
      </c>
      <c r="F26" s="11">
        <f t="shared" si="0"/>
        <v>0</v>
      </c>
      <c r="G26" s="11">
        <f t="shared" si="2"/>
        <v>-11080000</v>
      </c>
    </row>
    <row r="27" spans="1:7">
      <c r="A27" s="11" t="s">
        <v>3874</v>
      </c>
      <c r="B27" s="3">
        <v>-92500</v>
      </c>
      <c r="C27" s="11" t="s">
        <v>3889</v>
      </c>
      <c r="D27" s="11">
        <v>0</v>
      </c>
      <c r="E27" s="11">
        <f t="shared" si="3"/>
        <v>277</v>
      </c>
      <c r="F27" s="11">
        <f t="shared" si="0"/>
        <v>0</v>
      </c>
      <c r="G27" s="11">
        <f t="shared" si="2"/>
        <v>-25622500</v>
      </c>
    </row>
    <row r="28" spans="1:7">
      <c r="A28" s="11" t="s">
        <v>3874</v>
      </c>
      <c r="B28" s="3">
        <v>-47000</v>
      </c>
      <c r="C28" s="11" t="s">
        <v>3889</v>
      </c>
      <c r="D28" s="11">
        <v>1</v>
      </c>
      <c r="E28" s="11">
        <f t="shared" si="3"/>
        <v>277</v>
      </c>
      <c r="F28" s="11">
        <f t="shared" si="0"/>
        <v>0</v>
      </c>
      <c r="G28" s="11">
        <f t="shared" si="2"/>
        <v>-13019000</v>
      </c>
    </row>
    <row r="29" spans="1:7">
      <c r="A29" s="11" t="s">
        <v>3879</v>
      </c>
      <c r="B29" s="3">
        <v>-77500</v>
      </c>
      <c r="C29" s="11" t="s">
        <v>3889</v>
      </c>
      <c r="D29" s="11">
        <v>0</v>
      </c>
      <c r="E29" s="11">
        <f t="shared" si="3"/>
        <v>276</v>
      </c>
      <c r="F29" s="11">
        <f t="shared" si="0"/>
        <v>0</v>
      </c>
      <c r="G29" s="11">
        <f t="shared" si="2"/>
        <v>-21390000</v>
      </c>
    </row>
    <row r="30" spans="1:7">
      <c r="A30" s="11" t="s">
        <v>3879</v>
      </c>
      <c r="B30" s="3">
        <v>-57000</v>
      </c>
      <c r="C30" s="11" t="s">
        <v>3889</v>
      </c>
      <c r="D30" s="11">
        <v>0</v>
      </c>
      <c r="E30" s="11">
        <f t="shared" si="3"/>
        <v>276</v>
      </c>
      <c r="F30" s="11">
        <f t="shared" si="0"/>
        <v>0</v>
      </c>
      <c r="G30" s="11">
        <f t="shared" si="2"/>
        <v>-15732000</v>
      </c>
    </row>
    <row r="31" spans="1:7">
      <c r="A31" s="11" t="s">
        <v>3879</v>
      </c>
      <c r="B31" s="3">
        <v>-45000</v>
      </c>
      <c r="C31" s="11" t="s">
        <v>3889</v>
      </c>
      <c r="D31" s="11">
        <v>0</v>
      </c>
      <c r="E31" s="11">
        <f t="shared" si="3"/>
        <v>276</v>
      </c>
      <c r="F31" s="11">
        <f t="shared" si="0"/>
        <v>0</v>
      </c>
      <c r="G31" s="11">
        <f t="shared" si="2"/>
        <v>-12420000</v>
      </c>
    </row>
    <row r="32" spans="1:7">
      <c r="A32" s="11" t="s">
        <v>3879</v>
      </c>
      <c r="B32" s="3">
        <v>-30000</v>
      </c>
      <c r="C32" s="11" t="s">
        <v>3889</v>
      </c>
      <c r="D32" s="11">
        <v>3</v>
      </c>
      <c r="E32" s="11">
        <f>E33+D32</f>
        <v>276</v>
      </c>
      <c r="F32" s="11">
        <f t="shared" si="0"/>
        <v>0</v>
      </c>
      <c r="G32" s="11">
        <f t="shared" si="2"/>
        <v>-8280000</v>
      </c>
    </row>
    <row r="33" spans="1:14">
      <c r="A33" s="11" t="s">
        <v>3888</v>
      </c>
      <c r="B33" s="3">
        <v>1000000</v>
      </c>
      <c r="C33" s="11" t="s">
        <v>3853</v>
      </c>
      <c r="D33" s="11">
        <v>1</v>
      </c>
      <c r="E33" s="11">
        <f>E34+D33</f>
        <v>273</v>
      </c>
      <c r="F33" s="11">
        <f t="shared" si="0"/>
        <v>1</v>
      </c>
      <c r="G33" s="11">
        <f t="shared" si="2"/>
        <v>272000000</v>
      </c>
    </row>
    <row r="34" spans="1:14">
      <c r="A34" s="11" t="s">
        <v>3893</v>
      </c>
      <c r="B34" s="3">
        <v>-79700</v>
      </c>
      <c r="C34" s="11" t="s">
        <v>3889</v>
      </c>
      <c r="D34" s="11">
        <v>7</v>
      </c>
      <c r="E34" s="11">
        <f t="shared" ref="E34:E39" si="4">E35+D34</f>
        <v>272</v>
      </c>
      <c r="F34" s="11">
        <f t="shared" si="0"/>
        <v>0</v>
      </c>
      <c r="G34" s="11">
        <f t="shared" si="2"/>
        <v>-21678400</v>
      </c>
    </row>
    <row r="35" spans="1:14">
      <c r="A35" s="11" t="s">
        <v>3986</v>
      </c>
      <c r="B35" s="3">
        <v>-1187</v>
      </c>
      <c r="C35" s="11" t="s">
        <v>3889</v>
      </c>
      <c r="D35" s="11">
        <v>5</v>
      </c>
      <c r="E35" s="11">
        <f t="shared" si="4"/>
        <v>265</v>
      </c>
      <c r="F35" s="11">
        <f t="shared" si="0"/>
        <v>0</v>
      </c>
      <c r="G35" s="11">
        <f t="shared" si="2"/>
        <v>-314555</v>
      </c>
    </row>
    <row r="36" spans="1:14">
      <c r="A36" s="11" t="s">
        <v>3929</v>
      </c>
      <c r="B36" s="3">
        <v>-55262</v>
      </c>
      <c r="C36" s="11" t="s">
        <v>3889</v>
      </c>
      <c r="D36" s="11">
        <v>1</v>
      </c>
      <c r="E36" s="11">
        <f t="shared" si="4"/>
        <v>260</v>
      </c>
      <c r="F36" s="11">
        <f t="shared" si="0"/>
        <v>0</v>
      </c>
      <c r="G36" s="11">
        <f t="shared" si="2"/>
        <v>-14368120</v>
      </c>
    </row>
    <row r="37" spans="1:14">
      <c r="A37" s="11" t="s">
        <v>3931</v>
      </c>
      <c r="B37" s="3">
        <v>-15700</v>
      </c>
      <c r="C37" s="11" t="s">
        <v>3889</v>
      </c>
      <c r="D37" s="11">
        <v>7</v>
      </c>
      <c r="E37" s="11">
        <f t="shared" si="4"/>
        <v>259</v>
      </c>
      <c r="F37" s="11">
        <f t="shared" si="0"/>
        <v>0</v>
      </c>
      <c r="G37" s="11">
        <f t="shared" si="2"/>
        <v>-4066300</v>
      </c>
    </row>
    <row r="38" spans="1:14">
      <c r="A38" s="11" t="s">
        <v>3987</v>
      </c>
      <c r="B38" s="3">
        <v>-176000</v>
      </c>
      <c r="C38" s="11" t="s">
        <v>3889</v>
      </c>
      <c r="D38" s="11">
        <v>1</v>
      </c>
      <c r="E38" s="11">
        <f>E39+D38</f>
        <v>252</v>
      </c>
      <c r="F38" s="11">
        <f t="shared" si="0"/>
        <v>0</v>
      </c>
      <c r="G38" s="11">
        <f t="shared" si="2"/>
        <v>-44352000</v>
      </c>
    </row>
    <row r="39" spans="1:14">
      <c r="A39" s="11" t="s">
        <v>3953</v>
      </c>
      <c r="B39" s="3">
        <v>-68600</v>
      </c>
      <c r="C39" s="11" t="s">
        <v>3889</v>
      </c>
      <c r="D39" s="11">
        <v>7</v>
      </c>
      <c r="E39" s="11">
        <f t="shared" si="4"/>
        <v>251</v>
      </c>
      <c r="F39" s="11">
        <f t="shared" si="0"/>
        <v>0</v>
      </c>
      <c r="G39" s="11">
        <f t="shared" si="2"/>
        <v>-17218600</v>
      </c>
    </row>
    <row r="40" spans="1:14">
      <c r="A40" s="11" t="s">
        <v>3985</v>
      </c>
      <c r="B40" s="3">
        <v>-3540</v>
      </c>
      <c r="C40" s="11" t="s">
        <v>3889</v>
      </c>
      <c r="D40" s="11">
        <v>4</v>
      </c>
      <c r="E40" s="11">
        <f>E41+D40</f>
        <v>244</v>
      </c>
      <c r="F40" s="11">
        <f t="shared" si="0"/>
        <v>0</v>
      </c>
      <c r="G40" s="11">
        <f t="shared" si="2"/>
        <v>-863760</v>
      </c>
      <c r="J40" t="s">
        <v>25</v>
      </c>
    </row>
    <row r="41" spans="1:14">
      <c r="A41" s="11" t="s">
        <v>3983</v>
      </c>
      <c r="B41" s="3">
        <v>-315101</v>
      </c>
      <c r="C41" s="11" t="s">
        <v>3984</v>
      </c>
      <c r="D41" s="11">
        <v>2</v>
      </c>
      <c r="E41" s="11">
        <f>E42+D41</f>
        <v>240</v>
      </c>
      <c r="F41" s="11">
        <f t="shared" si="0"/>
        <v>0</v>
      </c>
      <c r="G41" s="11">
        <f t="shared" si="2"/>
        <v>-75624240</v>
      </c>
    </row>
    <row r="42" spans="1:14">
      <c r="A42" s="11" t="s">
        <v>3649</v>
      </c>
      <c r="B42" s="3">
        <v>-416000</v>
      </c>
      <c r="C42" s="11" t="s">
        <v>3993</v>
      </c>
      <c r="D42" s="11">
        <v>133</v>
      </c>
      <c r="E42" s="11">
        <f>E43+D42</f>
        <v>238</v>
      </c>
      <c r="F42" s="11">
        <f t="shared" si="0"/>
        <v>0</v>
      </c>
      <c r="G42" s="11">
        <f t="shared" si="2"/>
        <v>-99008000</v>
      </c>
      <c r="N42" t="s">
        <v>25</v>
      </c>
    </row>
    <row r="43" spans="1:14">
      <c r="A43" s="11" t="s">
        <v>4480</v>
      </c>
      <c r="B43" s="3">
        <v>100000</v>
      </c>
      <c r="C43" s="11" t="s">
        <v>3853</v>
      </c>
      <c r="D43" s="11">
        <v>58</v>
      </c>
      <c r="E43" s="11">
        <f>E44+D43</f>
        <v>105</v>
      </c>
      <c r="F43" s="11">
        <f t="shared" si="0"/>
        <v>1</v>
      </c>
      <c r="G43" s="11">
        <f t="shared" si="2"/>
        <v>10400000</v>
      </c>
    </row>
    <row r="44" spans="1:14">
      <c r="A44" s="11" t="s">
        <v>4633</v>
      </c>
      <c r="B44" s="3">
        <v>-31000</v>
      </c>
      <c r="C44" s="11" t="s">
        <v>4640</v>
      </c>
      <c r="D44" s="11">
        <v>19</v>
      </c>
      <c r="E44" s="11">
        <f t="shared" ref="E44:E50" si="5">E45+D44</f>
        <v>47</v>
      </c>
      <c r="F44" s="11">
        <f t="shared" ref="F44:F50" si="6">IF(B44&gt;0,1,0)</f>
        <v>0</v>
      </c>
      <c r="G44" s="11">
        <f t="shared" ref="G44:G50" si="7">B44*(E44-F44)</f>
        <v>-1457000</v>
      </c>
    </row>
    <row r="45" spans="1:14">
      <c r="A45" s="11" t="s">
        <v>4702</v>
      </c>
      <c r="B45" s="3">
        <v>2060725</v>
      </c>
      <c r="C45" s="11" t="s">
        <v>4705</v>
      </c>
      <c r="D45" s="11">
        <v>6</v>
      </c>
      <c r="E45" s="11">
        <f t="shared" si="5"/>
        <v>28</v>
      </c>
      <c r="F45" s="11">
        <f t="shared" si="6"/>
        <v>1</v>
      </c>
      <c r="G45" s="11">
        <f t="shared" si="7"/>
        <v>55639575</v>
      </c>
    </row>
    <row r="46" spans="1:14">
      <c r="A46" s="11" t="s">
        <v>4725</v>
      </c>
      <c r="B46" s="3">
        <v>-1073169</v>
      </c>
      <c r="C46" s="11" t="s">
        <v>4726</v>
      </c>
      <c r="D46" s="11">
        <v>4</v>
      </c>
      <c r="E46" s="11">
        <f t="shared" si="5"/>
        <v>22</v>
      </c>
      <c r="F46" s="11">
        <f t="shared" si="6"/>
        <v>0</v>
      </c>
      <c r="G46" s="11">
        <f t="shared" si="7"/>
        <v>-23609718</v>
      </c>
    </row>
    <row r="47" spans="1:14">
      <c r="A47" s="11" t="s">
        <v>4717</v>
      </c>
      <c r="B47" s="3">
        <v>-178820</v>
      </c>
      <c r="C47" s="11" t="s">
        <v>3976</v>
      </c>
      <c r="D47" s="11">
        <v>0</v>
      </c>
      <c r="E47" s="11">
        <f t="shared" si="5"/>
        <v>18</v>
      </c>
      <c r="F47" s="11">
        <f t="shared" si="6"/>
        <v>0</v>
      </c>
      <c r="G47" s="11">
        <f t="shared" si="7"/>
        <v>-3218760</v>
      </c>
      <c r="L47" t="s">
        <v>25</v>
      </c>
    </row>
    <row r="48" spans="1:14">
      <c r="A48" s="11" t="s">
        <v>4717</v>
      </c>
      <c r="B48" s="3">
        <v>-25000</v>
      </c>
      <c r="C48" s="11" t="s">
        <v>723</v>
      </c>
      <c r="D48" s="11">
        <v>4</v>
      </c>
      <c r="E48" s="11">
        <f t="shared" si="5"/>
        <v>18</v>
      </c>
      <c r="F48" s="11">
        <f t="shared" si="6"/>
        <v>0</v>
      </c>
      <c r="G48" s="11">
        <f t="shared" si="7"/>
        <v>-450000</v>
      </c>
      <c r="L48" t="s">
        <v>25</v>
      </c>
    </row>
    <row r="49" spans="1:13">
      <c r="A49" s="11" t="s">
        <v>4730</v>
      </c>
      <c r="B49" s="3">
        <v>-49500</v>
      </c>
      <c r="C49" s="11" t="s">
        <v>433</v>
      </c>
      <c r="D49" s="11">
        <v>2</v>
      </c>
      <c r="E49" s="11">
        <f t="shared" si="5"/>
        <v>14</v>
      </c>
      <c r="F49" s="11">
        <f t="shared" si="6"/>
        <v>0</v>
      </c>
      <c r="G49" s="11">
        <f t="shared" si="7"/>
        <v>-693000</v>
      </c>
    </row>
    <row r="50" spans="1:13">
      <c r="A50" s="11" t="s">
        <v>4733</v>
      </c>
      <c r="B50" s="3">
        <v>-4500</v>
      </c>
      <c r="C50" s="11" t="s">
        <v>433</v>
      </c>
      <c r="D50" s="11">
        <v>1</v>
      </c>
      <c r="E50" s="11">
        <f t="shared" si="5"/>
        <v>12</v>
      </c>
      <c r="F50" s="11">
        <f t="shared" si="6"/>
        <v>0</v>
      </c>
      <c r="G50" s="11">
        <f t="shared" si="7"/>
        <v>-54000</v>
      </c>
    </row>
    <row r="51" spans="1:13">
      <c r="A51" s="11" t="s">
        <v>4734</v>
      </c>
      <c r="B51" s="3">
        <v>-328000</v>
      </c>
      <c r="C51" s="11" t="s">
        <v>433</v>
      </c>
      <c r="D51" s="11">
        <v>4</v>
      </c>
      <c r="E51" s="11">
        <f t="shared" ref="E51:E61" si="8">E52+D51</f>
        <v>11</v>
      </c>
      <c r="F51" s="11">
        <f t="shared" ref="F51:F61" si="9">IF(B51&gt;0,1,0)</f>
        <v>0</v>
      </c>
      <c r="G51" s="11">
        <f t="shared" ref="G51:G61" si="10">B51*(E51-F51)</f>
        <v>-3608000</v>
      </c>
    </row>
    <row r="52" spans="1:13">
      <c r="A52" s="11" t="s">
        <v>4738</v>
      </c>
      <c r="B52" s="3">
        <v>-195330</v>
      </c>
      <c r="C52" s="11" t="s">
        <v>4743</v>
      </c>
      <c r="D52" s="11">
        <v>1</v>
      </c>
      <c r="E52" s="11">
        <f t="shared" si="8"/>
        <v>7</v>
      </c>
      <c r="F52" s="11">
        <f t="shared" si="9"/>
        <v>0</v>
      </c>
      <c r="G52" s="11">
        <f t="shared" si="10"/>
        <v>-1367310</v>
      </c>
    </row>
    <row r="53" spans="1:13">
      <c r="A53" s="11" t="s">
        <v>4745</v>
      </c>
      <c r="B53" s="3">
        <v>-140730</v>
      </c>
      <c r="C53" s="11" t="s">
        <v>4748</v>
      </c>
      <c r="D53" s="11">
        <v>1</v>
      </c>
      <c r="E53" s="11">
        <f t="shared" si="8"/>
        <v>6</v>
      </c>
      <c r="F53" s="11">
        <f t="shared" si="9"/>
        <v>0</v>
      </c>
      <c r="G53" s="11">
        <f t="shared" si="10"/>
        <v>-844380</v>
      </c>
    </row>
    <row r="54" spans="1:13">
      <c r="A54" s="11" t="s">
        <v>4746</v>
      </c>
      <c r="B54" s="3">
        <v>-4200</v>
      </c>
      <c r="C54" s="11" t="s">
        <v>1033</v>
      </c>
      <c r="D54" s="11">
        <v>0</v>
      </c>
      <c r="E54" s="11">
        <f t="shared" si="8"/>
        <v>5</v>
      </c>
      <c r="F54" s="11">
        <f t="shared" si="9"/>
        <v>0</v>
      </c>
      <c r="G54" s="11">
        <f t="shared" si="10"/>
        <v>-21000</v>
      </c>
    </row>
    <row r="55" spans="1:13">
      <c r="A55" s="11" t="s">
        <v>4746</v>
      </c>
      <c r="B55" s="3">
        <v>-66567</v>
      </c>
      <c r="C55" s="11" t="s">
        <v>3976</v>
      </c>
      <c r="D55" s="11">
        <v>4</v>
      </c>
      <c r="E55" s="11">
        <f t="shared" si="8"/>
        <v>5</v>
      </c>
      <c r="F55" s="11">
        <f t="shared" si="9"/>
        <v>0</v>
      </c>
      <c r="G55" s="11">
        <f t="shared" si="10"/>
        <v>-332835</v>
      </c>
    </row>
    <row r="56" spans="1:13">
      <c r="A56" s="11" t="s">
        <v>4750</v>
      </c>
      <c r="B56" s="3">
        <v>-10000</v>
      </c>
      <c r="C56" s="11" t="s">
        <v>433</v>
      </c>
      <c r="D56" s="11">
        <v>1</v>
      </c>
      <c r="E56" s="11">
        <f t="shared" si="8"/>
        <v>1</v>
      </c>
      <c r="F56" s="11">
        <f t="shared" si="9"/>
        <v>0</v>
      </c>
      <c r="G56" s="11">
        <f t="shared" si="10"/>
        <v>-10000</v>
      </c>
    </row>
    <row r="57" spans="1:13">
      <c r="A57" s="11"/>
      <c r="B57" s="3"/>
      <c r="C57" s="11"/>
      <c r="D57" s="11"/>
      <c r="E57" s="11">
        <f t="shared" si="8"/>
        <v>0</v>
      </c>
      <c r="F57" s="11">
        <f t="shared" si="9"/>
        <v>0</v>
      </c>
      <c r="G57" s="11">
        <f t="shared" si="10"/>
        <v>0</v>
      </c>
      <c r="J57" t="s">
        <v>25</v>
      </c>
    </row>
    <row r="58" spans="1:13">
      <c r="A58" s="11"/>
      <c r="B58" s="3"/>
      <c r="C58" s="11"/>
      <c r="D58" s="11"/>
      <c r="E58" s="11">
        <f t="shared" si="8"/>
        <v>0</v>
      </c>
      <c r="F58" s="11">
        <f t="shared" si="9"/>
        <v>0</v>
      </c>
      <c r="G58" s="11">
        <f t="shared" si="10"/>
        <v>0</v>
      </c>
    </row>
    <row r="59" spans="1:13">
      <c r="A59" s="11"/>
      <c r="B59" s="3"/>
      <c r="C59" s="11"/>
      <c r="D59" s="11"/>
      <c r="E59" s="11">
        <f t="shared" si="8"/>
        <v>0</v>
      </c>
      <c r="F59" s="11">
        <f t="shared" si="9"/>
        <v>0</v>
      </c>
      <c r="G59" s="11">
        <f t="shared" si="10"/>
        <v>0</v>
      </c>
      <c r="M59" t="s">
        <v>25</v>
      </c>
    </row>
    <row r="60" spans="1:13">
      <c r="A60" s="11"/>
      <c r="B60" s="3"/>
      <c r="C60" s="11"/>
      <c r="D60" s="11">
        <v>0</v>
      </c>
      <c r="E60" s="11">
        <f t="shared" si="8"/>
        <v>0</v>
      </c>
      <c r="F60" s="11">
        <f t="shared" si="9"/>
        <v>0</v>
      </c>
      <c r="G60" s="11">
        <f t="shared" si="10"/>
        <v>0</v>
      </c>
    </row>
    <row r="61" spans="1:13">
      <c r="A61" s="11"/>
      <c r="B61" s="3"/>
      <c r="C61" s="11"/>
      <c r="D61" s="11">
        <v>0</v>
      </c>
      <c r="E61" s="11">
        <f t="shared" si="8"/>
        <v>0</v>
      </c>
      <c r="F61" s="11">
        <f t="shared" si="9"/>
        <v>0</v>
      </c>
      <c r="G61" s="11">
        <f t="shared" si="10"/>
        <v>0</v>
      </c>
    </row>
    <row r="62" spans="1:13">
      <c r="A62" s="11"/>
      <c r="B62" s="3"/>
      <c r="C62" s="11"/>
      <c r="D62" s="11"/>
      <c r="E62" s="11">
        <f>E63+D62</f>
        <v>0</v>
      </c>
      <c r="F62" s="11">
        <f>IF(B33&gt;0,1,0)</f>
        <v>1</v>
      </c>
      <c r="G62" s="11">
        <f t="shared" si="2"/>
        <v>0</v>
      </c>
    </row>
    <row r="63" spans="1:13">
      <c r="A63" s="11"/>
      <c r="B63" s="26">
        <f>SUM(B2:B62)</f>
        <v>62583</v>
      </c>
      <c r="C63" s="11"/>
      <c r="D63" s="11"/>
      <c r="E63" s="11"/>
      <c r="F63" s="11"/>
      <c r="G63" s="26">
        <f>SUM(G2:G33)</f>
        <v>464969186</v>
      </c>
    </row>
    <row r="64" spans="1:13">
      <c r="A64" s="11"/>
      <c r="B64" s="11" t="s">
        <v>283</v>
      </c>
      <c r="C64" s="11"/>
      <c r="D64" s="11"/>
      <c r="E64" s="11"/>
      <c r="F64" s="11" t="s">
        <v>25</v>
      </c>
      <c r="G64" s="11" t="s">
        <v>284</v>
      </c>
    </row>
    <row r="65" spans="1:7">
      <c r="A65" s="11"/>
      <c r="B65" s="11"/>
      <c r="C65" s="11"/>
      <c r="D65" s="11"/>
      <c r="E65" s="11"/>
      <c r="F65" s="11"/>
      <c r="G65" s="11"/>
    </row>
    <row r="66" spans="1:7">
      <c r="A66" s="11"/>
      <c r="B66" s="11"/>
      <c r="C66" s="11"/>
      <c r="D66" s="11"/>
      <c r="E66" s="11"/>
      <c r="F66" s="11"/>
      <c r="G66" s="3">
        <f>G63/E2</f>
        <v>605428.62760416663</v>
      </c>
    </row>
    <row r="67" spans="1:7">
      <c r="A67" s="11"/>
      <c r="B67" s="11"/>
      <c r="C67" s="11"/>
      <c r="D67" s="11"/>
      <c r="E67" s="11"/>
      <c r="F67" s="11"/>
      <c r="G67" s="11" t="s">
        <v>286</v>
      </c>
    </row>
    <row r="70" spans="1:7">
      <c r="E70"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4450</v>
      </c>
      <c r="B1" t="s">
        <v>913</v>
      </c>
      <c r="C1" t="s">
        <v>4499</v>
      </c>
      <c r="D1" t="s">
        <v>4768</v>
      </c>
      <c r="E1" t="s">
        <v>4769</v>
      </c>
      <c r="F1" t="s">
        <v>8</v>
      </c>
    </row>
    <row r="2" spans="1:6">
      <c r="A2" t="s">
        <v>4772</v>
      </c>
      <c r="B2">
        <v>237</v>
      </c>
      <c r="C2">
        <v>281</v>
      </c>
      <c r="D2">
        <f>B2/C2</f>
        <v>0.84341637010676151</v>
      </c>
      <c r="E2" t="s">
        <v>4773</v>
      </c>
      <c r="F2" t="s">
        <v>4774</v>
      </c>
    </row>
    <row r="3" spans="1:6">
      <c r="A3" t="s">
        <v>4449</v>
      </c>
      <c r="B3">
        <v>134</v>
      </c>
      <c r="C3">
        <v>193</v>
      </c>
      <c r="D3">
        <f t="shared" ref="D3:D21" si="0">B3/C3</f>
        <v>0.69430051813471505</v>
      </c>
      <c r="E3" t="s">
        <v>4773</v>
      </c>
      <c r="F3" t="s">
        <v>4774</v>
      </c>
    </row>
    <row r="4" spans="1:6">
      <c r="A4" t="s">
        <v>4775</v>
      </c>
      <c r="B4">
        <v>195</v>
      </c>
      <c r="C4">
        <v>73</v>
      </c>
      <c r="D4">
        <f t="shared" si="0"/>
        <v>2.6712328767123288</v>
      </c>
      <c r="E4" t="s">
        <v>4776</v>
      </c>
      <c r="F4" t="s">
        <v>4777</v>
      </c>
    </row>
    <row r="5" spans="1:6">
      <c r="A5" t="s">
        <v>4778</v>
      </c>
      <c r="B5">
        <v>1</v>
      </c>
      <c r="C5">
        <v>1</v>
      </c>
      <c r="D5">
        <f t="shared" si="0"/>
        <v>1</v>
      </c>
      <c r="E5" t="s">
        <v>4776</v>
      </c>
      <c r="F5" t="s">
        <v>4779</v>
      </c>
    </row>
    <row r="6" spans="1:6">
      <c r="A6" t="s">
        <v>4484</v>
      </c>
      <c r="B6">
        <v>163</v>
      </c>
      <c r="C6">
        <v>232</v>
      </c>
      <c r="D6">
        <f t="shared" si="0"/>
        <v>0.70258620689655171</v>
      </c>
      <c r="F6" t="s">
        <v>4774</v>
      </c>
    </row>
    <row r="7" spans="1:6">
      <c r="A7" t="s">
        <v>4780</v>
      </c>
      <c r="B7">
        <v>247</v>
      </c>
      <c r="C7">
        <v>250</v>
      </c>
      <c r="D7">
        <f t="shared" si="0"/>
        <v>0.98799999999999999</v>
      </c>
    </row>
    <row r="8" spans="1:6">
      <c r="A8" t="s">
        <v>4781</v>
      </c>
      <c r="B8">
        <v>335</v>
      </c>
      <c r="C8">
        <v>141</v>
      </c>
      <c r="D8">
        <f t="shared" si="0"/>
        <v>2.375886524822695</v>
      </c>
      <c r="F8" t="s">
        <v>4779</v>
      </c>
    </row>
    <row r="9" spans="1:6">
      <c r="A9" t="s">
        <v>4673</v>
      </c>
      <c r="B9">
        <v>150</v>
      </c>
      <c r="C9">
        <v>240</v>
      </c>
      <c r="D9">
        <f t="shared" si="0"/>
        <v>0.625</v>
      </c>
      <c r="F9" t="s">
        <v>4782</v>
      </c>
    </row>
    <row r="10" spans="1:6">
      <c r="A10" t="s">
        <v>4783</v>
      </c>
      <c r="B10">
        <v>187</v>
      </c>
      <c r="C10">
        <v>208</v>
      </c>
      <c r="D10">
        <f t="shared" si="0"/>
        <v>0.89903846153846156</v>
      </c>
      <c r="F10" t="s">
        <v>4773</v>
      </c>
    </row>
    <row r="11" spans="1:6">
      <c r="A11" t="s">
        <v>4784</v>
      </c>
      <c r="B11">
        <v>412</v>
      </c>
      <c r="C11">
        <v>183</v>
      </c>
      <c r="D11">
        <f t="shared" si="0"/>
        <v>2.2513661202185791</v>
      </c>
      <c r="F11" t="s">
        <v>4779</v>
      </c>
    </row>
    <row r="12" spans="1:6">
      <c r="C12">
        <v>1</v>
      </c>
      <c r="D12">
        <f t="shared" si="0"/>
        <v>0</v>
      </c>
    </row>
    <row r="13" spans="1:6">
      <c r="C13">
        <v>1</v>
      </c>
      <c r="D13">
        <f t="shared" si="0"/>
        <v>0</v>
      </c>
    </row>
    <row r="14" spans="1:6">
      <c r="C14">
        <v>1</v>
      </c>
      <c r="D14">
        <f t="shared" si="0"/>
        <v>0</v>
      </c>
    </row>
    <row r="15" spans="1:6">
      <c r="C15">
        <v>1</v>
      </c>
      <c r="D15">
        <f t="shared" si="0"/>
        <v>0</v>
      </c>
    </row>
    <row r="16" spans="1:6">
      <c r="C16">
        <v>1</v>
      </c>
      <c r="D16">
        <f t="shared" si="0"/>
        <v>0</v>
      </c>
    </row>
    <row r="17" spans="1:6">
      <c r="C17">
        <v>1</v>
      </c>
      <c r="D17">
        <f t="shared" si="0"/>
        <v>0</v>
      </c>
    </row>
    <row r="18" spans="1:6">
      <c r="C18">
        <v>1</v>
      </c>
      <c r="D18">
        <f t="shared" si="0"/>
        <v>0</v>
      </c>
    </row>
    <row r="19" spans="1:6">
      <c r="C19">
        <v>1</v>
      </c>
      <c r="D19">
        <f t="shared" si="0"/>
        <v>0</v>
      </c>
    </row>
    <row r="20" spans="1:6">
      <c r="C20">
        <v>1</v>
      </c>
      <c r="D20">
        <f t="shared" si="0"/>
        <v>0</v>
      </c>
    </row>
    <row r="21" spans="1:6">
      <c r="A21" t="s">
        <v>4767</v>
      </c>
      <c r="B21">
        <v>113</v>
      </c>
      <c r="C21">
        <v>215</v>
      </c>
      <c r="D21">
        <f t="shared" si="0"/>
        <v>0.52558139534883719</v>
      </c>
      <c r="E21" t="s">
        <v>4770</v>
      </c>
      <c r="F21" t="s">
        <v>4771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
    </sheetView>
  </sheetViews>
  <sheetFormatPr defaultRowHeight="15"/>
  <cols>
    <col min="1" max="1" width="138.7109375" customWidth="1"/>
  </cols>
  <sheetData>
    <row r="1" spans="1:1">
      <c r="A1" t="s">
        <v>6898</v>
      </c>
    </row>
    <row r="5" spans="1:1">
      <c r="A5" t="s">
        <v>6899</v>
      </c>
    </row>
    <row r="6" spans="1:1">
      <c r="A6" t="s">
        <v>6900</v>
      </c>
    </row>
    <row r="7" spans="1:1">
      <c r="A7" t="s">
        <v>6901</v>
      </c>
    </row>
    <row r="8" spans="1:1">
      <c r="A8" t="s">
        <v>6903</v>
      </c>
    </row>
    <row r="9" spans="1:1">
      <c r="A9" t="s">
        <v>6904</v>
      </c>
    </row>
    <row r="11" spans="1:1">
      <c r="A11" t="s">
        <v>6905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27">
        <v>35014</v>
      </c>
      <c r="B5" s="18">
        <v>-1000000</v>
      </c>
      <c r="C5" s="18">
        <v>-1000000</v>
      </c>
      <c r="D5" s="3">
        <f t="shared" si="0"/>
        <v>0</v>
      </c>
      <c r="E5" s="20" t="s">
        <v>394</v>
      </c>
      <c r="F5">
        <v>20</v>
      </c>
      <c r="G5">
        <f t="shared" si="1"/>
        <v>-20000000</v>
      </c>
      <c r="H5">
        <f t="shared" si="2"/>
        <v>-20000000</v>
      </c>
      <c r="I5">
        <f t="shared" si="3"/>
        <v>0</v>
      </c>
      <c r="O5">
        <v>4</v>
      </c>
      <c r="P5">
        <v>26</v>
      </c>
      <c r="Q5">
        <v>27</v>
      </c>
    </row>
    <row r="6" spans="1:17">
      <c r="A6" s="17" t="s">
        <v>395</v>
      </c>
      <c r="B6" s="18">
        <v>3000000</v>
      </c>
      <c r="C6" s="18">
        <v>3000000</v>
      </c>
      <c r="D6" s="3">
        <f t="shared" si="0"/>
        <v>0</v>
      </c>
      <c r="E6" s="19" t="s">
        <v>393</v>
      </c>
      <c r="F6">
        <v>9</v>
      </c>
      <c r="G6">
        <f t="shared" si="1"/>
        <v>27000000</v>
      </c>
      <c r="H6">
        <f t="shared" si="2"/>
        <v>27000000</v>
      </c>
      <c r="I6">
        <f t="shared" si="3"/>
        <v>0</v>
      </c>
      <c r="O6">
        <v>5</v>
      </c>
      <c r="P6">
        <v>25</v>
      </c>
      <c r="Q6">
        <v>26</v>
      </c>
    </row>
    <row r="7" spans="1:17">
      <c r="A7" s="17" t="s">
        <v>324</v>
      </c>
      <c r="B7" s="18">
        <v>1120000</v>
      </c>
      <c r="C7" s="18">
        <v>1120000</v>
      </c>
      <c r="D7" s="3">
        <f t="shared" si="0"/>
        <v>0</v>
      </c>
      <c r="E7" s="19" t="s">
        <v>393</v>
      </c>
      <c r="F7">
        <v>8</v>
      </c>
      <c r="G7">
        <f t="shared" si="1"/>
        <v>8960000</v>
      </c>
      <c r="H7">
        <f t="shared" si="2"/>
        <v>8960000</v>
      </c>
      <c r="I7">
        <f t="shared" si="3"/>
        <v>0</v>
      </c>
      <c r="O7">
        <v>6</v>
      </c>
      <c r="P7">
        <v>24</v>
      </c>
      <c r="Q7">
        <v>25</v>
      </c>
    </row>
    <row r="8" spans="1:17">
      <c r="A8" s="17" t="s">
        <v>324</v>
      </c>
      <c r="B8" s="18">
        <v>-3000000</v>
      </c>
      <c r="C8" s="18">
        <v>0</v>
      </c>
      <c r="D8" s="3">
        <f t="shared" si="0"/>
        <v>-3000000</v>
      </c>
      <c r="E8" s="19" t="s">
        <v>325</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386</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307</v>
      </c>
    </row>
    <row r="38" spans="4:5">
      <c r="D38" s="7">
        <v>-40000</v>
      </c>
      <c r="E38" t="s">
        <v>310</v>
      </c>
    </row>
    <row r="39" spans="4:5">
      <c r="D39" s="7">
        <v>200000</v>
      </c>
      <c r="E39" t="s">
        <v>320</v>
      </c>
    </row>
    <row r="40" spans="4:5">
      <c r="D40" s="7">
        <v>73500</v>
      </c>
      <c r="E40" t="s">
        <v>321</v>
      </c>
    </row>
    <row r="41" spans="4:5">
      <c r="D41" s="7">
        <v>-67000</v>
      </c>
      <c r="E41" t="s">
        <v>322</v>
      </c>
    </row>
    <row r="42" spans="4:5">
      <c r="D42" s="7">
        <v>9000000</v>
      </c>
      <c r="E42" t="s">
        <v>323</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384</v>
      </c>
      <c r="B3" s="18">
        <v>90494</v>
      </c>
      <c r="C3" s="18">
        <v>75115</v>
      </c>
      <c r="D3" s="3">
        <f t="shared" ref="D3:D22" si="0">B3-C3</f>
        <v>15379</v>
      </c>
      <c r="E3" s="23" t="s">
        <v>381</v>
      </c>
      <c r="F3">
        <v>29</v>
      </c>
      <c r="G3">
        <f t="shared" ref="G3:G23" si="1">B3*F3</f>
        <v>2624326</v>
      </c>
      <c r="H3">
        <f t="shared" ref="H3:H23" si="2">C3*F3</f>
        <v>2178335</v>
      </c>
      <c r="I3">
        <f t="shared" ref="I3:I23" si="3">D3*F3</f>
        <v>445991</v>
      </c>
      <c r="O3">
        <v>2</v>
      </c>
      <c r="P3">
        <v>28</v>
      </c>
      <c r="Q3">
        <v>29</v>
      </c>
    </row>
    <row r="4" spans="1:17">
      <c r="A4" s="20" t="s">
        <v>390</v>
      </c>
      <c r="B4" s="18">
        <v>-1700700</v>
      </c>
      <c r="C4" s="18">
        <v>0</v>
      </c>
      <c r="D4" s="3">
        <f t="shared" si="0"/>
        <v>-1700700</v>
      </c>
      <c r="E4" s="20" t="s">
        <v>396</v>
      </c>
      <c r="F4">
        <v>28</v>
      </c>
      <c r="G4">
        <f t="shared" si="1"/>
        <v>-47619600</v>
      </c>
      <c r="H4">
        <f t="shared" si="2"/>
        <v>0</v>
      </c>
      <c r="I4">
        <f t="shared" si="3"/>
        <v>-47619600</v>
      </c>
      <c r="O4">
        <v>3</v>
      </c>
      <c r="P4">
        <v>27</v>
      </c>
      <c r="Q4">
        <v>28</v>
      </c>
    </row>
    <row r="5" spans="1:17">
      <c r="A5" s="27" t="s">
        <v>408</v>
      </c>
      <c r="B5" s="18">
        <v>-1000500</v>
      </c>
      <c r="C5" s="18">
        <v>0</v>
      </c>
      <c r="D5" s="3">
        <f t="shared" si="0"/>
        <v>-1000500</v>
      </c>
      <c r="E5" s="20" t="s">
        <v>409</v>
      </c>
      <c r="F5">
        <v>24</v>
      </c>
      <c r="G5">
        <f t="shared" si="1"/>
        <v>-24012000</v>
      </c>
      <c r="H5">
        <f t="shared" si="2"/>
        <v>0</v>
      </c>
      <c r="I5">
        <f t="shared" si="3"/>
        <v>-24012000</v>
      </c>
      <c r="O5">
        <v>4</v>
      </c>
      <c r="P5">
        <v>26</v>
      </c>
      <c r="Q5">
        <v>27</v>
      </c>
    </row>
    <row r="6" spans="1:17">
      <c r="A6" s="17" t="s">
        <v>420</v>
      </c>
      <c r="B6" s="18">
        <v>20000000</v>
      </c>
      <c r="C6" s="18">
        <v>0</v>
      </c>
      <c r="D6" s="3">
        <f t="shared" si="0"/>
        <v>20000000</v>
      </c>
      <c r="E6" s="19" t="s">
        <v>421</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324</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36"/>
      <c r="E29" s="36" t="s">
        <v>85</v>
      </c>
      <c r="O29">
        <v>28</v>
      </c>
      <c r="P29">
        <v>2</v>
      </c>
      <c r="Q29">
        <v>3</v>
      </c>
    </row>
    <row r="30" spans="1:17">
      <c r="D30" s="25">
        <v>13241802</v>
      </c>
      <c r="E30" s="36" t="s">
        <v>95</v>
      </c>
      <c r="G30" s="1">
        <v>174678</v>
      </c>
      <c r="H30" s="1">
        <f>G30*H25/G25</f>
        <v>87363.557970845446</v>
      </c>
      <c r="I30" s="1">
        <f>G30*I25/G25</f>
        <v>87314.442029154554</v>
      </c>
      <c r="O30">
        <v>29</v>
      </c>
      <c r="P30">
        <v>1</v>
      </c>
      <c r="Q30">
        <v>2</v>
      </c>
    </row>
    <row r="31" spans="1:17">
      <c r="D31" s="25">
        <v>-3000000</v>
      </c>
      <c r="E31" s="36" t="s">
        <v>387</v>
      </c>
      <c r="G31" s="9" t="s">
        <v>389</v>
      </c>
      <c r="H31" s="9" t="s">
        <v>38</v>
      </c>
      <c r="I31" s="9" t="s">
        <v>39</v>
      </c>
      <c r="O31">
        <v>30</v>
      </c>
      <c r="P31">
        <v>0</v>
      </c>
      <c r="Q31">
        <v>1</v>
      </c>
    </row>
    <row r="32" spans="1:17">
      <c r="B32" s="7"/>
      <c r="D32" s="25">
        <v>1750000</v>
      </c>
      <c r="E32" s="36" t="s">
        <v>388</v>
      </c>
      <c r="P32" t="s">
        <v>60</v>
      </c>
      <c r="Q32" t="s">
        <v>61</v>
      </c>
    </row>
    <row r="33" spans="4:7">
      <c r="D33" s="25">
        <v>8100000</v>
      </c>
      <c r="E33" s="36" t="s">
        <v>397</v>
      </c>
    </row>
    <row r="34" spans="4:7">
      <c r="D34" s="25">
        <v>595000</v>
      </c>
      <c r="E34" s="36" t="s">
        <v>398</v>
      </c>
    </row>
    <row r="35" spans="4:7">
      <c r="D35" s="25">
        <v>-1210000</v>
      </c>
      <c r="E35" s="36" t="s">
        <v>399</v>
      </c>
    </row>
    <row r="36" spans="4:7">
      <c r="D36" s="25">
        <v>-22000000</v>
      </c>
      <c r="E36" s="35" t="s">
        <v>400</v>
      </c>
    </row>
    <row r="37" spans="4:7">
      <c r="D37" s="25">
        <v>3000000</v>
      </c>
      <c r="E37" s="36" t="s">
        <v>401</v>
      </c>
    </row>
    <row r="38" spans="4:7">
      <c r="D38" s="7">
        <v>3000000</v>
      </c>
      <c r="E38" s="36" t="s">
        <v>404</v>
      </c>
      <c r="G38">
        <f>G25*11/36500</f>
        <v>198245.23852054795</v>
      </c>
    </row>
    <row r="39" spans="4:7">
      <c r="D39" s="7">
        <v>-6000000</v>
      </c>
      <c r="E39" s="36" t="s">
        <v>414</v>
      </c>
    </row>
    <row r="40" spans="4:7">
      <c r="D40" s="7">
        <v>6000000</v>
      </c>
      <c r="E40" s="36" t="s">
        <v>418</v>
      </c>
    </row>
    <row r="41" spans="4:7">
      <c r="D41" s="7">
        <v>120000</v>
      </c>
      <c r="E41" s="36" t="s">
        <v>419</v>
      </c>
    </row>
    <row r="42" spans="4:7">
      <c r="D42" s="7">
        <v>-100000</v>
      </c>
      <c r="E42" s="36" t="s">
        <v>167</v>
      </c>
    </row>
    <row r="43" spans="4:7">
      <c r="D43" s="7">
        <v>200000</v>
      </c>
      <c r="E43" s="36" t="s">
        <v>426</v>
      </c>
    </row>
    <row r="44" spans="4:7">
      <c r="D44" s="7">
        <v>50000</v>
      </c>
      <c r="E44" s="36" t="s">
        <v>437</v>
      </c>
    </row>
    <row r="45" spans="4:7">
      <c r="D45" s="7">
        <v>-102000</v>
      </c>
      <c r="E45" s="36" t="s">
        <v>443</v>
      </c>
    </row>
    <row r="46" spans="4:7">
      <c r="D46" s="7">
        <v>660000</v>
      </c>
      <c r="E46" s="36" t="s">
        <v>444</v>
      </c>
    </row>
    <row r="47" spans="4:7">
      <c r="D47" s="7">
        <v>1000000</v>
      </c>
      <c r="E47" s="36" t="s">
        <v>447</v>
      </c>
    </row>
    <row r="48" spans="4:7">
      <c r="D48" s="7">
        <v>-509000</v>
      </c>
      <c r="E48" s="36" t="s">
        <v>448</v>
      </c>
    </row>
    <row r="49" spans="4:5">
      <c r="D49" s="7">
        <v>-168500</v>
      </c>
      <c r="E49" s="36" t="s">
        <v>449</v>
      </c>
    </row>
    <row r="50" spans="4:5">
      <c r="D50" s="7"/>
      <c r="E50" s="36"/>
    </row>
    <row r="51" spans="4:5">
      <c r="D51" s="7"/>
      <c r="E51" s="36"/>
    </row>
    <row r="52" spans="4:5">
      <c r="D52" s="7"/>
      <c r="E52" s="36" t="s">
        <v>25</v>
      </c>
    </row>
    <row r="53" spans="4:5">
      <c r="D53" s="7"/>
      <c r="E53" s="36" t="s">
        <v>25</v>
      </c>
    </row>
    <row r="54" spans="4:5">
      <c r="D54" s="7" t="s">
        <v>25</v>
      </c>
      <c r="E54" s="36"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467</v>
      </c>
      <c r="B3" s="34">
        <v>174678</v>
      </c>
      <c r="C3" s="34">
        <v>87363</v>
      </c>
      <c r="D3" s="31">
        <f t="shared" ref="D3:D22" si="0">B3-C3</f>
        <v>87315</v>
      </c>
      <c r="E3" s="23" t="s">
        <v>453</v>
      </c>
      <c r="F3">
        <v>30</v>
      </c>
      <c r="G3">
        <f t="shared" ref="G3:G23" si="1">B3*F3</f>
        <v>5240340</v>
      </c>
      <c r="H3">
        <f t="shared" ref="H3:H23" si="2">C3*F3</f>
        <v>2620890</v>
      </c>
      <c r="I3">
        <f t="shared" ref="I3:I23" si="3">D3*F3</f>
        <v>2619450</v>
      </c>
      <c r="O3">
        <v>2</v>
      </c>
      <c r="P3">
        <v>29</v>
      </c>
      <c r="Q3">
        <v>30</v>
      </c>
    </row>
    <row r="4" spans="1:17">
      <c r="A4" s="20" t="s">
        <v>472</v>
      </c>
      <c r="B4" s="18">
        <v>-28400000</v>
      </c>
      <c r="C4" s="18">
        <v>0</v>
      </c>
      <c r="D4" s="3">
        <f t="shared" si="0"/>
        <v>-28400000</v>
      </c>
      <c r="E4" s="20" t="s">
        <v>473</v>
      </c>
      <c r="F4">
        <v>15</v>
      </c>
      <c r="G4">
        <f t="shared" si="1"/>
        <v>-426000000</v>
      </c>
      <c r="H4">
        <f t="shared" si="2"/>
        <v>0</v>
      </c>
      <c r="I4">
        <f t="shared" si="3"/>
        <v>-426000000</v>
      </c>
      <c r="O4">
        <v>3</v>
      </c>
      <c r="P4">
        <v>28</v>
      </c>
      <c r="Q4">
        <v>29</v>
      </c>
    </row>
    <row r="5" spans="1:17">
      <c r="A5" s="27" t="s">
        <v>408</v>
      </c>
      <c r="B5" s="18">
        <v>0</v>
      </c>
      <c r="C5" s="18">
        <v>0</v>
      </c>
      <c r="D5" s="3">
        <f t="shared" si="0"/>
        <v>0</v>
      </c>
      <c r="E5" s="20"/>
      <c r="F5">
        <v>24</v>
      </c>
      <c r="G5">
        <f t="shared" si="1"/>
        <v>0</v>
      </c>
      <c r="H5">
        <f t="shared" si="2"/>
        <v>0</v>
      </c>
      <c r="I5">
        <f t="shared" si="3"/>
        <v>0</v>
      </c>
      <c r="O5">
        <v>4</v>
      </c>
      <c r="P5">
        <v>27</v>
      </c>
      <c r="Q5">
        <v>28</v>
      </c>
    </row>
    <row r="6" spans="1:17">
      <c r="A6" s="17" t="s">
        <v>420</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324</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4627302</v>
      </c>
      <c r="E30" s="36" t="s">
        <v>95</v>
      </c>
      <c r="G30" s="1">
        <v>163040</v>
      </c>
      <c r="H30" s="1">
        <f>G30*H25/G25</f>
        <v>122511.27533399002</v>
      </c>
      <c r="I30" s="1">
        <f>G30*I25/G25</f>
        <v>40528.724666009985</v>
      </c>
      <c r="O30">
        <v>29</v>
      </c>
      <c r="P30">
        <v>2</v>
      </c>
      <c r="Q30">
        <v>3</v>
      </c>
    </row>
    <row r="31" spans="1:17">
      <c r="D31" s="25">
        <v>-110000</v>
      </c>
      <c r="E31" s="36" t="s">
        <v>454</v>
      </c>
      <c r="G31" s="9" t="s">
        <v>389</v>
      </c>
      <c r="H31" s="9" t="s">
        <v>38</v>
      </c>
      <c r="I31" s="9" t="s">
        <v>39</v>
      </c>
      <c r="O31">
        <v>30</v>
      </c>
      <c r="P31">
        <v>1</v>
      </c>
      <c r="Q31">
        <v>2</v>
      </c>
    </row>
    <row r="32" spans="1:17">
      <c r="B32" s="7"/>
      <c r="D32" s="25">
        <v>220000</v>
      </c>
      <c r="E32" s="36" t="s">
        <v>458</v>
      </c>
      <c r="O32">
        <v>31</v>
      </c>
      <c r="P32">
        <v>0</v>
      </c>
      <c r="Q32">
        <v>1</v>
      </c>
    </row>
    <row r="33" spans="4:17">
      <c r="D33" s="25">
        <v>-450000</v>
      </c>
      <c r="E33" s="36" t="s">
        <v>480</v>
      </c>
      <c r="P33" t="s">
        <v>60</v>
      </c>
      <c r="Q33" t="s">
        <v>61</v>
      </c>
    </row>
    <row r="34" spans="4:17">
      <c r="D34" s="25"/>
      <c r="E34" s="36"/>
    </row>
    <row r="35" spans="4:17">
      <c r="D35" s="25"/>
      <c r="E35" s="36"/>
    </row>
    <row r="36" spans="4:17">
      <c r="D36" s="25"/>
      <c r="E36" s="35"/>
    </row>
    <row r="37" spans="4:17">
      <c r="D37" s="25"/>
      <c r="E37" s="36"/>
    </row>
    <row r="38" spans="4:17">
      <c r="D38" s="7"/>
      <c r="E38" s="36"/>
    </row>
    <row r="39" spans="4:17">
      <c r="D39" s="7"/>
      <c r="E39" s="36"/>
    </row>
    <row r="40" spans="4:17">
      <c r="D40" s="7"/>
      <c r="E40" s="36"/>
    </row>
    <row r="41" spans="4:17">
      <c r="D41" s="7"/>
      <c r="E41" s="36"/>
    </row>
    <row r="42" spans="4:17">
      <c r="D42" s="7"/>
      <c r="E42" s="36"/>
    </row>
    <row r="43" spans="4:17">
      <c r="D43" s="7">
        <f>SUM(D30:D40)</f>
        <v>4287302</v>
      </c>
      <c r="E43" t="s">
        <v>6</v>
      </c>
    </row>
    <row r="44" spans="4:17">
      <c r="D44" s="7"/>
      <c r="E44" s="36"/>
    </row>
    <row r="45" spans="4:17">
      <c r="D45" s="7"/>
      <c r="E45" s="36"/>
    </row>
    <row r="46" spans="4:17">
      <c r="D46" s="7"/>
      <c r="E46" s="36"/>
    </row>
    <row r="47" spans="4:17">
      <c r="D47" s="7"/>
      <c r="E47" s="36"/>
    </row>
    <row r="48" spans="4:17">
      <c r="D48" s="7"/>
      <c r="E48" s="36"/>
    </row>
    <row r="49" spans="4:5">
      <c r="D49" s="7"/>
      <c r="E49" s="36"/>
    </row>
    <row r="50" spans="4:5">
      <c r="D50" s="7"/>
      <c r="E50" s="36"/>
    </row>
    <row r="51" spans="4:5">
      <c r="D51" s="7"/>
      <c r="E51" s="36"/>
    </row>
    <row r="52" spans="4:5">
      <c r="D52" s="7"/>
      <c r="E52" s="36" t="s">
        <v>25</v>
      </c>
    </row>
    <row r="53" spans="4:5">
      <c r="D53" s="7"/>
      <c r="E53" s="36" t="s">
        <v>25</v>
      </c>
    </row>
    <row r="54" spans="4:5">
      <c r="D54" s="7" t="s">
        <v>25</v>
      </c>
      <c r="E54" s="36" t="s">
        <v>25</v>
      </c>
    </row>
    <row r="56" spans="4:5">
      <c r="D56" s="7"/>
    </row>
    <row r="57" spans="4:5">
      <c r="D57" s="7"/>
    </row>
    <row r="58" spans="4:5">
      <c r="D58" s="7"/>
    </row>
    <row r="59" spans="4:5">
      <c r="D59" s="7"/>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486</v>
      </c>
      <c r="B3" s="34">
        <v>163040</v>
      </c>
      <c r="C3" s="34">
        <v>122511</v>
      </c>
      <c r="D3" s="31">
        <f t="shared" ref="D3:D23" si="0">B3-C3</f>
        <v>40529</v>
      </c>
      <c r="E3" s="23" t="s">
        <v>490</v>
      </c>
      <c r="F3">
        <v>30</v>
      </c>
      <c r="G3">
        <f t="shared" ref="G3:G24" si="1">B3*F3</f>
        <v>4891200</v>
      </c>
      <c r="H3">
        <f t="shared" ref="H3:H24" si="2">C3*F3</f>
        <v>3675330</v>
      </c>
      <c r="I3">
        <f t="shared" ref="I3:I24" si="3">D3*F3</f>
        <v>1215870</v>
      </c>
      <c r="O3">
        <v>2</v>
      </c>
      <c r="P3">
        <v>29</v>
      </c>
      <c r="Q3">
        <v>30</v>
      </c>
    </row>
    <row r="4" spans="1:17">
      <c r="A4" s="20" t="s">
        <v>486</v>
      </c>
      <c r="B4" s="18">
        <v>-5700</v>
      </c>
      <c r="C4" s="18">
        <v>-2500</v>
      </c>
      <c r="D4" s="3">
        <f t="shared" si="0"/>
        <v>-3200</v>
      </c>
      <c r="E4" s="19" t="s">
        <v>489</v>
      </c>
      <c r="F4">
        <v>31</v>
      </c>
      <c r="G4">
        <f t="shared" si="1"/>
        <v>-176700</v>
      </c>
      <c r="H4">
        <f t="shared" si="2"/>
        <v>-77500</v>
      </c>
      <c r="I4">
        <f t="shared" si="3"/>
        <v>-99200</v>
      </c>
      <c r="O4">
        <v>3</v>
      </c>
      <c r="P4">
        <v>28</v>
      </c>
      <c r="Q4">
        <v>29</v>
      </c>
    </row>
    <row r="5" spans="1:17">
      <c r="A5" s="20" t="s">
        <v>503</v>
      </c>
      <c r="B5" s="18">
        <v>0</v>
      </c>
      <c r="C5" s="18">
        <v>500000</v>
      </c>
      <c r="D5" s="3">
        <f t="shared" si="0"/>
        <v>-500000</v>
      </c>
      <c r="E5" s="20" t="s">
        <v>504</v>
      </c>
      <c r="F5">
        <v>17</v>
      </c>
      <c r="G5">
        <f t="shared" si="1"/>
        <v>0</v>
      </c>
      <c r="H5">
        <f t="shared" si="2"/>
        <v>8500000</v>
      </c>
      <c r="I5">
        <f t="shared" si="3"/>
        <v>-8500000</v>
      </c>
      <c r="O5">
        <v>4</v>
      </c>
      <c r="P5">
        <v>27</v>
      </c>
      <c r="Q5">
        <v>28</v>
      </c>
    </row>
    <row r="6" spans="1:17">
      <c r="A6" s="27" t="s">
        <v>509</v>
      </c>
      <c r="B6" s="18">
        <v>-160000</v>
      </c>
      <c r="C6" s="18">
        <v>0</v>
      </c>
      <c r="D6" s="3">
        <f t="shared" si="0"/>
        <v>-160000</v>
      </c>
      <c r="E6" s="20" t="s">
        <v>510</v>
      </c>
      <c r="F6">
        <v>10</v>
      </c>
      <c r="G6">
        <f t="shared" si="1"/>
        <v>-1600000</v>
      </c>
      <c r="H6">
        <f t="shared" si="2"/>
        <v>0</v>
      </c>
      <c r="I6">
        <f t="shared" si="3"/>
        <v>-1600000</v>
      </c>
      <c r="O6">
        <v>5</v>
      </c>
      <c r="P6">
        <v>26</v>
      </c>
      <c r="Q6">
        <v>27</v>
      </c>
    </row>
    <row r="7" spans="1:17">
      <c r="A7" s="17" t="s">
        <v>420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324</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36"/>
      <c r="E30" s="36" t="s">
        <v>85</v>
      </c>
      <c r="O30">
        <v>29</v>
      </c>
      <c r="P30">
        <v>2</v>
      </c>
      <c r="Q30">
        <v>3</v>
      </c>
    </row>
    <row r="31" spans="1:17">
      <c r="D31" s="25">
        <v>4287302</v>
      </c>
      <c r="E31" s="36" t="s">
        <v>95</v>
      </c>
      <c r="G31" s="1">
        <f>G26*11/36500</f>
        <v>1480.535506849315</v>
      </c>
      <c r="H31" s="1">
        <f>G31*H26/G26</f>
        <v>106941.00608219177</v>
      </c>
      <c r="I31" s="1">
        <f>G31*I26/G26</f>
        <v>-105460.47057534246</v>
      </c>
      <c r="O31">
        <v>30</v>
      </c>
      <c r="P31">
        <v>1</v>
      </c>
      <c r="Q31">
        <v>2</v>
      </c>
    </row>
    <row r="32" spans="1:17" ht="30">
      <c r="D32" s="25">
        <v>150000</v>
      </c>
      <c r="E32" s="45" t="s">
        <v>505</v>
      </c>
      <c r="G32" s="9" t="s">
        <v>389</v>
      </c>
      <c r="H32" s="9" t="s">
        <v>38</v>
      </c>
      <c r="I32" s="9" t="s">
        <v>39</v>
      </c>
      <c r="O32">
        <v>31</v>
      </c>
      <c r="P32">
        <v>0</v>
      </c>
      <c r="Q32">
        <v>1</v>
      </c>
    </row>
    <row r="33" spans="2:17">
      <c r="B33" s="7"/>
      <c r="D33" s="25">
        <v>200000</v>
      </c>
      <c r="E33" s="36" t="s">
        <v>506</v>
      </c>
      <c r="P33" t="s">
        <v>60</v>
      </c>
      <c r="Q33" t="s">
        <v>61</v>
      </c>
    </row>
    <row r="34" spans="2:17">
      <c r="D34" s="25">
        <v>620000</v>
      </c>
      <c r="E34" s="36" t="s">
        <v>507</v>
      </c>
    </row>
    <row r="35" spans="2:17">
      <c r="D35" s="25">
        <v>5000</v>
      </c>
      <c r="E35" s="36" t="s">
        <v>506</v>
      </c>
    </row>
    <row r="36" spans="2:17">
      <c r="D36" s="25">
        <v>-800000</v>
      </c>
      <c r="E36" s="36" t="s">
        <v>508</v>
      </c>
    </row>
    <row r="37" spans="2:17">
      <c r="D37" s="25">
        <v>70000</v>
      </c>
      <c r="E37" s="35" t="s">
        <v>100</v>
      </c>
    </row>
    <row r="38" spans="2:17">
      <c r="D38" s="25">
        <v>160000</v>
      </c>
      <c r="E38" s="36" t="s">
        <v>512</v>
      </c>
    </row>
    <row r="39" spans="2:17">
      <c r="D39" s="7">
        <v>200000</v>
      </c>
      <c r="E39" s="36" t="s">
        <v>513</v>
      </c>
    </row>
    <row r="40" spans="2:17">
      <c r="D40" s="7">
        <v>255000</v>
      </c>
      <c r="E40" s="36" t="s">
        <v>518</v>
      </c>
    </row>
    <row r="41" spans="2:17">
      <c r="D41" s="7">
        <v>-200000</v>
      </c>
      <c r="E41" s="36" t="s">
        <v>519</v>
      </c>
    </row>
    <row r="42" spans="2:17">
      <c r="D42" s="7"/>
      <c r="E42" s="36"/>
    </row>
    <row r="43" spans="2:17">
      <c r="D43" s="7"/>
      <c r="E43" s="36"/>
    </row>
    <row r="44" spans="2:17">
      <c r="D44" s="7">
        <f>SUM(D31:D41)</f>
        <v>4947302</v>
      </c>
      <c r="E44" t="s">
        <v>6</v>
      </c>
    </row>
    <row r="45" spans="2:17">
      <c r="D45" s="7"/>
      <c r="E45" s="36"/>
    </row>
    <row r="46" spans="2:17">
      <c r="D46" s="7"/>
      <c r="E46" s="36"/>
    </row>
    <row r="47" spans="2:17">
      <c r="D47" s="7"/>
      <c r="E47" s="36"/>
    </row>
    <row r="48" spans="2:17">
      <c r="D48" s="7"/>
      <c r="E48" s="36"/>
    </row>
    <row r="49" spans="4:5">
      <c r="D49" s="7"/>
      <c r="E49" s="36"/>
    </row>
    <row r="50" spans="4:5">
      <c r="D50" s="7"/>
      <c r="E50" s="3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35" t="s">
        <v>1307</v>
      </c>
      <c r="B1" s="35" t="s">
        <v>6312</v>
      </c>
      <c r="C1" s="35" t="s">
        <v>1309</v>
      </c>
      <c r="D1" s="35" t="s">
        <v>1310</v>
      </c>
      <c r="E1" s="35" t="s">
        <v>6311</v>
      </c>
      <c r="F1" s="35" t="s">
        <v>6310</v>
      </c>
      <c r="G1" s="35" t="s">
        <v>1311</v>
      </c>
      <c r="H1" s="35" t="s">
        <v>1312</v>
      </c>
      <c r="I1" s="35"/>
      <c r="L1" s="256"/>
    </row>
    <row r="2" spans="1:15">
      <c r="A2" s="35"/>
      <c r="B2" s="35"/>
      <c r="C2" s="35"/>
      <c r="D2" s="35"/>
      <c r="E2" s="35"/>
      <c r="F2" s="35"/>
      <c r="G2" s="35"/>
      <c r="H2" s="35"/>
      <c r="I2" s="35"/>
      <c r="L2" s="256"/>
    </row>
    <row r="3" spans="1:15">
      <c r="A3" s="35"/>
      <c r="B3" s="35"/>
      <c r="C3" s="35"/>
      <c r="D3" s="35"/>
      <c r="E3" s="35"/>
      <c r="F3" s="35"/>
      <c r="G3" s="35"/>
      <c r="H3" s="35"/>
      <c r="I3" s="35"/>
      <c r="L3" s="256"/>
    </row>
    <row r="4" spans="1:15">
      <c r="A4" s="255">
        <v>271110</v>
      </c>
      <c r="B4" s="255">
        <v>269660</v>
      </c>
      <c r="C4" s="35"/>
      <c r="D4" s="35"/>
      <c r="E4" s="35"/>
      <c r="F4" s="35"/>
      <c r="G4" s="35"/>
      <c r="H4" s="35"/>
      <c r="I4" s="35"/>
      <c r="L4" s="256"/>
    </row>
    <row r="5" spans="1:15">
      <c r="A5" s="255">
        <v>271110</v>
      </c>
      <c r="B5" s="255">
        <v>270550</v>
      </c>
      <c r="C5" s="215">
        <v>281380</v>
      </c>
      <c r="D5" s="215">
        <v>280240</v>
      </c>
      <c r="E5">
        <v>330</v>
      </c>
      <c r="F5" s="99">
        <v>1.1999999999999999E-3</v>
      </c>
      <c r="G5" s="158">
        <v>44508</v>
      </c>
      <c r="H5" t="s">
        <v>6636</v>
      </c>
      <c r="I5" s="35" t="s">
        <v>6308</v>
      </c>
      <c r="L5" s="35" t="str">
        <f t="shared" ref="L5:L36" si="0">CONCATENATE("USD",I5,TEXT(G5,"yyyymmdd"),I5,A334,I5,C5,I5,B334,I5,D5,I5,"1,1,1")</f>
        <v>USD,20211108,279840,281380,279700,280240,1,1,1</v>
      </c>
      <c r="N5" s="244"/>
    </row>
    <row r="6" spans="1:15">
      <c r="A6" s="255">
        <v>272810</v>
      </c>
      <c r="B6" s="255">
        <v>270050</v>
      </c>
      <c r="C6" s="215">
        <v>280080</v>
      </c>
      <c r="D6" s="215">
        <v>279910</v>
      </c>
      <c r="E6">
        <v>1670</v>
      </c>
      <c r="F6" s="99">
        <v>6.0000000000000001E-3</v>
      </c>
      <c r="G6" s="158">
        <v>44507</v>
      </c>
      <c r="H6" t="s">
        <v>6637</v>
      </c>
      <c r="I6" s="35" t="s">
        <v>6308</v>
      </c>
      <c r="L6" s="35" t="str">
        <f t="shared" si="0"/>
        <v>USD,20211107,278010,280080,277200,279910,1,1,1</v>
      </c>
    </row>
    <row r="7" spans="1:15">
      <c r="A7" s="255">
        <v>270860</v>
      </c>
      <c r="B7" s="255">
        <v>270850</v>
      </c>
      <c r="C7" s="215">
        <v>279580</v>
      </c>
      <c r="D7" s="215">
        <v>278240</v>
      </c>
      <c r="E7">
        <v>1730</v>
      </c>
      <c r="F7" s="99">
        <v>6.3E-3</v>
      </c>
      <c r="G7" s="158">
        <v>44506</v>
      </c>
      <c r="H7" t="s">
        <v>6638</v>
      </c>
      <c r="I7" s="35" t="s">
        <v>6308</v>
      </c>
      <c r="L7" s="35" t="str">
        <f t="shared" si="0"/>
        <v>USD,20211106,283180,279580,283100,278240,1,1,1</v>
      </c>
    </row>
    <row r="8" spans="1:15">
      <c r="A8" s="255">
        <v>273310</v>
      </c>
      <c r="B8" s="255">
        <v>270050</v>
      </c>
      <c r="C8" s="215">
        <v>277280</v>
      </c>
      <c r="D8" s="215">
        <v>276510</v>
      </c>
      <c r="E8">
        <v>2460</v>
      </c>
      <c r="F8" s="99">
        <v>8.8999999999999999E-3</v>
      </c>
      <c r="G8" s="158">
        <v>44504</v>
      </c>
      <c r="H8" t="s">
        <v>6639</v>
      </c>
      <c r="I8" s="35" t="s">
        <v>6308</v>
      </c>
      <c r="L8" s="35" t="str">
        <f t="shared" si="0"/>
        <v>USD,20211104,281760,277280,281400,276510,1,1,1</v>
      </c>
    </row>
    <row r="9" spans="1:15">
      <c r="A9" s="255">
        <v>273870</v>
      </c>
      <c r="B9" s="255">
        <v>272250</v>
      </c>
      <c r="C9" s="215">
        <v>279280</v>
      </c>
      <c r="D9" s="215">
        <v>278970</v>
      </c>
      <c r="E9">
        <v>2960</v>
      </c>
      <c r="F9" s="99">
        <v>1.0699999999999999E-2</v>
      </c>
      <c r="G9" s="158">
        <v>44503</v>
      </c>
      <c r="H9" t="s">
        <v>6640</v>
      </c>
      <c r="I9" s="35" t="s">
        <v>6308</v>
      </c>
      <c r="L9" s="35" t="str">
        <f t="shared" si="0"/>
        <v>USD,20211103,280230,279280,280200,278970,1,1,1</v>
      </c>
    </row>
    <row r="10" spans="1:15">
      <c r="A10" s="255">
        <v>273850</v>
      </c>
      <c r="B10" s="255">
        <v>269350</v>
      </c>
      <c r="C10" s="215">
        <v>276080</v>
      </c>
      <c r="D10" s="215">
        <v>276010</v>
      </c>
      <c r="E10">
        <v>940</v>
      </c>
      <c r="F10" s="99">
        <v>3.3999999999999998E-3</v>
      </c>
      <c r="G10" s="158">
        <v>44502</v>
      </c>
      <c r="H10" t="s">
        <v>6641</v>
      </c>
      <c r="I10" s="35" t="s">
        <v>6308</v>
      </c>
      <c r="L10" s="35" t="str">
        <f t="shared" si="0"/>
        <v>USD,20211102,,276080,,276010,1,1,1</v>
      </c>
      <c r="O10" t="s">
        <v>6309</v>
      </c>
    </row>
    <row r="11" spans="1:15">
      <c r="A11" s="255">
        <v>281890</v>
      </c>
      <c r="B11" s="255">
        <v>275490</v>
      </c>
      <c r="C11" s="215">
        <v>276380</v>
      </c>
      <c r="D11" s="215">
        <v>275070</v>
      </c>
      <c r="E11">
        <v>680</v>
      </c>
      <c r="F11" s="99">
        <v>2.5000000000000001E-3</v>
      </c>
      <c r="G11" s="158">
        <v>44501</v>
      </c>
      <c r="H11" t="s">
        <v>6642</v>
      </c>
      <c r="I11" s="35" t="s">
        <v>6308</v>
      </c>
      <c r="L11" s="35" t="str">
        <f t="shared" si="0"/>
        <v>USD,20211101,,276380,,275070,1,1,1</v>
      </c>
    </row>
    <row r="12" spans="1:15">
      <c r="A12" s="255">
        <v>282460</v>
      </c>
      <c r="B12" s="255">
        <v>281190</v>
      </c>
      <c r="C12" s="215">
        <v>276080</v>
      </c>
      <c r="D12" s="215">
        <v>275750</v>
      </c>
      <c r="E12">
        <v>390</v>
      </c>
      <c r="F12" s="99">
        <v>1.4E-3</v>
      </c>
      <c r="G12" s="158">
        <v>44500</v>
      </c>
      <c r="H12" t="s">
        <v>6643</v>
      </c>
      <c r="I12" s="35" t="s">
        <v>6308</v>
      </c>
      <c r="L12" s="35" t="str">
        <f t="shared" si="0"/>
        <v>USD,20211031,,276080,,275750,1,1,1</v>
      </c>
    </row>
    <row r="13" spans="1:15">
      <c r="A13" s="255">
        <v>279490</v>
      </c>
      <c r="B13" s="255">
        <v>277890</v>
      </c>
      <c r="C13" s="215">
        <v>276680</v>
      </c>
      <c r="D13" s="215">
        <v>276140</v>
      </c>
      <c r="E13">
        <v>430</v>
      </c>
      <c r="F13" s="99">
        <v>1.6000000000000001E-3</v>
      </c>
      <c r="G13" s="158">
        <v>44499</v>
      </c>
      <c r="H13" t="s">
        <v>6644</v>
      </c>
      <c r="I13" s="35" t="s">
        <v>6308</v>
      </c>
      <c r="L13" s="35" t="str">
        <f t="shared" si="0"/>
        <v>USD,20211030,,276680,,276140,1,1,1</v>
      </c>
    </row>
    <row r="14" spans="1:15">
      <c r="A14" s="255">
        <v>277530</v>
      </c>
      <c r="B14" s="255">
        <v>276790</v>
      </c>
      <c r="C14" s="215">
        <v>277080</v>
      </c>
      <c r="D14" s="215">
        <v>276570</v>
      </c>
      <c r="E14">
        <v>210</v>
      </c>
      <c r="F14" s="99">
        <v>8.0000000000000004E-4</v>
      </c>
      <c r="G14" s="158">
        <v>44497</v>
      </c>
      <c r="H14" t="s">
        <v>6645</v>
      </c>
      <c r="I14" s="35" t="s">
        <v>6308</v>
      </c>
      <c r="L14" s="35" t="str">
        <f t="shared" si="0"/>
        <v>USD,20211028,,277080,,276570,1,1,1</v>
      </c>
      <c r="N14" t="s">
        <v>25</v>
      </c>
    </row>
    <row r="15" spans="1:15">
      <c r="A15" s="255">
        <v>277190</v>
      </c>
      <c r="B15" s="255">
        <v>275690</v>
      </c>
      <c r="C15" s="215">
        <v>278080</v>
      </c>
      <c r="D15" s="215">
        <v>276780</v>
      </c>
      <c r="E15">
        <v>1010</v>
      </c>
      <c r="F15" s="99">
        <v>3.7000000000000002E-3</v>
      </c>
      <c r="G15" s="158">
        <v>44496</v>
      </c>
      <c r="H15" t="s">
        <v>6646</v>
      </c>
      <c r="I15" s="35" t="s">
        <v>6308</v>
      </c>
      <c r="L15" s="35" t="str">
        <f t="shared" si="0"/>
        <v>USD,20211027,,278080,,276780,1,1,1</v>
      </c>
    </row>
    <row r="16" spans="1:15">
      <c r="A16" s="255">
        <v>274390</v>
      </c>
      <c r="B16" s="255">
        <v>273690</v>
      </c>
      <c r="C16" s="215">
        <v>275780</v>
      </c>
      <c r="D16" s="215">
        <v>275770</v>
      </c>
      <c r="E16">
        <v>150</v>
      </c>
      <c r="F16" s="99">
        <v>5.0000000000000001E-4</v>
      </c>
      <c r="G16" s="158">
        <v>44495</v>
      </c>
      <c r="H16" t="s">
        <v>6647</v>
      </c>
      <c r="I16" s="35" t="s">
        <v>6308</v>
      </c>
      <c r="L16" s="35" t="str">
        <f t="shared" si="0"/>
        <v>USD,20211026,,275780,,275770,1,1,1</v>
      </c>
    </row>
    <row r="17" spans="1:12">
      <c r="A17" s="255">
        <v>274500</v>
      </c>
      <c r="B17" s="255">
        <v>273490</v>
      </c>
      <c r="C17" s="215">
        <v>276780</v>
      </c>
      <c r="D17" s="215">
        <v>275620</v>
      </c>
      <c r="E17">
        <v>410</v>
      </c>
      <c r="F17" s="99">
        <v>1.5E-3</v>
      </c>
      <c r="G17" s="158">
        <v>44494</v>
      </c>
      <c r="H17" t="s">
        <v>6648</v>
      </c>
      <c r="I17" s="35" t="s">
        <v>6308</v>
      </c>
      <c r="L17" s="35" t="str">
        <f t="shared" si="0"/>
        <v>USD,20211025,,276780,,275620,1,1,1</v>
      </c>
    </row>
    <row r="18" spans="1:12">
      <c r="A18" s="255">
        <v>269030</v>
      </c>
      <c r="B18" s="255">
        <v>268990</v>
      </c>
      <c r="C18" s="215">
        <v>276080</v>
      </c>
      <c r="D18" s="215">
        <v>276030</v>
      </c>
      <c r="E18">
        <v>1880</v>
      </c>
      <c r="F18" s="99">
        <v>6.8999999999999999E-3</v>
      </c>
      <c r="G18" s="158">
        <v>44492</v>
      </c>
      <c r="H18" t="s">
        <v>6649</v>
      </c>
      <c r="I18" s="35" t="s">
        <v>6308</v>
      </c>
      <c r="L18" s="35" t="str">
        <f t="shared" si="0"/>
        <v>USD,20211023,,276080,,276030,1,1,1</v>
      </c>
    </row>
    <row r="19" spans="1:12">
      <c r="A19" s="255">
        <v>269080</v>
      </c>
      <c r="B19" s="255">
        <v>268990</v>
      </c>
      <c r="C19" s="215">
        <v>274680</v>
      </c>
      <c r="D19" s="215">
        <v>274150</v>
      </c>
      <c r="E19">
        <v>1070</v>
      </c>
      <c r="F19" s="99">
        <v>3.8999999999999998E-3</v>
      </c>
      <c r="G19" s="158">
        <v>44490</v>
      </c>
      <c r="H19" t="s">
        <v>6650</v>
      </c>
      <c r="I19" s="35" t="s">
        <v>6308</v>
      </c>
      <c r="L19" s="35" t="str">
        <f t="shared" si="0"/>
        <v>USD,20211021,,274680,,274150,1,1,1</v>
      </c>
    </row>
    <row r="20" spans="1:12">
      <c r="A20" s="255">
        <v>269110</v>
      </c>
      <c r="B20" s="255">
        <v>268990</v>
      </c>
      <c r="C20" s="215">
        <v>274180</v>
      </c>
      <c r="D20" s="215">
        <v>273080</v>
      </c>
      <c r="E20">
        <v>1750</v>
      </c>
      <c r="F20" s="99">
        <v>6.4000000000000003E-3</v>
      </c>
      <c r="G20" s="158">
        <v>44489</v>
      </c>
      <c r="H20" t="s">
        <v>6651</v>
      </c>
      <c r="I20" s="35" t="s">
        <v>6308</v>
      </c>
      <c r="L20" s="35" t="str">
        <f t="shared" si="0"/>
        <v>USD,20211020,,274180,,273080,1,1,1</v>
      </c>
    </row>
    <row r="21" spans="1:12">
      <c r="A21" s="255">
        <v>263490</v>
      </c>
      <c r="B21" s="255">
        <v>263490</v>
      </c>
      <c r="C21" s="215">
        <v>275380</v>
      </c>
      <c r="D21" s="215">
        <v>274830</v>
      </c>
      <c r="E21">
        <v>2190</v>
      </c>
      <c r="F21" s="99">
        <v>8.0000000000000002E-3</v>
      </c>
      <c r="G21" s="158">
        <v>44488</v>
      </c>
      <c r="H21" t="s">
        <v>6652</v>
      </c>
      <c r="I21" s="35" t="s">
        <v>6308</v>
      </c>
      <c r="L21" s="35" t="str">
        <f t="shared" si="0"/>
        <v>USD,20211019,,275380,,274830,1,1,1</v>
      </c>
    </row>
    <row r="22" spans="1:12">
      <c r="A22" s="255">
        <v>263110</v>
      </c>
      <c r="B22" s="255">
        <v>262590</v>
      </c>
      <c r="C22" s="215">
        <v>273180</v>
      </c>
      <c r="D22" s="215">
        <v>272640</v>
      </c>
      <c r="E22">
        <v>820</v>
      </c>
      <c r="F22" s="99">
        <v>3.0000000000000001E-3</v>
      </c>
      <c r="G22" s="158">
        <v>44487</v>
      </c>
      <c r="H22" t="s">
        <v>6653</v>
      </c>
      <c r="I22" s="35" t="s">
        <v>6308</v>
      </c>
      <c r="L22" s="35" t="str">
        <f t="shared" si="0"/>
        <v>USD,20211018,,273180,,272640,1,1,1</v>
      </c>
    </row>
    <row r="23" spans="1:12">
      <c r="A23" s="255">
        <v>265890</v>
      </c>
      <c r="B23" s="255">
        <v>262890</v>
      </c>
      <c r="C23" s="215">
        <v>272980</v>
      </c>
      <c r="D23" s="215">
        <v>271820</v>
      </c>
      <c r="E23">
        <v>1030</v>
      </c>
      <c r="F23" s="99">
        <v>3.8E-3</v>
      </c>
      <c r="G23" s="158">
        <v>44486</v>
      </c>
      <c r="H23" t="s">
        <v>6654</v>
      </c>
      <c r="I23" s="35" t="s">
        <v>6308</v>
      </c>
      <c r="L23" s="35" t="str">
        <f t="shared" si="0"/>
        <v>USD,20211017,,272980,,271820,1,1,1</v>
      </c>
    </row>
    <row r="24" spans="1:12">
      <c r="A24" s="255">
        <v>264690</v>
      </c>
      <c r="B24" s="255">
        <v>263790</v>
      </c>
      <c r="C24" s="215">
        <v>273280</v>
      </c>
      <c r="D24" s="215">
        <v>272850</v>
      </c>
      <c r="E24">
        <v>1980</v>
      </c>
      <c r="F24" s="99">
        <v>7.3000000000000001E-3</v>
      </c>
      <c r="G24" s="158">
        <v>44485</v>
      </c>
      <c r="H24" t="s">
        <v>6655</v>
      </c>
      <c r="I24" s="35" t="s">
        <v>6308</v>
      </c>
      <c r="L24" s="35" t="str">
        <f t="shared" si="0"/>
        <v>USD,20211016,,273280,,272850,1,1,1</v>
      </c>
    </row>
    <row r="25" spans="1:12">
      <c r="A25" s="255">
        <v>258990</v>
      </c>
      <c r="B25" s="255">
        <v>258990</v>
      </c>
      <c r="C25" s="215">
        <v>272480</v>
      </c>
      <c r="D25" s="215">
        <v>270870</v>
      </c>
      <c r="E25">
        <v>690</v>
      </c>
      <c r="F25" s="99">
        <v>2.5000000000000001E-3</v>
      </c>
      <c r="G25" s="158">
        <v>44483</v>
      </c>
      <c r="H25" t="s">
        <v>6656</v>
      </c>
      <c r="I25" s="35" t="s">
        <v>6308</v>
      </c>
      <c r="L25" s="35" t="str">
        <f t="shared" si="0"/>
        <v>USD,20211014,,272480,,270870,1,1,1</v>
      </c>
    </row>
    <row r="26" spans="1:12">
      <c r="A26" s="255">
        <v>256340</v>
      </c>
      <c r="B26" s="255">
        <v>256190</v>
      </c>
      <c r="C26" s="215">
        <v>272780</v>
      </c>
      <c r="D26" s="215">
        <v>271560</v>
      </c>
      <c r="E26">
        <v>830</v>
      </c>
      <c r="F26" s="99">
        <v>3.0999999999999999E-3</v>
      </c>
      <c r="G26" s="158">
        <v>44482</v>
      </c>
      <c r="H26" t="s">
        <v>6657</v>
      </c>
      <c r="I26" s="35" t="s">
        <v>6308</v>
      </c>
      <c r="L26" s="35" t="str">
        <f t="shared" si="0"/>
        <v>USD,20211013,,272780,,271560,1,1,1</v>
      </c>
    </row>
    <row r="27" spans="1:12">
      <c r="A27" s="255">
        <v>256290</v>
      </c>
      <c r="B27" s="255">
        <v>252390</v>
      </c>
      <c r="C27" s="215">
        <v>273680</v>
      </c>
      <c r="D27" s="215">
        <v>270730</v>
      </c>
      <c r="E27">
        <v>2600</v>
      </c>
      <c r="F27" s="99">
        <v>9.5999999999999992E-3</v>
      </c>
      <c r="G27" s="158">
        <v>44481</v>
      </c>
      <c r="H27" t="s">
        <v>6658</v>
      </c>
      <c r="I27" s="35" t="s">
        <v>6308</v>
      </c>
      <c r="L27" s="35" t="str">
        <f t="shared" si="0"/>
        <v>USD,20211012,,273680,,270730,1,1,1</v>
      </c>
    </row>
    <row r="28" spans="1:12">
      <c r="A28" s="255">
        <v>254190</v>
      </c>
      <c r="B28" s="255">
        <v>253990</v>
      </c>
      <c r="C28" s="215">
        <v>276080</v>
      </c>
      <c r="D28" s="215">
        <v>273330</v>
      </c>
      <c r="E28">
        <v>2480</v>
      </c>
      <c r="F28" s="99">
        <v>9.1000000000000004E-3</v>
      </c>
      <c r="G28" s="158">
        <v>44480</v>
      </c>
      <c r="H28" t="s">
        <v>6659</v>
      </c>
      <c r="I28" s="35" t="s">
        <v>6308</v>
      </c>
      <c r="L28" s="35" t="str">
        <f t="shared" si="0"/>
        <v>USD,20211011,,276080,,273330,1,1,1</v>
      </c>
    </row>
    <row r="29" spans="1:12">
      <c r="A29" s="255">
        <v>256490</v>
      </c>
      <c r="B29" s="255">
        <v>255790</v>
      </c>
      <c r="C29" s="215">
        <v>276280</v>
      </c>
      <c r="D29" s="215">
        <v>275810</v>
      </c>
      <c r="E29">
        <v>210</v>
      </c>
      <c r="F29" s="99">
        <v>8.0000000000000004E-4</v>
      </c>
      <c r="G29" s="158">
        <v>44479</v>
      </c>
      <c r="H29" t="s">
        <v>6660</v>
      </c>
      <c r="I29" s="35" t="s">
        <v>6308</v>
      </c>
      <c r="L29" s="35" t="str">
        <f t="shared" si="0"/>
        <v>USD,20211010,,276280,,275810,1,1,1</v>
      </c>
    </row>
    <row r="30" spans="1:12">
      <c r="A30" s="255">
        <v>257250</v>
      </c>
      <c r="B30" s="255">
        <v>254690</v>
      </c>
      <c r="C30" s="215">
        <v>279380</v>
      </c>
      <c r="D30" s="215">
        <v>275600</v>
      </c>
      <c r="E30">
        <v>3720</v>
      </c>
      <c r="F30" s="99">
        <v>1.35E-2</v>
      </c>
      <c r="G30" s="158">
        <v>44478</v>
      </c>
      <c r="H30" t="s">
        <v>6661</v>
      </c>
      <c r="I30" s="35" t="s">
        <v>6308</v>
      </c>
      <c r="L30" s="35" t="str">
        <f t="shared" si="0"/>
        <v>USD,20211009,,279380,,275600,1,1,1</v>
      </c>
    </row>
    <row r="31" spans="1:12">
      <c r="A31" s="255">
        <v>255790</v>
      </c>
      <c r="B31" s="255">
        <v>255690</v>
      </c>
      <c r="C31" s="215">
        <v>281680</v>
      </c>
      <c r="D31" s="215">
        <v>279320</v>
      </c>
      <c r="E31">
        <v>2040</v>
      </c>
      <c r="F31" s="99">
        <v>7.3000000000000001E-3</v>
      </c>
      <c r="G31" s="158">
        <v>44475</v>
      </c>
      <c r="H31" t="s">
        <v>6662</v>
      </c>
      <c r="I31" s="35" t="s">
        <v>6308</v>
      </c>
      <c r="L31" s="35" t="str">
        <f t="shared" si="0"/>
        <v>USD,20211006,,281680,,279320,1,1,1</v>
      </c>
    </row>
    <row r="32" spans="1:12">
      <c r="A32" s="255">
        <v>255690</v>
      </c>
      <c r="B32" s="255">
        <v>254590</v>
      </c>
      <c r="C32" s="215">
        <v>281680</v>
      </c>
      <c r="D32" s="215">
        <v>281360</v>
      </c>
      <c r="E32" t="s">
        <v>6307</v>
      </c>
      <c r="F32" t="s">
        <v>6307</v>
      </c>
      <c r="G32" s="158">
        <v>44473</v>
      </c>
      <c r="H32" t="s">
        <v>6663</v>
      </c>
      <c r="I32" s="35" t="s">
        <v>6308</v>
      </c>
      <c r="L32" s="35" t="str">
        <f t="shared" si="0"/>
        <v>USD,20211004,,281680,,281360,1,1,1</v>
      </c>
    </row>
    <row r="33" spans="1:12">
      <c r="A33" s="255">
        <v>257190</v>
      </c>
      <c r="B33" s="255">
        <v>254290</v>
      </c>
      <c r="C33" s="215">
        <v>281610</v>
      </c>
      <c r="D33" s="215">
        <v>280410</v>
      </c>
      <c r="E33">
        <v>1600</v>
      </c>
      <c r="F33" s="99">
        <v>5.7000000000000002E-3</v>
      </c>
      <c r="G33" s="158">
        <v>44472</v>
      </c>
      <c r="H33" t="s">
        <v>6664</v>
      </c>
      <c r="I33" s="35" t="s">
        <v>6308</v>
      </c>
      <c r="L33" s="35" t="str">
        <f t="shared" si="0"/>
        <v>USD,20211003,,281610,,280410,1,1,1</v>
      </c>
    </row>
    <row r="34" spans="1:12">
      <c r="A34" s="255">
        <v>260270</v>
      </c>
      <c r="B34" s="255">
        <v>256990</v>
      </c>
      <c r="C34" s="215">
        <v>283510</v>
      </c>
      <c r="D34" s="215">
        <v>282010</v>
      </c>
      <c r="E34">
        <v>2700</v>
      </c>
      <c r="F34" s="99">
        <v>9.5999999999999992E-3</v>
      </c>
      <c r="G34" s="158">
        <v>44471</v>
      </c>
      <c r="H34" t="s">
        <v>6666</v>
      </c>
      <c r="I34" s="35" t="s">
        <v>6308</v>
      </c>
      <c r="L34" s="35" t="str">
        <f t="shared" si="0"/>
        <v>USD,20211002,,283510,,282010,1,1,1</v>
      </c>
    </row>
    <row r="35" spans="1:12">
      <c r="A35" s="215">
        <v>251800</v>
      </c>
      <c r="B35" s="215">
        <v>251690</v>
      </c>
      <c r="C35" s="215">
        <v>284710</v>
      </c>
      <c r="D35" s="215">
        <v>284710</v>
      </c>
      <c r="E35">
        <v>2200</v>
      </c>
      <c r="F35" s="99">
        <v>7.7999999999999996E-3</v>
      </c>
      <c r="G35" s="158">
        <v>44469</v>
      </c>
      <c r="H35" t="s">
        <v>6667</v>
      </c>
      <c r="I35" s="35" t="s">
        <v>6308</v>
      </c>
      <c r="L35" s="35" t="str">
        <f t="shared" si="0"/>
        <v>USD,20210930,,284710,,284710,1,1,1</v>
      </c>
    </row>
    <row r="36" spans="1:12">
      <c r="A36" s="215">
        <v>250780</v>
      </c>
      <c r="B36" s="215">
        <v>250690</v>
      </c>
      <c r="C36" s="215">
        <v>283210</v>
      </c>
      <c r="D36" s="215">
        <v>282510</v>
      </c>
      <c r="E36">
        <v>1800</v>
      </c>
      <c r="F36" s="99">
        <v>6.4000000000000003E-3</v>
      </c>
      <c r="G36" s="158">
        <v>44468</v>
      </c>
      <c r="H36" t="s">
        <v>6668</v>
      </c>
      <c r="I36" s="35" t="s">
        <v>6308</v>
      </c>
      <c r="L36" s="35" t="str">
        <f t="shared" si="0"/>
        <v>USD,20210929,,283210,,282510,1,1,1</v>
      </c>
    </row>
    <row r="37" spans="1:12">
      <c r="A37" s="215">
        <v>248130</v>
      </c>
      <c r="B37" s="215">
        <v>247890</v>
      </c>
      <c r="C37" s="215">
        <v>280710</v>
      </c>
      <c r="D37" s="215">
        <v>280710</v>
      </c>
      <c r="E37">
        <v>3900</v>
      </c>
      <c r="F37" s="99">
        <v>1.41E-2</v>
      </c>
      <c r="G37" s="158">
        <v>44467</v>
      </c>
      <c r="H37" t="s">
        <v>6669</v>
      </c>
      <c r="I37" s="35" t="s">
        <v>6308</v>
      </c>
      <c r="L37" s="35" t="str">
        <f t="shared" ref="L37:L54" si="1">CONCATENATE("USD",I37,TEXT(G37,"yyyymmdd"),I37,A366,I37,C37,I37,B366,I37,D37,I37,"1,1,1")</f>
        <v>USD,20210928,,280710,,280710,1,1,1</v>
      </c>
    </row>
    <row r="38" spans="1:12">
      <c r="A38" s="215">
        <v>247490</v>
      </c>
      <c r="B38" s="215">
        <v>247490</v>
      </c>
      <c r="C38" s="215">
        <v>276910</v>
      </c>
      <c r="D38" s="215">
        <v>276810</v>
      </c>
      <c r="E38">
        <v>1200</v>
      </c>
      <c r="F38" s="99">
        <v>4.4000000000000003E-3</v>
      </c>
      <c r="G38" s="158">
        <v>44465</v>
      </c>
      <c r="H38" t="s">
        <v>6670</v>
      </c>
      <c r="I38" s="35" t="s">
        <v>6308</v>
      </c>
      <c r="L38" s="35" t="str">
        <f t="shared" si="1"/>
        <v>USD,20210926,,276910,,276810,1,1,1</v>
      </c>
    </row>
    <row r="39" spans="1:12">
      <c r="A39" s="215">
        <v>246190</v>
      </c>
      <c r="B39" s="215">
        <v>246190</v>
      </c>
      <c r="C39" s="215">
        <v>276810</v>
      </c>
      <c r="D39" s="215">
        <v>275610</v>
      </c>
      <c r="E39">
        <v>1200</v>
      </c>
      <c r="F39" s="99">
        <v>4.4000000000000003E-3</v>
      </c>
      <c r="G39" s="158">
        <v>44464</v>
      </c>
      <c r="H39" t="s">
        <v>6671</v>
      </c>
      <c r="I39" s="35" t="s">
        <v>6308</v>
      </c>
      <c r="L39" s="35" t="str">
        <f t="shared" si="1"/>
        <v>USD,20210925,,276810,,275610,1,1,1</v>
      </c>
    </row>
    <row r="40" spans="1:12">
      <c r="A40" s="215">
        <v>246240</v>
      </c>
      <c r="B40" s="215">
        <v>246190</v>
      </c>
      <c r="C40" s="215">
        <v>276810</v>
      </c>
      <c r="D40" s="215">
        <v>276810</v>
      </c>
      <c r="E40">
        <v>1600</v>
      </c>
      <c r="F40" s="99">
        <v>5.7999999999999996E-3</v>
      </c>
      <c r="G40" s="158">
        <v>44462</v>
      </c>
      <c r="H40" t="s">
        <v>6665</v>
      </c>
      <c r="I40" s="35" t="s">
        <v>6308</v>
      </c>
      <c r="L40" s="35" t="str">
        <f t="shared" si="1"/>
        <v>USD,20210923,,276810,,276810,1,1,1</v>
      </c>
    </row>
    <row r="41" spans="1:12">
      <c r="A41" s="215">
        <v>244820</v>
      </c>
      <c r="B41" s="215">
        <v>244790</v>
      </c>
      <c r="C41" s="215">
        <v>276110</v>
      </c>
      <c r="D41" s="215">
        <v>275210</v>
      </c>
      <c r="E41">
        <v>1180</v>
      </c>
      <c r="F41" s="99">
        <v>4.3E-3</v>
      </c>
      <c r="G41" s="158">
        <v>44461</v>
      </c>
      <c r="H41" t="s">
        <v>6672</v>
      </c>
      <c r="I41" s="35" t="s">
        <v>6308</v>
      </c>
      <c r="L41" s="35" t="str">
        <f t="shared" si="1"/>
        <v>USD,20210922,,276110,,275210,1,1,1</v>
      </c>
    </row>
    <row r="42" spans="1:12">
      <c r="A42" s="215">
        <v>245600</v>
      </c>
      <c r="B42" s="215">
        <v>244090</v>
      </c>
      <c r="C42" s="215">
        <v>276310</v>
      </c>
      <c r="D42" s="215">
        <v>274030</v>
      </c>
      <c r="E42" t="s">
        <v>6307</v>
      </c>
      <c r="F42" t="s">
        <v>6307</v>
      </c>
      <c r="G42" s="158">
        <v>44460</v>
      </c>
      <c r="H42" t="s">
        <v>6673</v>
      </c>
      <c r="I42" s="35" t="s">
        <v>6308</v>
      </c>
      <c r="L42" s="35" t="str">
        <f t="shared" si="1"/>
        <v>USD,20210921,,276310,,274030,1,1,1</v>
      </c>
    </row>
    <row r="43" spans="1:12">
      <c r="A43" s="215">
        <v>246890</v>
      </c>
      <c r="B43" s="215">
        <v>245190</v>
      </c>
      <c r="C43" s="215">
        <v>274510</v>
      </c>
      <c r="D43" s="215">
        <v>274430</v>
      </c>
      <c r="E43">
        <v>220</v>
      </c>
      <c r="F43" s="99">
        <v>8.0000000000000004E-4</v>
      </c>
      <c r="G43" s="158">
        <v>44459</v>
      </c>
      <c r="H43" t="s">
        <v>6674</v>
      </c>
      <c r="I43" s="35" t="s">
        <v>6308</v>
      </c>
      <c r="L43" s="35" t="str">
        <f t="shared" si="1"/>
        <v>USD,20210920,,274510,,274430,1,1,1</v>
      </c>
    </row>
    <row r="44" spans="1:12">
      <c r="A44" s="215">
        <v>247610</v>
      </c>
      <c r="B44" s="215">
        <v>247190</v>
      </c>
      <c r="C44" s="215">
        <v>275010</v>
      </c>
      <c r="D44" s="215">
        <v>274650</v>
      </c>
      <c r="E44">
        <v>940</v>
      </c>
      <c r="F44" s="99">
        <v>3.3999999999999998E-3</v>
      </c>
      <c r="G44" s="158">
        <v>44458</v>
      </c>
      <c r="H44" t="s">
        <v>6675</v>
      </c>
      <c r="I44" s="35" t="s">
        <v>6308</v>
      </c>
      <c r="L44" s="35" t="str">
        <f t="shared" si="1"/>
        <v>USD,20210919,,275010,,274650,1,1,1</v>
      </c>
    </row>
    <row r="45" spans="1:12">
      <c r="A45" s="215">
        <v>246190</v>
      </c>
      <c r="B45" s="215">
        <v>246190</v>
      </c>
      <c r="C45" s="215">
        <v>276410</v>
      </c>
      <c r="D45" s="215">
        <v>273710</v>
      </c>
      <c r="E45">
        <v>750</v>
      </c>
      <c r="F45" s="99">
        <v>2.7000000000000001E-3</v>
      </c>
      <c r="G45" s="158">
        <v>44457</v>
      </c>
      <c r="H45" t="s">
        <v>6676</v>
      </c>
      <c r="I45" s="35" t="s">
        <v>6308</v>
      </c>
      <c r="L45" s="35" t="str">
        <f t="shared" si="1"/>
        <v>USD,20210918,,276410,,273710,1,1,1</v>
      </c>
    </row>
    <row r="46" spans="1:12">
      <c r="A46" s="215">
        <v>247610</v>
      </c>
      <c r="B46" s="215">
        <v>244990</v>
      </c>
      <c r="C46" s="215">
        <v>274510</v>
      </c>
      <c r="D46" s="215">
        <v>274460</v>
      </c>
      <c r="E46">
        <v>1250</v>
      </c>
      <c r="F46" s="99">
        <v>4.5999999999999999E-3</v>
      </c>
      <c r="G46" s="158">
        <v>44455</v>
      </c>
      <c r="H46" t="s">
        <v>6677</v>
      </c>
      <c r="I46" s="35" t="s">
        <v>6308</v>
      </c>
      <c r="L46" s="35" t="str">
        <f t="shared" si="1"/>
        <v>USD,20210916,,274510,,274460,1,1,1</v>
      </c>
    </row>
    <row r="47" spans="1:12">
      <c r="A47" s="215">
        <v>249740</v>
      </c>
      <c r="B47" s="215">
        <v>247090</v>
      </c>
      <c r="C47" s="215">
        <v>274210</v>
      </c>
      <c r="D47" s="215">
        <v>273210</v>
      </c>
      <c r="E47">
        <v>3260</v>
      </c>
      <c r="F47" s="99">
        <v>1.1900000000000001E-2</v>
      </c>
      <c r="G47" s="158">
        <v>44454</v>
      </c>
      <c r="H47" t="s">
        <v>6678</v>
      </c>
      <c r="I47" s="35" t="s">
        <v>6308</v>
      </c>
      <c r="L47" s="35" t="str">
        <f t="shared" si="1"/>
        <v>USD,20210915,,274210,,273210,1,1,1</v>
      </c>
    </row>
    <row r="48" spans="1:12">
      <c r="A48" s="215">
        <v>250040</v>
      </c>
      <c r="B48" s="215">
        <v>249290</v>
      </c>
      <c r="C48" s="215">
        <v>277310</v>
      </c>
      <c r="D48" s="215">
        <v>276470</v>
      </c>
      <c r="E48">
        <v>3360</v>
      </c>
      <c r="F48" s="99">
        <v>1.23E-2</v>
      </c>
      <c r="G48" s="158">
        <v>44453</v>
      </c>
      <c r="H48" t="s">
        <v>6679</v>
      </c>
      <c r="I48" s="35" t="s">
        <v>6308</v>
      </c>
      <c r="L48" s="35" t="str">
        <f t="shared" si="1"/>
        <v>USD,20210914,,277310,,276470,1,1,1</v>
      </c>
    </row>
    <row r="49" spans="1:12">
      <c r="A49" s="215">
        <v>249210</v>
      </c>
      <c r="B49" s="215">
        <v>248790</v>
      </c>
      <c r="C49" s="215">
        <v>273210</v>
      </c>
      <c r="D49" s="215">
        <v>273110</v>
      </c>
      <c r="E49">
        <v>600</v>
      </c>
      <c r="F49" s="99">
        <v>2.2000000000000001E-3</v>
      </c>
      <c r="G49" s="158">
        <v>44452</v>
      </c>
      <c r="H49" t="s">
        <v>6680</v>
      </c>
      <c r="I49" s="35" t="s">
        <v>6308</v>
      </c>
      <c r="L49" s="35" t="str">
        <f t="shared" si="1"/>
        <v>USD,20210913,,273210,,273110,1,1,1</v>
      </c>
    </row>
    <row r="50" spans="1:12">
      <c r="A50" s="215">
        <v>250340</v>
      </c>
      <c r="B50" s="215">
        <v>248190</v>
      </c>
      <c r="C50" s="215">
        <v>277210</v>
      </c>
      <c r="D50" s="215">
        <v>272510</v>
      </c>
      <c r="E50">
        <v>4800</v>
      </c>
      <c r="F50" s="99">
        <v>1.7600000000000001E-2</v>
      </c>
      <c r="G50" s="158">
        <v>44451</v>
      </c>
      <c r="H50" t="s">
        <v>6681</v>
      </c>
      <c r="I50" s="35" t="s">
        <v>6308</v>
      </c>
      <c r="L50" s="35" t="str">
        <f t="shared" si="1"/>
        <v>USD,20210912,,277210,,272510,1,1,1</v>
      </c>
    </row>
    <row r="51" spans="1:12">
      <c r="A51" s="215">
        <v>251070</v>
      </c>
      <c r="B51" s="215">
        <v>249490</v>
      </c>
      <c r="C51" s="215">
        <v>278810</v>
      </c>
      <c r="D51" s="215">
        <v>277310</v>
      </c>
      <c r="E51">
        <v>960</v>
      </c>
      <c r="F51" s="99">
        <v>3.5000000000000001E-3</v>
      </c>
      <c r="G51" s="158">
        <v>44450</v>
      </c>
      <c r="H51" t="s">
        <v>6682</v>
      </c>
      <c r="I51" s="35" t="s">
        <v>6308</v>
      </c>
      <c r="L51" s="35" t="str">
        <f t="shared" si="1"/>
        <v>USD,20210911,,278810,,277310,1,1,1</v>
      </c>
    </row>
    <row r="52" spans="1:12">
      <c r="A52" s="215">
        <v>250490</v>
      </c>
      <c r="B52" s="215">
        <v>250010</v>
      </c>
      <c r="C52" s="215">
        <v>279010</v>
      </c>
      <c r="D52" s="215">
        <v>278270</v>
      </c>
      <c r="E52">
        <v>1460</v>
      </c>
      <c r="F52" s="99">
        <v>5.3E-3</v>
      </c>
      <c r="G52" s="158">
        <v>44448</v>
      </c>
      <c r="H52" t="s">
        <v>6683</v>
      </c>
      <c r="I52" s="35" t="s">
        <v>6308</v>
      </c>
      <c r="L52" s="35" t="str">
        <f t="shared" si="1"/>
        <v>USD,20210909,,279010,,278270,1,1,1</v>
      </c>
    </row>
    <row r="53" spans="1:12">
      <c r="A53" s="215">
        <v>250990</v>
      </c>
      <c r="B53" s="215">
        <v>250590</v>
      </c>
      <c r="C53" s="215">
        <v>277310</v>
      </c>
      <c r="D53" s="215">
        <v>276810</v>
      </c>
      <c r="E53">
        <v>3000</v>
      </c>
      <c r="F53" s="99">
        <v>1.0999999999999999E-2</v>
      </c>
      <c r="G53" s="158">
        <v>44447</v>
      </c>
      <c r="H53" t="s">
        <v>6684</v>
      </c>
      <c r="I53" s="35" t="s">
        <v>6308</v>
      </c>
      <c r="L53" s="35" t="str">
        <f t="shared" si="1"/>
        <v>USD,20210908,,277310,,276810,1,1,1</v>
      </c>
    </row>
    <row r="54" spans="1:12">
      <c r="A54" s="215">
        <v>251220</v>
      </c>
      <c r="B54" s="215">
        <v>249490</v>
      </c>
      <c r="C54" s="215">
        <v>274010</v>
      </c>
      <c r="D54" s="215">
        <v>273810</v>
      </c>
      <c r="E54">
        <v>2600</v>
      </c>
      <c r="F54" s="99">
        <v>9.5999999999999992E-3</v>
      </c>
      <c r="G54" s="158">
        <v>44446</v>
      </c>
      <c r="H54" t="s">
        <v>6685</v>
      </c>
      <c r="I54" s="35" t="s">
        <v>6308</v>
      </c>
      <c r="L54" s="35" t="str">
        <f t="shared" si="1"/>
        <v>USD,20210907,,274010,,273810,1,1,1</v>
      </c>
    </row>
    <row r="55" spans="1:12">
      <c r="A55" s="215">
        <v>254490</v>
      </c>
      <c r="B55" s="215">
        <v>251090</v>
      </c>
      <c r="C55" s="215">
        <v>251640</v>
      </c>
      <c r="D55" s="215">
        <v>251090</v>
      </c>
      <c r="E55">
        <v>1370</v>
      </c>
      <c r="F55" s="99">
        <v>5.4999999999999997E-3</v>
      </c>
      <c r="G55" s="158">
        <v>44383</v>
      </c>
      <c r="H55" t="s">
        <v>6313</v>
      </c>
      <c r="I55" s="35" t="s">
        <v>6308</v>
      </c>
      <c r="L55" s="35" t="str">
        <f t="shared" ref="L55:L118" si="2">CONCATENATE("USD",I55,TEXT(G55,"yyyymmdd"),I55,A53,I55,C55,I55,B53,I55,D55,I55,"1,1,1")</f>
        <v>USD,20210706,250990,251640,250590,251090,1,1,1</v>
      </c>
    </row>
    <row r="56" spans="1:12">
      <c r="A56" s="215">
        <v>251600</v>
      </c>
      <c r="B56" s="215">
        <v>251390</v>
      </c>
      <c r="C56" s="215">
        <v>251340</v>
      </c>
      <c r="D56" s="215">
        <v>249720</v>
      </c>
      <c r="E56">
        <v>1790</v>
      </c>
      <c r="F56" s="99">
        <v>7.1999999999999998E-3</v>
      </c>
      <c r="G56" s="158">
        <v>44382</v>
      </c>
      <c r="H56" t="s">
        <v>6314</v>
      </c>
      <c r="I56" s="35" t="s">
        <v>6308</v>
      </c>
      <c r="L56" s="35" t="str">
        <f t="shared" si="2"/>
        <v>USD,20210705,251220,251340,249490,249720,1,1,1</v>
      </c>
    </row>
    <row r="57" spans="1:12">
      <c r="A57" s="215">
        <v>253290</v>
      </c>
      <c r="B57" s="215">
        <v>250690</v>
      </c>
      <c r="C57" s="215">
        <v>254640</v>
      </c>
      <c r="D57" s="215">
        <v>251510</v>
      </c>
      <c r="E57">
        <v>850</v>
      </c>
      <c r="F57" s="99">
        <v>3.3999999999999998E-3</v>
      </c>
      <c r="G57" s="158">
        <v>44381</v>
      </c>
      <c r="H57" t="s">
        <v>6204</v>
      </c>
      <c r="I57" s="35" t="s">
        <v>6308</v>
      </c>
      <c r="L57" s="35" t="str">
        <f t="shared" si="2"/>
        <v>USD,20210704,254490,254640,251090,251510,1,1,1</v>
      </c>
    </row>
    <row r="58" spans="1:12">
      <c r="A58" s="215">
        <v>250020</v>
      </c>
      <c r="B58" s="215">
        <v>249990</v>
      </c>
      <c r="C58" s="215">
        <v>253840</v>
      </c>
      <c r="D58" s="215">
        <v>252360</v>
      </c>
      <c r="E58">
        <v>850</v>
      </c>
      <c r="F58" s="99">
        <v>3.3999999999999998E-3</v>
      </c>
      <c r="G58" s="158">
        <v>44380</v>
      </c>
      <c r="H58" t="s">
        <v>6315</v>
      </c>
      <c r="I58" s="35" t="s">
        <v>6308</v>
      </c>
      <c r="L58" s="35" t="str">
        <f t="shared" si="2"/>
        <v>USD,20210703,251600,253840,251390,252360,1,1,1</v>
      </c>
    </row>
    <row r="59" spans="1:12">
      <c r="A59" s="215">
        <v>249000</v>
      </c>
      <c r="B59" s="215">
        <v>248890</v>
      </c>
      <c r="C59" s="215">
        <v>253440</v>
      </c>
      <c r="D59" s="215">
        <v>251510</v>
      </c>
      <c r="E59">
        <v>2490</v>
      </c>
      <c r="F59" s="99">
        <v>9.9000000000000008E-3</v>
      </c>
      <c r="G59" s="158">
        <v>44378</v>
      </c>
      <c r="H59" t="s">
        <v>6316</v>
      </c>
      <c r="I59" s="35" t="s">
        <v>6308</v>
      </c>
      <c r="L59" s="35" t="str">
        <f t="shared" si="2"/>
        <v>USD,20210701,253290,253440,250690,251510,1,1,1</v>
      </c>
    </row>
    <row r="60" spans="1:12">
      <c r="A60" s="215">
        <v>246360</v>
      </c>
      <c r="B60" s="215">
        <v>246290</v>
      </c>
      <c r="C60" s="215">
        <v>254130</v>
      </c>
      <c r="D60" s="215">
        <v>254000</v>
      </c>
      <c r="E60">
        <v>4350</v>
      </c>
      <c r="F60" s="99">
        <v>1.7399999999999999E-2</v>
      </c>
      <c r="G60" s="158">
        <v>44377</v>
      </c>
      <c r="H60" t="s">
        <v>6317</v>
      </c>
      <c r="I60" s="35" t="s">
        <v>6308</v>
      </c>
      <c r="L60" s="35" t="str">
        <f t="shared" si="2"/>
        <v>USD,20210630,250020,254130,249990,254000,1,1,1</v>
      </c>
    </row>
    <row r="61" spans="1:12">
      <c r="A61" s="215">
        <v>243490</v>
      </c>
      <c r="B61" s="215">
        <v>243490</v>
      </c>
      <c r="C61" s="215">
        <v>252040</v>
      </c>
      <c r="D61" s="215">
        <v>249650</v>
      </c>
      <c r="E61">
        <v>2530</v>
      </c>
      <c r="F61" s="99">
        <v>1.0200000000000001E-2</v>
      </c>
      <c r="G61" s="158">
        <v>44376</v>
      </c>
      <c r="H61" t="s">
        <v>6318</v>
      </c>
      <c r="I61" s="35" t="s">
        <v>6308</v>
      </c>
      <c r="L61" s="35" t="str">
        <f t="shared" si="2"/>
        <v>USD,20210629,249000,252040,248890,249650,1,1,1</v>
      </c>
    </row>
    <row r="62" spans="1:12">
      <c r="A62" s="215">
        <v>244500</v>
      </c>
      <c r="B62" s="215">
        <v>242290</v>
      </c>
      <c r="C62" s="215">
        <v>248640</v>
      </c>
      <c r="D62" s="215">
        <v>247120</v>
      </c>
      <c r="E62">
        <v>350</v>
      </c>
      <c r="F62" s="99">
        <v>1.4E-3</v>
      </c>
      <c r="G62" s="158">
        <v>44375</v>
      </c>
      <c r="H62" t="s">
        <v>6319</v>
      </c>
      <c r="I62" s="35" t="s">
        <v>6308</v>
      </c>
      <c r="L62" s="35" t="str">
        <f t="shared" si="2"/>
        <v>USD,20210628,246360,248640,246290,247120,1,1,1</v>
      </c>
    </row>
    <row r="63" spans="1:12">
      <c r="A63" s="215">
        <v>241690</v>
      </c>
      <c r="B63" s="215">
        <v>241190</v>
      </c>
      <c r="C63" s="215">
        <v>246940</v>
      </c>
      <c r="D63" s="215">
        <v>246770</v>
      </c>
      <c r="E63">
        <v>2230</v>
      </c>
      <c r="F63" s="99">
        <v>9.1000000000000004E-3</v>
      </c>
      <c r="G63" s="158">
        <v>44374</v>
      </c>
      <c r="H63" t="s">
        <v>6320</v>
      </c>
      <c r="I63" s="35" t="s">
        <v>6308</v>
      </c>
      <c r="L63" s="35" t="str">
        <f t="shared" si="2"/>
        <v>USD,20210627,243490,246940,243490,246770,1,1,1</v>
      </c>
    </row>
    <row r="64" spans="1:12">
      <c r="A64" s="215">
        <v>243310</v>
      </c>
      <c r="B64" s="215">
        <v>240790</v>
      </c>
      <c r="C64" s="215">
        <v>245940</v>
      </c>
      <c r="D64" s="215">
        <v>244540</v>
      </c>
      <c r="E64">
        <v>2650</v>
      </c>
      <c r="F64" s="99">
        <v>1.0999999999999999E-2</v>
      </c>
      <c r="G64" s="158">
        <v>44373</v>
      </c>
      <c r="H64" t="s">
        <v>6321</v>
      </c>
      <c r="I64" s="35" t="s">
        <v>6308</v>
      </c>
      <c r="L64" s="35" t="str">
        <f t="shared" si="2"/>
        <v>USD,20210626,244500,245940,242290,244540,1,1,1</v>
      </c>
    </row>
    <row r="65" spans="1:12">
      <c r="A65" s="215">
        <v>241190</v>
      </c>
      <c r="B65" s="215">
        <v>241190</v>
      </c>
      <c r="C65" s="215">
        <v>242440</v>
      </c>
      <c r="D65" s="215">
        <v>241890</v>
      </c>
      <c r="E65">
        <v>100</v>
      </c>
      <c r="F65" s="99">
        <v>4.0000000000000002E-4</v>
      </c>
      <c r="G65" s="158">
        <v>44371</v>
      </c>
      <c r="H65" t="s">
        <v>6322</v>
      </c>
      <c r="I65" s="35" t="s">
        <v>6308</v>
      </c>
      <c r="L65" s="35" t="str">
        <f t="shared" si="2"/>
        <v>USD,20210624,241690,242440,241190,241890,1,1,1</v>
      </c>
    </row>
    <row r="66" spans="1:12">
      <c r="A66" s="215">
        <v>239940</v>
      </c>
      <c r="B66" s="215">
        <v>239190</v>
      </c>
      <c r="C66" s="215">
        <v>243340</v>
      </c>
      <c r="D66" s="215">
        <v>241790</v>
      </c>
      <c r="E66">
        <v>880</v>
      </c>
      <c r="F66" s="99">
        <v>3.5999999999999999E-3</v>
      </c>
      <c r="G66" s="158">
        <v>44370</v>
      </c>
      <c r="H66" t="s">
        <v>6323</v>
      </c>
      <c r="I66" s="35" t="s">
        <v>6308</v>
      </c>
      <c r="L66" s="35" t="str">
        <f t="shared" si="2"/>
        <v>USD,20210623,243310,243340,240790,241790,1,1,1</v>
      </c>
    </row>
    <row r="67" spans="1:12">
      <c r="A67" s="215">
        <v>234810</v>
      </c>
      <c r="B67" s="215">
        <v>234690</v>
      </c>
      <c r="C67" s="215">
        <v>243140</v>
      </c>
      <c r="D67" s="215">
        <v>242670</v>
      </c>
      <c r="E67">
        <v>1680</v>
      </c>
      <c r="F67" s="99">
        <v>7.0000000000000001E-3</v>
      </c>
      <c r="G67" s="158">
        <v>44369</v>
      </c>
      <c r="H67" t="s">
        <v>6324</v>
      </c>
      <c r="I67" s="35" t="s">
        <v>6308</v>
      </c>
      <c r="L67" s="35" t="str">
        <f t="shared" si="2"/>
        <v>USD,20210622,241190,243140,241190,242670,1,1,1</v>
      </c>
    </row>
    <row r="68" spans="1:12">
      <c r="A68" s="215">
        <v>244490</v>
      </c>
      <c r="B68" s="215">
        <v>234690</v>
      </c>
      <c r="C68" s="215">
        <v>241440</v>
      </c>
      <c r="D68" s="215">
        <v>240990</v>
      </c>
      <c r="E68">
        <v>1390</v>
      </c>
      <c r="F68" s="99">
        <v>5.7999999999999996E-3</v>
      </c>
      <c r="G68" s="158">
        <v>44368</v>
      </c>
      <c r="H68" t="s">
        <v>6325</v>
      </c>
      <c r="I68" s="35" t="s">
        <v>6308</v>
      </c>
      <c r="L68" s="35" t="str">
        <f t="shared" si="2"/>
        <v>USD,20210621,239940,241440,239190,240990,1,1,1</v>
      </c>
    </row>
    <row r="69" spans="1:12">
      <c r="A69" s="215">
        <v>242010</v>
      </c>
      <c r="B69" s="215">
        <v>241950</v>
      </c>
      <c r="C69" s="215">
        <v>240440</v>
      </c>
      <c r="D69" s="215">
        <v>239600</v>
      </c>
      <c r="E69">
        <v>4710</v>
      </c>
      <c r="F69" s="99">
        <v>2.01E-2</v>
      </c>
      <c r="G69" s="158">
        <v>44367</v>
      </c>
      <c r="H69" t="s">
        <v>6326</v>
      </c>
      <c r="I69" s="35" t="s">
        <v>6308</v>
      </c>
      <c r="L69" s="35" t="str">
        <f t="shared" si="2"/>
        <v>USD,20210620,234810,240440,234690,239600,1,1,1</v>
      </c>
    </row>
    <row r="70" spans="1:12">
      <c r="A70" s="215">
        <v>240470</v>
      </c>
      <c r="B70" s="215">
        <v>239450</v>
      </c>
      <c r="C70" s="215">
        <v>244640</v>
      </c>
      <c r="D70" s="215">
        <v>234890</v>
      </c>
      <c r="E70">
        <v>9400</v>
      </c>
      <c r="F70" s="257">
        <v>0.04</v>
      </c>
      <c r="G70" s="158">
        <v>44366</v>
      </c>
      <c r="H70" t="s">
        <v>6327</v>
      </c>
      <c r="I70" s="35" t="s">
        <v>6308</v>
      </c>
      <c r="L70" s="35" t="str">
        <f t="shared" si="2"/>
        <v>USD,20210619,244490,244640,234690,234890,1,1,1</v>
      </c>
    </row>
    <row r="71" spans="1:12">
      <c r="A71" s="215">
        <v>239970</v>
      </c>
      <c r="B71" s="215">
        <v>239950</v>
      </c>
      <c r="C71" s="215">
        <v>244640</v>
      </c>
      <c r="D71" s="215">
        <v>244290</v>
      </c>
      <c r="E71">
        <v>2540</v>
      </c>
      <c r="F71" s="99">
        <v>1.0500000000000001E-2</v>
      </c>
      <c r="G71" s="158">
        <v>44364</v>
      </c>
      <c r="H71" t="s">
        <v>6328</v>
      </c>
      <c r="I71" s="35" t="s">
        <v>6308</v>
      </c>
      <c r="L71" s="35" t="str">
        <f t="shared" si="2"/>
        <v>USD,20210617,242010,244640,241950,244290,1,1,1</v>
      </c>
    </row>
    <row r="72" spans="1:12">
      <c r="A72" s="215">
        <v>240970</v>
      </c>
      <c r="B72" s="215">
        <v>238550</v>
      </c>
      <c r="C72" s="215">
        <v>242250</v>
      </c>
      <c r="D72" s="215">
        <v>241750</v>
      </c>
      <c r="E72">
        <v>1260</v>
      </c>
      <c r="F72" s="99">
        <v>5.1999999999999998E-3</v>
      </c>
      <c r="G72" s="158">
        <v>44363</v>
      </c>
      <c r="H72" t="s">
        <v>6329</v>
      </c>
      <c r="I72" s="35" t="s">
        <v>6308</v>
      </c>
      <c r="L72" s="35" t="str">
        <f t="shared" si="2"/>
        <v>USD,20210616,240470,242250,239450,241750,1,1,1</v>
      </c>
    </row>
    <row r="73" spans="1:12">
      <c r="A73" s="215">
        <v>238970</v>
      </c>
      <c r="B73" s="215">
        <v>238940</v>
      </c>
      <c r="C73" s="215">
        <v>240050</v>
      </c>
      <c r="D73" s="215">
        <v>240490</v>
      </c>
      <c r="E73">
        <v>770</v>
      </c>
      <c r="F73" s="99">
        <v>3.2000000000000002E-3</v>
      </c>
      <c r="G73" s="158">
        <v>44362</v>
      </c>
      <c r="H73" t="s">
        <v>6330</v>
      </c>
      <c r="I73" s="35" t="s">
        <v>6308</v>
      </c>
      <c r="L73" s="35" t="str">
        <f t="shared" si="2"/>
        <v>USD,20210615,239970,240050,239950,240490,1,1,1</v>
      </c>
    </row>
    <row r="74" spans="1:12">
      <c r="A74" s="215">
        <v>236830</v>
      </c>
      <c r="B74" s="215">
        <v>236140</v>
      </c>
      <c r="C74" s="215">
        <v>241050</v>
      </c>
      <c r="D74" s="215">
        <v>239720</v>
      </c>
      <c r="E74">
        <v>1310</v>
      </c>
      <c r="F74" s="99">
        <v>5.4999999999999997E-3</v>
      </c>
      <c r="G74" s="158">
        <v>44361</v>
      </c>
      <c r="H74" t="s">
        <v>6331</v>
      </c>
      <c r="I74" s="35" t="s">
        <v>6308</v>
      </c>
      <c r="L74" s="35" t="str">
        <f t="shared" si="2"/>
        <v>USD,20210614,240970,241050,238550,239720,1,1,1</v>
      </c>
    </row>
    <row r="75" spans="1:12">
      <c r="A75" s="215">
        <v>240010</v>
      </c>
      <c r="B75" s="215">
        <v>239140</v>
      </c>
      <c r="C75" s="215">
        <v>241250</v>
      </c>
      <c r="D75" s="215">
        <v>241030</v>
      </c>
      <c r="E75">
        <v>3280</v>
      </c>
      <c r="F75" s="99">
        <v>1.38E-2</v>
      </c>
      <c r="G75" s="158">
        <v>44360</v>
      </c>
      <c r="H75" t="s">
        <v>6332</v>
      </c>
      <c r="I75" s="35" t="s">
        <v>6308</v>
      </c>
      <c r="L75" s="35" t="str">
        <f t="shared" si="2"/>
        <v>USD,20210613,238970,241250,238940,241030,1,1,1</v>
      </c>
    </row>
    <row r="76" spans="1:12">
      <c r="A76" s="215">
        <v>235480</v>
      </c>
      <c r="B76" s="215">
        <v>235440</v>
      </c>
      <c r="C76" s="215">
        <v>238350</v>
      </c>
      <c r="D76" s="215">
        <v>237750</v>
      </c>
      <c r="E76">
        <v>1480</v>
      </c>
      <c r="F76" s="99">
        <v>6.1999999999999998E-3</v>
      </c>
      <c r="G76" s="158">
        <v>44359</v>
      </c>
      <c r="H76" t="s">
        <v>6333</v>
      </c>
      <c r="I76" s="35" t="s">
        <v>6308</v>
      </c>
      <c r="L76" s="35" t="str">
        <f t="shared" si="2"/>
        <v>USD,20210612,236830,238350,236140,237750,1,1,1</v>
      </c>
    </row>
    <row r="77" spans="1:12">
      <c r="A77" s="215">
        <v>235890</v>
      </c>
      <c r="B77" s="215">
        <v>234820</v>
      </c>
      <c r="C77" s="215">
        <v>240450</v>
      </c>
      <c r="D77" s="215">
        <v>239230</v>
      </c>
      <c r="E77">
        <v>2210</v>
      </c>
      <c r="F77" s="99">
        <v>9.1999999999999998E-3</v>
      </c>
      <c r="G77" s="158">
        <v>44357</v>
      </c>
      <c r="H77" t="s">
        <v>6334</v>
      </c>
      <c r="I77" s="35" t="s">
        <v>6308</v>
      </c>
      <c r="L77" s="35" t="str">
        <f t="shared" si="2"/>
        <v>USD,20210610,240010,240450,239140,239230,1,1,1</v>
      </c>
    </row>
    <row r="78" spans="1:12">
      <c r="A78" s="215">
        <v>234340</v>
      </c>
      <c r="B78" s="215">
        <v>234240</v>
      </c>
      <c r="C78" s="215">
        <v>241550</v>
      </c>
      <c r="D78" s="215">
        <v>241440</v>
      </c>
      <c r="E78">
        <v>5950</v>
      </c>
      <c r="F78" s="99">
        <v>2.53E-2</v>
      </c>
      <c r="G78" s="158">
        <v>44356</v>
      </c>
      <c r="H78" t="s">
        <v>6335</v>
      </c>
      <c r="I78" s="35" t="s">
        <v>6308</v>
      </c>
      <c r="L78" s="35" t="str">
        <f t="shared" si="2"/>
        <v>USD,20210609,235480,241550,235440,241440,1,1,1</v>
      </c>
    </row>
    <row r="79" spans="1:12">
      <c r="A79" s="215">
        <v>234330</v>
      </c>
      <c r="B79" s="215">
        <v>233900</v>
      </c>
      <c r="C79" s="215">
        <v>235960</v>
      </c>
      <c r="D79" s="215">
        <v>235490</v>
      </c>
      <c r="E79">
        <v>460</v>
      </c>
      <c r="F79" s="99">
        <v>2E-3</v>
      </c>
      <c r="G79" s="158">
        <v>44355</v>
      </c>
      <c r="H79" t="s">
        <v>6336</v>
      </c>
      <c r="I79" s="35" t="s">
        <v>6308</v>
      </c>
      <c r="L79" s="35" t="str">
        <f t="shared" si="2"/>
        <v>USD,20210608,235890,235960,234820,235490,1,1,1</v>
      </c>
    </row>
    <row r="80" spans="1:12">
      <c r="A80" s="215">
        <v>234060</v>
      </c>
      <c r="B80" s="215">
        <v>228150</v>
      </c>
      <c r="C80" s="215">
        <v>235960</v>
      </c>
      <c r="D80" s="215">
        <v>235950</v>
      </c>
      <c r="E80">
        <v>1620</v>
      </c>
      <c r="F80" s="99">
        <v>6.8999999999999999E-3</v>
      </c>
      <c r="G80" s="158">
        <v>44354</v>
      </c>
      <c r="H80" t="s">
        <v>6337</v>
      </c>
      <c r="I80" s="35" t="s">
        <v>6308</v>
      </c>
      <c r="L80" s="35" t="str">
        <f t="shared" si="2"/>
        <v>USD,20210607,234340,235960,234240,235950,1,1,1</v>
      </c>
    </row>
    <row r="81" spans="1:12">
      <c r="A81" s="215">
        <v>234000</v>
      </c>
      <c r="B81" s="215">
        <v>233970</v>
      </c>
      <c r="C81" s="215">
        <v>234350</v>
      </c>
      <c r="D81" s="215">
        <v>234330</v>
      </c>
      <c r="E81">
        <v>90</v>
      </c>
      <c r="F81" s="99">
        <v>4.0000000000000002E-4</v>
      </c>
      <c r="G81" s="158">
        <v>44350</v>
      </c>
      <c r="H81" t="s">
        <v>6338</v>
      </c>
      <c r="I81" s="35" t="s">
        <v>6308</v>
      </c>
      <c r="L81" s="35" t="str">
        <f t="shared" si="2"/>
        <v>USD,20210603,234330,234350,233900,234330,1,1,1</v>
      </c>
    </row>
    <row r="82" spans="1:12">
      <c r="A82" s="215">
        <v>238590</v>
      </c>
      <c r="B82" s="215">
        <v>232950</v>
      </c>
      <c r="C82" s="215">
        <v>234360</v>
      </c>
      <c r="D82" s="215">
        <v>234240</v>
      </c>
      <c r="E82">
        <v>80</v>
      </c>
      <c r="F82" s="99">
        <v>2.9999999999999997E-4</v>
      </c>
      <c r="G82" s="158">
        <v>44349</v>
      </c>
      <c r="H82" t="s">
        <v>6339</v>
      </c>
      <c r="I82" s="35" t="s">
        <v>6308</v>
      </c>
      <c r="L82" s="35" t="str">
        <f t="shared" si="2"/>
        <v>USD,20210602,234060,234360,228150,234240,1,1,1</v>
      </c>
    </row>
    <row r="83" spans="1:12">
      <c r="A83" s="215">
        <v>234640</v>
      </c>
      <c r="B83" s="215">
        <v>234550</v>
      </c>
      <c r="C83" s="215">
        <v>238660</v>
      </c>
      <c r="D83" s="215">
        <v>234160</v>
      </c>
      <c r="E83">
        <v>100</v>
      </c>
      <c r="F83" s="99">
        <v>4.0000000000000002E-4</v>
      </c>
      <c r="G83" s="158">
        <v>44348</v>
      </c>
      <c r="H83" t="s">
        <v>6340</v>
      </c>
      <c r="I83" s="35" t="s">
        <v>6308</v>
      </c>
      <c r="L83" s="35" t="str">
        <f t="shared" si="2"/>
        <v>USD,20210601,234000,238660,233970,234160,1,1,1</v>
      </c>
    </row>
    <row r="84" spans="1:12">
      <c r="A84" s="215">
        <v>226560</v>
      </c>
      <c r="B84" s="215">
        <v>226460</v>
      </c>
      <c r="C84" s="215">
        <v>238660</v>
      </c>
      <c r="D84" s="215">
        <v>234060</v>
      </c>
      <c r="E84">
        <v>4510</v>
      </c>
      <c r="F84" s="99">
        <v>1.9300000000000001E-2</v>
      </c>
      <c r="G84" s="158">
        <v>44347</v>
      </c>
      <c r="H84" t="s">
        <v>6341</v>
      </c>
      <c r="I84" s="35" t="s">
        <v>6308</v>
      </c>
      <c r="L84" s="35" t="str">
        <f t="shared" si="2"/>
        <v>USD,20210531,238590,238660,232950,234060,1,1,1</v>
      </c>
    </row>
    <row r="85" spans="1:12">
      <c r="A85" s="215">
        <v>225260</v>
      </c>
      <c r="B85" s="215">
        <v>225170</v>
      </c>
      <c r="C85" s="215">
        <v>238660</v>
      </c>
      <c r="D85" s="215">
        <v>238570</v>
      </c>
      <c r="E85">
        <v>3910</v>
      </c>
      <c r="F85" s="99">
        <v>1.67E-2</v>
      </c>
      <c r="G85" s="158">
        <v>44346</v>
      </c>
      <c r="H85" t="s">
        <v>6342</v>
      </c>
      <c r="I85" s="35" t="s">
        <v>6308</v>
      </c>
      <c r="L85" s="35" t="str">
        <f t="shared" si="2"/>
        <v>USD,20210530,234640,238660,234550,238570,1,1,1</v>
      </c>
    </row>
    <row r="86" spans="1:12">
      <c r="A86" s="215">
        <v>224190</v>
      </c>
      <c r="B86" s="215">
        <v>224100</v>
      </c>
      <c r="C86" s="215">
        <v>234660</v>
      </c>
      <c r="D86" s="215">
        <v>234660</v>
      </c>
      <c r="E86" t="s">
        <v>6307</v>
      </c>
      <c r="F86" t="s">
        <v>6307</v>
      </c>
      <c r="G86" s="158">
        <v>44345</v>
      </c>
      <c r="H86" t="s">
        <v>6343</v>
      </c>
      <c r="I86" s="35" t="s">
        <v>6308</v>
      </c>
      <c r="L86" s="35" t="str">
        <f t="shared" si="2"/>
        <v>USD,20210529,226560,234660,226460,234660,1,1,1</v>
      </c>
    </row>
    <row r="87" spans="1:12">
      <c r="A87" s="215">
        <v>224120</v>
      </c>
      <c r="B87" s="215">
        <v>223150</v>
      </c>
      <c r="C87" s="215">
        <v>231470</v>
      </c>
      <c r="D87" s="215">
        <v>231470</v>
      </c>
      <c r="E87">
        <v>6310</v>
      </c>
      <c r="F87" s="99">
        <v>2.8000000000000001E-2</v>
      </c>
      <c r="G87" s="158">
        <v>44343</v>
      </c>
      <c r="H87" t="s">
        <v>6344</v>
      </c>
      <c r="I87" s="35" t="s">
        <v>6308</v>
      </c>
      <c r="L87" s="35" t="str">
        <f t="shared" si="2"/>
        <v>USD,20210527,225260,231470,225170,231470,1,1,1</v>
      </c>
    </row>
    <row r="88" spans="1:12">
      <c r="A88" s="215">
        <v>223590</v>
      </c>
      <c r="B88" s="215">
        <v>223490</v>
      </c>
      <c r="C88" s="215">
        <v>225270</v>
      </c>
      <c r="D88" s="215">
        <v>225160</v>
      </c>
      <c r="E88">
        <v>1060</v>
      </c>
      <c r="F88" s="99">
        <v>4.7000000000000002E-3</v>
      </c>
      <c r="G88" s="158">
        <v>44342</v>
      </c>
      <c r="H88" t="s">
        <v>6345</v>
      </c>
      <c r="I88" s="35" t="s">
        <v>6308</v>
      </c>
      <c r="L88" s="35" t="str">
        <f t="shared" si="2"/>
        <v>USD,20210526,224190,225270,224100,225160,1,1,1</v>
      </c>
    </row>
    <row r="89" spans="1:12">
      <c r="A89" s="215">
        <v>223440</v>
      </c>
      <c r="B89" s="215">
        <v>223390</v>
      </c>
      <c r="C89" s="215">
        <v>224430</v>
      </c>
      <c r="D89" s="215">
        <v>224100</v>
      </c>
      <c r="E89">
        <v>10</v>
      </c>
      <c r="F89" t="s">
        <v>6307</v>
      </c>
      <c r="G89" s="158">
        <v>44341</v>
      </c>
      <c r="H89" t="s">
        <v>6346</v>
      </c>
      <c r="I89" s="35" t="s">
        <v>6308</v>
      </c>
      <c r="L89" s="35" t="str">
        <f t="shared" si="2"/>
        <v>USD,20210525,224120,224430,223150,224100,1,1,1</v>
      </c>
    </row>
    <row r="90" spans="1:12">
      <c r="A90" s="215">
        <v>222980</v>
      </c>
      <c r="B90" s="215">
        <v>222930</v>
      </c>
      <c r="C90" s="215">
        <v>225110</v>
      </c>
      <c r="D90" s="215">
        <v>224110</v>
      </c>
      <c r="E90">
        <v>600</v>
      </c>
      <c r="F90" s="99">
        <v>2.7000000000000001E-3</v>
      </c>
      <c r="G90" s="158">
        <v>44340</v>
      </c>
      <c r="H90" t="s">
        <v>6347</v>
      </c>
      <c r="I90" s="35" t="s">
        <v>6308</v>
      </c>
      <c r="L90" s="35" t="str">
        <f t="shared" si="2"/>
        <v>USD,20210524,223590,225110,223490,224110,1,1,1</v>
      </c>
    </row>
    <row r="91" spans="1:12">
      <c r="A91" s="215">
        <v>223990</v>
      </c>
      <c r="B91" s="215">
        <v>222930</v>
      </c>
      <c r="C91" s="215">
        <v>223990</v>
      </c>
      <c r="D91" s="215">
        <v>223510</v>
      </c>
      <c r="E91">
        <v>20</v>
      </c>
      <c r="F91" s="99">
        <v>1E-4</v>
      </c>
      <c r="G91" s="158">
        <v>44339</v>
      </c>
      <c r="H91" t="s">
        <v>6348</v>
      </c>
      <c r="I91" s="35" t="s">
        <v>6308</v>
      </c>
      <c r="L91" s="35" t="str">
        <f t="shared" si="2"/>
        <v>USD,20210523,223440,223990,223390,223510,1,1,1</v>
      </c>
    </row>
    <row r="92" spans="1:12">
      <c r="A92" s="215">
        <v>225270</v>
      </c>
      <c r="B92" s="215">
        <v>221720</v>
      </c>
      <c r="C92" s="215">
        <v>223550</v>
      </c>
      <c r="D92" s="215">
        <v>223490</v>
      </c>
      <c r="E92">
        <v>490</v>
      </c>
      <c r="F92" s="99">
        <v>2.2000000000000001E-3</v>
      </c>
      <c r="G92" s="158">
        <v>44338</v>
      </c>
      <c r="H92" t="s">
        <v>6349</v>
      </c>
      <c r="I92" s="35" t="s">
        <v>6308</v>
      </c>
      <c r="L92" s="35" t="str">
        <f t="shared" si="2"/>
        <v>USD,20210522,222980,223550,222930,223490,1,1,1</v>
      </c>
    </row>
    <row r="93" spans="1:12">
      <c r="A93" s="215">
        <v>222240</v>
      </c>
      <c r="B93" s="215">
        <v>222140</v>
      </c>
      <c r="C93" s="215">
        <v>224020</v>
      </c>
      <c r="D93" s="215">
        <v>223000</v>
      </c>
      <c r="E93">
        <v>1210</v>
      </c>
      <c r="F93" s="99">
        <v>5.4999999999999997E-3</v>
      </c>
      <c r="G93" s="158">
        <v>44336</v>
      </c>
      <c r="H93" t="s">
        <v>6350</v>
      </c>
      <c r="I93" s="35" t="s">
        <v>6308</v>
      </c>
      <c r="L93" s="35" t="str">
        <f t="shared" si="2"/>
        <v>USD,20210520,223990,224020,222930,223000,1,1,1</v>
      </c>
    </row>
    <row r="94" spans="1:12">
      <c r="A94" s="215">
        <v>224160</v>
      </c>
      <c r="B94" s="215">
        <v>222140</v>
      </c>
      <c r="C94" s="215">
        <v>225380</v>
      </c>
      <c r="D94" s="215">
        <v>221790</v>
      </c>
      <c r="E94">
        <v>3550</v>
      </c>
      <c r="F94" s="99">
        <v>1.6E-2</v>
      </c>
      <c r="G94" s="158">
        <v>44335</v>
      </c>
      <c r="H94" t="s">
        <v>6351</v>
      </c>
      <c r="I94" s="35" t="s">
        <v>6308</v>
      </c>
      <c r="L94" s="35" t="str">
        <f t="shared" si="2"/>
        <v>USD,20210519,225270,225380,221720,221790,1,1,1</v>
      </c>
    </row>
    <row r="95" spans="1:12">
      <c r="A95" s="215">
        <v>220520</v>
      </c>
      <c r="B95" s="215">
        <v>220410</v>
      </c>
      <c r="C95" s="215">
        <v>225380</v>
      </c>
      <c r="D95" s="215">
        <v>225340</v>
      </c>
      <c r="E95">
        <v>3150</v>
      </c>
      <c r="F95" s="99">
        <v>1.4200000000000001E-2</v>
      </c>
      <c r="G95" s="158">
        <v>44334</v>
      </c>
      <c r="H95" t="s">
        <v>6353</v>
      </c>
      <c r="I95" s="35" t="s">
        <v>6308</v>
      </c>
      <c r="L95" s="35" t="str">
        <f t="shared" si="2"/>
        <v>USD,20210518,222240,225380,222140,225340,1,1,1</v>
      </c>
    </row>
    <row r="96" spans="1:12">
      <c r="A96" s="215">
        <v>220760</v>
      </c>
      <c r="B96" s="215">
        <v>220410</v>
      </c>
      <c r="C96" s="215">
        <v>225270</v>
      </c>
      <c r="D96" s="215">
        <v>222190</v>
      </c>
      <c r="E96">
        <v>1950</v>
      </c>
      <c r="F96" s="99">
        <v>8.8000000000000005E-3</v>
      </c>
      <c r="G96" s="158">
        <v>44333</v>
      </c>
      <c r="H96" t="s">
        <v>6354</v>
      </c>
      <c r="I96" s="35" t="s">
        <v>6308</v>
      </c>
      <c r="L96" s="35" t="str">
        <f t="shared" si="2"/>
        <v>USD,20210517,224160,225270,222140,222190,1,1,1</v>
      </c>
    </row>
    <row r="97" spans="1:12">
      <c r="A97" s="215">
        <v>219790</v>
      </c>
      <c r="B97" s="215">
        <v>216130</v>
      </c>
      <c r="C97" s="215">
        <v>224160</v>
      </c>
      <c r="D97" s="215">
        <v>224140</v>
      </c>
      <c r="E97">
        <v>3640</v>
      </c>
      <c r="F97" s="99">
        <v>1.6500000000000001E-2</v>
      </c>
      <c r="G97" s="158">
        <v>44332</v>
      </c>
      <c r="H97" t="s">
        <v>6355</v>
      </c>
      <c r="I97" s="35" t="s">
        <v>6308</v>
      </c>
      <c r="L97" s="35" t="str">
        <f t="shared" si="2"/>
        <v>USD,20210516,220520,224160,220410,224140,1,1,1</v>
      </c>
    </row>
    <row r="98" spans="1:12">
      <c r="A98" s="215">
        <v>221860</v>
      </c>
      <c r="B98" s="215">
        <v>219750</v>
      </c>
      <c r="C98" s="215">
        <v>221880</v>
      </c>
      <c r="D98" s="215">
        <v>220500</v>
      </c>
      <c r="E98">
        <v>4370</v>
      </c>
      <c r="F98" s="99">
        <v>2.0199999999999999E-2</v>
      </c>
      <c r="G98" s="158">
        <v>44331</v>
      </c>
      <c r="H98" t="s">
        <v>6356</v>
      </c>
      <c r="I98" s="35" t="s">
        <v>6308</v>
      </c>
      <c r="L98" s="35" t="str">
        <f t="shared" si="2"/>
        <v>USD,20210515,220760,221880,220410,220500,1,1,1</v>
      </c>
    </row>
    <row r="99" spans="1:12">
      <c r="A99" s="215">
        <v>216080</v>
      </c>
      <c r="B99" s="215">
        <v>216080</v>
      </c>
      <c r="C99" s="215">
        <v>219860</v>
      </c>
      <c r="D99" s="215">
        <v>216130</v>
      </c>
      <c r="E99">
        <v>3620</v>
      </c>
      <c r="F99" s="99">
        <v>1.67E-2</v>
      </c>
      <c r="G99" s="158">
        <v>44329</v>
      </c>
      <c r="H99" t="s">
        <v>6357</v>
      </c>
      <c r="I99" s="35" t="s">
        <v>6308</v>
      </c>
      <c r="L99" s="35" t="str">
        <f t="shared" si="2"/>
        <v>USD,20210513,219790,219860,216130,216130,1,1,1</v>
      </c>
    </row>
    <row r="100" spans="1:12">
      <c r="A100" s="215">
        <v>207240</v>
      </c>
      <c r="B100" s="215">
        <v>207190</v>
      </c>
      <c r="C100" s="215">
        <v>221950</v>
      </c>
      <c r="D100" s="215">
        <v>219750</v>
      </c>
      <c r="E100">
        <v>2100</v>
      </c>
      <c r="F100" s="99">
        <v>9.5999999999999992E-3</v>
      </c>
      <c r="G100" s="158">
        <v>44328</v>
      </c>
      <c r="H100" t="s">
        <v>6358</v>
      </c>
      <c r="I100" s="35" t="s">
        <v>6308</v>
      </c>
      <c r="L100" s="35" t="str">
        <f t="shared" si="2"/>
        <v>USD,20210512,221860,221950,219750,219750,1,1,1</v>
      </c>
    </row>
    <row r="101" spans="1:12">
      <c r="A101" s="215">
        <v>206450</v>
      </c>
      <c r="B101" s="215">
        <v>206370</v>
      </c>
      <c r="C101" s="215">
        <v>223410</v>
      </c>
      <c r="D101" s="215">
        <v>221850</v>
      </c>
      <c r="E101">
        <v>5720</v>
      </c>
      <c r="F101" s="99">
        <v>2.6499999999999999E-2</v>
      </c>
      <c r="G101" s="158">
        <v>44327</v>
      </c>
      <c r="H101" t="s">
        <v>6359</v>
      </c>
      <c r="I101" s="35" t="s">
        <v>6308</v>
      </c>
      <c r="L101" s="35" t="str">
        <f t="shared" si="2"/>
        <v>USD,20210511,216080,223410,216080,221850,1,1,1</v>
      </c>
    </row>
    <row r="102" spans="1:12">
      <c r="A102" s="215">
        <v>206390</v>
      </c>
      <c r="B102" s="215">
        <v>206370</v>
      </c>
      <c r="C102" s="215">
        <v>217040</v>
      </c>
      <c r="D102" s="215">
        <v>216130</v>
      </c>
      <c r="E102">
        <v>8870</v>
      </c>
      <c r="F102" s="99">
        <v>4.2799999999999998E-2</v>
      </c>
      <c r="G102" s="158">
        <v>44326</v>
      </c>
      <c r="H102" t="s">
        <v>6360</v>
      </c>
      <c r="I102" s="35" t="s">
        <v>6308</v>
      </c>
      <c r="L102" s="35" t="str">
        <f t="shared" si="2"/>
        <v>USD,20210510,207240,217040,207190,216130,1,1,1</v>
      </c>
    </row>
    <row r="103" spans="1:12">
      <c r="A103" s="215">
        <v>206440</v>
      </c>
      <c r="B103" s="215">
        <v>206370</v>
      </c>
      <c r="C103" s="215">
        <v>207300</v>
      </c>
      <c r="D103" s="215">
        <v>207260</v>
      </c>
      <c r="E103">
        <v>890</v>
      </c>
      <c r="F103" s="99">
        <v>4.3E-3</v>
      </c>
      <c r="G103" s="158">
        <v>44325</v>
      </c>
      <c r="H103" t="s">
        <v>6361</v>
      </c>
      <c r="I103" s="35" t="s">
        <v>6308</v>
      </c>
      <c r="L103" s="35" t="str">
        <f t="shared" si="2"/>
        <v>USD,20210509,206450,207300,206370,207260,1,1,1</v>
      </c>
    </row>
    <row r="104" spans="1:12">
      <c r="A104" s="215">
        <v>214080</v>
      </c>
      <c r="B104" s="215">
        <v>206210</v>
      </c>
      <c r="C104" s="215">
        <v>206480</v>
      </c>
      <c r="D104" s="215">
        <v>206370</v>
      </c>
      <c r="E104">
        <v>110</v>
      </c>
      <c r="F104" s="99">
        <v>5.0000000000000001E-4</v>
      </c>
      <c r="G104" s="158">
        <v>44324</v>
      </c>
      <c r="H104" t="s">
        <v>6362</v>
      </c>
      <c r="I104" s="35" t="s">
        <v>6308</v>
      </c>
      <c r="L104" s="35" t="str">
        <f t="shared" si="2"/>
        <v>USD,20210508,206390,206480,206370,206370,1,1,1</v>
      </c>
    </row>
    <row r="105" spans="1:12">
      <c r="A105" s="215">
        <v>218430</v>
      </c>
      <c r="B105" s="215">
        <v>217260</v>
      </c>
      <c r="C105" s="215">
        <v>206480</v>
      </c>
      <c r="D105" s="215">
        <v>206480</v>
      </c>
      <c r="E105">
        <v>2970</v>
      </c>
      <c r="F105" s="99">
        <v>1.44E-2</v>
      </c>
      <c r="G105" s="158">
        <v>44322</v>
      </c>
      <c r="H105" t="s">
        <v>6363</v>
      </c>
      <c r="I105" s="35" t="s">
        <v>6308</v>
      </c>
      <c r="L105" s="35" t="str">
        <f t="shared" si="2"/>
        <v>USD,20210506,206440,206480,206370,206480,1,1,1</v>
      </c>
    </row>
    <row r="106" spans="1:12">
      <c r="A106" s="215">
        <v>229110</v>
      </c>
      <c r="B106" s="215">
        <v>218380</v>
      </c>
      <c r="C106" s="215">
        <v>214080</v>
      </c>
      <c r="D106" s="215">
        <v>209450</v>
      </c>
      <c r="E106">
        <v>7860</v>
      </c>
      <c r="F106" s="99">
        <v>3.7499999999999999E-2</v>
      </c>
      <c r="G106" s="158">
        <v>44321</v>
      </c>
      <c r="H106" t="s">
        <v>6364</v>
      </c>
      <c r="I106" s="35" t="s">
        <v>6308</v>
      </c>
      <c r="L106" s="35" t="str">
        <f t="shared" si="2"/>
        <v>USD,20210505,214080,214080,206210,209450,1,1,1</v>
      </c>
    </row>
    <row r="107" spans="1:12">
      <c r="A107" s="215">
        <v>232340</v>
      </c>
      <c r="B107" s="215">
        <v>229020</v>
      </c>
      <c r="C107" s="215">
        <v>218490</v>
      </c>
      <c r="D107" s="215">
        <v>217310</v>
      </c>
      <c r="E107">
        <v>1070</v>
      </c>
      <c r="F107" s="99">
        <v>4.8999999999999998E-3</v>
      </c>
      <c r="G107" s="158">
        <v>44319</v>
      </c>
      <c r="H107" t="s">
        <v>6365</v>
      </c>
      <c r="I107" s="35" t="s">
        <v>6308</v>
      </c>
      <c r="L107" s="35" t="str">
        <f t="shared" si="2"/>
        <v>USD,20210503,218430,218490,217260,217310,1,1,1</v>
      </c>
    </row>
    <row r="108" spans="1:12">
      <c r="A108" s="215">
        <v>232410</v>
      </c>
      <c r="B108" s="215">
        <v>232310</v>
      </c>
      <c r="C108" s="215">
        <v>229130</v>
      </c>
      <c r="D108" s="215">
        <v>218380</v>
      </c>
      <c r="E108">
        <v>10720</v>
      </c>
      <c r="F108" s="99">
        <v>4.9099999999999998E-2</v>
      </c>
      <c r="G108" s="158">
        <v>44318</v>
      </c>
      <c r="H108" t="s">
        <v>6366</v>
      </c>
      <c r="I108" s="35" t="s">
        <v>6308</v>
      </c>
      <c r="L108" s="35" t="str">
        <f t="shared" si="2"/>
        <v>USD,20210502,229110,229130,218380,218380,1,1,1</v>
      </c>
    </row>
    <row r="109" spans="1:12">
      <c r="A109" s="215">
        <v>232640</v>
      </c>
      <c r="B109" s="215">
        <v>232310</v>
      </c>
      <c r="C109" s="215">
        <v>232420</v>
      </c>
      <c r="D109" s="215">
        <v>229100</v>
      </c>
      <c r="E109">
        <v>3210</v>
      </c>
      <c r="F109" s="99">
        <v>1.4E-2</v>
      </c>
      <c r="G109" s="158">
        <v>44317</v>
      </c>
      <c r="H109" t="s">
        <v>6367</v>
      </c>
      <c r="I109" s="35" t="s">
        <v>6308</v>
      </c>
      <c r="L109" s="35" t="str">
        <f t="shared" si="2"/>
        <v>USD,20210501,232340,232420,229020,229100,1,1,1</v>
      </c>
    </row>
    <row r="110" spans="1:12">
      <c r="A110" s="215">
        <v>232770</v>
      </c>
      <c r="B110" s="215">
        <v>232540</v>
      </c>
      <c r="C110" s="215">
        <v>232420</v>
      </c>
      <c r="D110" s="215">
        <v>232310</v>
      </c>
      <c r="E110">
        <v>20</v>
      </c>
      <c r="F110" s="99">
        <v>1E-4</v>
      </c>
      <c r="G110" s="158">
        <v>44315</v>
      </c>
      <c r="H110" t="s">
        <v>6368</v>
      </c>
      <c r="I110" s="35" t="s">
        <v>6308</v>
      </c>
      <c r="L110" s="35" t="str">
        <f t="shared" si="2"/>
        <v>USD,20210429,232410,232420,232310,232310,1,1,1</v>
      </c>
    </row>
    <row r="111" spans="1:12">
      <c r="A111" s="215">
        <v>233380</v>
      </c>
      <c r="B111" s="215">
        <v>232750</v>
      </c>
      <c r="C111" s="215">
        <v>232650</v>
      </c>
      <c r="D111" s="215">
        <v>232330</v>
      </c>
      <c r="E111">
        <v>280</v>
      </c>
      <c r="F111" s="99">
        <v>1.1999999999999999E-3</v>
      </c>
      <c r="G111" s="158">
        <v>44314</v>
      </c>
      <c r="H111" t="s">
        <v>6369</v>
      </c>
      <c r="I111" s="35" t="s">
        <v>6308</v>
      </c>
      <c r="L111" s="35" t="str">
        <f t="shared" si="2"/>
        <v>USD,20210428,232640,232650,232310,232330,1,1,1</v>
      </c>
    </row>
    <row r="112" spans="1:12">
      <c r="A112" s="215">
        <v>233280</v>
      </c>
      <c r="B112" s="215">
        <v>233280</v>
      </c>
      <c r="C112" s="215">
        <v>234090</v>
      </c>
      <c r="D112" s="215">
        <v>232610</v>
      </c>
      <c r="E112">
        <v>150</v>
      </c>
      <c r="F112" s="99">
        <v>5.9999999999999995E-4</v>
      </c>
      <c r="G112" s="158">
        <v>44313</v>
      </c>
      <c r="H112" t="s">
        <v>6370</v>
      </c>
      <c r="I112" s="35" t="s">
        <v>6308</v>
      </c>
      <c r="L112" s="35" t="str">
        <f t="shared" si="2"/>
        <v>USD,20210427,232770,234090,232540,232610,1,1,1</v>
      </c>
    </row>
    <row r="113" spans="1:12">
      <c r="A113" s="215">
        <v>233350</v>
      </c>
      <c r="B113" s="215">
        <v>233280</v>
      </c>
      <c r="C113" s="215">
        <v>233390</v>
      </c>
      <c r="D113" s="215">
        <v>232760</v>
      </c>
      <c r="E113">
        <v>630</v>
      </c>
      <c r="F113" s="99">
        <v>2.7000000000000001E-3</v>
      </c>
      <c r="G113" s="158">
        <v>44312</v>
      </c>
      <c r="H113" t="s">
        <v>6371</v>
      </c>
      <c r="I113" s="35" t="s">
        <v>6308</v>
      </c>
      <c r="L113" s="35" t="str">
        <f t="shared" si="2"/>
        <v>USD,20210426,233380,233390,232750,232760,1,1,1</v>
      </c>
    </row>
    <row r="114" spans="1:12">
      <c r="A114" s="215">
        <v>233750</v>
      </c>
      <c r="B114" s="215">
        <v>233280</v>
      </c>
      <c r="C114" s="215">
        <v>233390</v>
      </c>
      <c r="D114" s="215">
        <v>233390</v>
      </c>
      <c r="E114">
        <v>20</v>
      </c>
      <c r="F114" s="99">
        <v>1E-4</v>
      </c>
      <c r="G114" s="158">
        <v>44311</v>
      </c>
      <c r="H114" t="s">
        <v>6372</v>
      </c>
      <c r="I114" s="35" t="s">
        <v>6308</v>
      </c>
      <c r="L114" s="35" t="str">
        <f t="shared" si="2"/>
        <v>USD,20210425,233280,233390,233280,233390,1,1,1</v>
      </c>
    </row>
    <row r="115" spans="1:12">
      <c r="A115" s="215">
        <v>233650</v>
      </c>
      <c r="B115" s="215">
        <v>233640</v>
      </c>
      <c r="C115" s="215">
        <v>233390</v>
      </c>
      <c r="D115" s="215">
        <v>233370</v>
      </c>
      <c r="E115">
        <v>70</v>
      </c>
      <c r="F115" s="99">
        <v>2.9999999999999997E-4</v>
      </c>
      <c r="G115" s="158">
        <v>44310</v>
      </c>
      <c r="H115" t="s">
        <v>6373</v>
      </c>
      <c r="I115" s="35" t="s">
        <v>6308</v>
      </c>
      <c r="L115" s="35" t="str">
        <f t="shared" si="2"/>
        <v>USD,20210424,233350,233390,233280,233370,1,1,1</v>
      </c>
    </row>
    <row r="116" spans="1:12">
      <c r="A116" s="215">
        <v>238190</v>
      </c>
      <c r="B116" s="215">
        <v>233640</v>
      </c>
      <c r="C116" s="215">
        <v>233750</v>
      </c>
      <c r="D116" s="215">
        <v>233300</v>
      </c>
      <c r="E116">
        <v>390</v>
      </c>
      <c r="F116" s="99">
        <v>1.6999999999999999E-3</v>
      </c>
      <c r="G116" s="158">
        <v>44308</v>
      </c>
      <c r="H116" t="s">
        <v>6352</v>
      </c>
      <c r="I116" s="35" t="s">
        <v>6308</v>
      </c>
      <c r="L116" s="35" t="str">
        <f t="shared" si="2"/>
        <v>USD,20210422,233750,233750,233280,233300,1,1,1</v>
      </c>
    </row>
    <row r="117" spans="1:12">
      <c r="A117" s="215">
        <v>238830</v>
      </c>
      <c r="B117" s="215">
        <v>238170</v>
      </c>
      <c r="C117" s="215">
        <v>233750</v>
      </c>
      <c r="D117" s="215">
        <v>233690</v>
      </c>
      <c r="E117">
        <v>50</v>
      </c>
      <c r="F117" s="99">
        <v>2.0000000000000001E-4</v>
      </c>
      <c r="G117" s="158">
        <v>44307</v>
      </c>
      <c r="H117" t="s">
        <v>6374</v>
      </c>
      <c r="I117" s="35" t="s">
        <v>6308</v>
      </c>
      <c r="L117" s="35" t="str">
        <f t="shared" si="2"/>
        <v>USD,20210421,233650,233750,233640,233690,1,1,1</v>
      </c>
    </row>
    <row r="118" spans="1:12">
      <c r="A118" s="215">
        <v>239900</v>
      </c>
      <c r="B118" s="215">
        <v>238750</v>
      </c>
      <c r="C118" s="215">
        <v>238280</v>
      </c>
      <c r="D118" s="215">
        <v>233740</v>
      </c>
      <c r="E118">
        <v>4430</v>
      </c>
      <c r="F118" s="99">
        <v>1.9E-2</v>
      </c>
      <c r="G118" s="158">
        <v>44306</v>
      </c>
      <c r="H118" t="s">
        <v>6375</v>
      </c>
      <c r="I118" s="35" t="s">
        <v>6308</v>
      </c>
      <c r="L118" s="35" t="str">
        <f t="shared" si="2"/>
        <v>USD,20210420,238190,238280,233640,233740,1,1,1</v>
      </c>
    </row>
    <row r="119" spans="1:12">
      <c r="A119" s="215">
        <v>239930</v>
      </c>
      <c r="B119" s="215">
        <v>239860</v>
      </c>
      <c r="C119" s="215">
        <v>238860</v>
      </c>
      <c r="D119" s="215">
        <v>238170</v>
      </c>
      <c r="E119">
        <v>650</v>
      </c>
      <c r="F119" s="99">
        <v>2.7000000000000001E-3</v>
      </c>
      <c r="G119" s="158">
        <v>44305</v>
      </c>
      <c r="H119" t="s">
        <v>6376</v>
      </c>
      <c r="I119" s="35" t="s">
        <v>6308</v>
      </c>
      <c r="L119" s="35" t="str">
        <f t="shared" ref="L119:L182" si="3">CONCATENATE("USD",I119,TEXT(G119,"yyyymmdd"),I119,A117,I119,C119,I119,B117,I119,D119,I119,"1,1,1")</f>
        <v>USD,20210419,238830,238860,238170,238170,1,1,1</v>
      </c>
    </row>
    <row r="120" spans="1:12">
      <c r="A120" s="215">
        <v>240920</v>
      </c>
      <c r="B120" s="215">
        <v>239860</v>
      </c>
      <c r="C120" s="215">
        <v>240000</v>
      </c>
      <c r="D120" s="215">
        <v>238820</v>
      </c>
      <c r="E120">
        <v>1110</v>
      </c>
      <c r="F120" s="99">
        <v>4.5999999999999999E-3</v>
      </c>
      <c r="G120" s="158">
        <v>44304</v>
      </c>
      <c r="H120" t="s">
        <v>6377</v>
      </c>
      <c r="I120" s="35" t="s">
        <v>6308</v>
      </c>
      <c r="L120" s="35" t="str">
        <f t="shared" si="3"/>
        <v>USD,20210418,239900,240000,238750,238820,1,1,1</v>
      </c>
    </row>
    <row r="121" spans="1:12">
      <c r="A121" s="215">
        <v>240800</v>
      </c>
      <c r="B121" s="215">
        <v>240790</v>
      </c>
      <c r="C121" s="215">
        <v>240000</v>
      </c>
      <c r="D121" s="215">
        <v>239930</v>
      </c>
      <c r="E121">
        <v>60</v>
      </c>
      <c r="F121" s="99">
        <v>2.9999999999999997E-4</v>
      </c>
      <c r="G121" s="158">
        <v>44303</v>
      </c>
      <c r="H121" t="s">
        <v>6378</v>
      </c>
      <c r="I121" s="35" t="s">
        <v>6308</v>
      </c>
      <c r="L121" s="35" t="str">
        <f t="shared" si="3"/>
        <v>USD,20210417,239930,240000,239860,239930,1,1,1</v>
      </c>
    </row>
    <row r="122" spans="1:12">
      <c r="A122" s="215">
        <v>243020</v>
      </c>
      <c r="B122" s="215">
        <v>240790</v>
      </c>
      <c r="C122" s="215">
        <v>241010</v>
      </c>
      <c r="D122" s="215">
        <v>239870</v>
      </c>
      <c r="E122">
        <v>2480</v>
      </c>
      <c r="F122" s="99">
        <v>1.03E-2</v>
      </c>
      <c r="G122" s="158">
        <v>44301</v>
      </c>
      <c r="H122" t="s">
        <v>6379</v>
      </c>
      <c r="I122" s="35" t="s">
        <v>6308</v>
      </c>
      <c r="L122" s="35" t="str">
        <f t="shared" si="3"/>
        <v>USD,20210415,240920,241010,239860,239870,1,1,1</v>
      </c>
    </row>
    <row r="123" spans="1:12">
      <c r="A123" s="215">
        <v>242920</v>
      </c>
      <c r="B123" s="215">
        <v>242520</v>
      </c>
      <c r="C123" s="215">
        <v>242390</v>
      </c>
      <c r="D123" s="215">
        <v>242350</v>
      </c>
      <c r="E123">
        <v>1450</v>
      </c>
      <c r="F123" s="99">
        <v>6.0000000000000001E-3</v>
      </c>
      <c r="G123" s="158">
        <v>44300</v>
      </c>
      <c r="H123" t="s">
        <v>6380</v>
      </c>
      <c r="I123" s="35" t="s">
        <v>6308</v>
      </c>
      <c r="L123" s="35" t="str">
        <f t="shared" si="3"/>
        <v>USD,20210414,240800,242390,240790,242350,1,1,1</v>
      </c>
    </row>
    <row r="124" spans="1:12">
      <c r="A124" s="215">
        <v>241950</v>
      </c>
      <c r="B124" s="215">
        <v>241860</v>
      </c>
      <c r="C124" s="215">
        <v>243060</v>
      </c>
      <c r="D124" s="215">
        <v>240900</v>
      </c>
      <c r="E124">
        <v>2060</v>
      </c>
      <c r="F124" s="99">
        <v>8.6E-3</v>
      </c>
      <c r="G124" s="158">
        <v>44299</v>
      </c>
      <c r="H124" t="s">
        <v>6381</v>
      </c>
      <c r="I124" s="35" t="s">
        <v>6308</v>
      </c>
      <c r="L124" s="35" t="str">
        <f t="shared" si="3"/>
        <v>USD,20210413,243020,243060,240790,240900,1,1,1</v>
      </c>
    </row>
    <row r="125" spans="1:12">
      <c r="A125" s="215">
        <v>242890</v>
      </c>
      <c r="B125" s="215">
        <v>241860</v>
      </c>
      <c r="C125" s="215">
        <v>243740</v>
      </c>
      <c r="D125" s="215">
        <v>242960</v>
      </c>
      <c r="E125">
        <v>110</v>
      </c>
      <c r="F125" s="99">
        <v>5.0000000000000001E-4</v>
      </c>
      <c r="G125" s="158">
        <v>44298</v>
      </c>
      <c r="H125" t="s">
        <v>6382</v>
      </c>
      <c r="I125" s="35" t="s">
        <v>6308</v>
      </c>
      <c r="L125" s="35" t="str">
        <f t="shared" si="3"/>
        <v>USD,20210412,242920,243740,242520,242960,1,1,1</v>
      </c>
    </row>
    <row r="126" spans="1:12">
      <c r="A126" s="215">
        <v>244730</v>
      </c>
      <c r="B126" s="215">
        <v>244620</v>
      </c>
      <c r="C126" s="215">
        <v>243930</v>
      </c>
      <c r="D126" s="215">
        <v>242850</v>
      </c>
      <c r="E126">
        <v>970</v>
      </c>
      <c r="F126" s="99">
        <v>4.0000000000000001E-3</v>
      </c>
      <c r="G126" s="158">
        <v>44297</v>
      </c>
      <c r="H126" t="s">
        <v>6383</v>
      </c>
      <c r="I126" s="35" t="s">
        <v>6308</v>
      </c>
      <c r="L126" s="35" t="str">
        <f t="shared" si="3"/>
        <v>USD,20210411,241950,243930,241860,242850,1,1,1</v>
      </c>
    </row>
    <row r="127" spans="1:12">
      <c r="A127" s="215">
        <v>247150</v>
      </c>
      <c r="B127" s="215">
        <v>244620</v>
      </c>
      <c r="C127" s="215">
        <v>243570</v>
      </c>
      <c r="D127" s="215">
        <v>241880</v>
      </c>
      <c r="E127">
        <v>2780</v>
      </c>
      <c r="F127" s="99">
        <v>1.15E-2</v>
      </c>
      <c r="G127" s="158">
        <v>44296</v>
      </c>
      <c r="H127" t="s">
        <v>6384</v>
      </c>
      <c r="I127" s="35" t="s">
        <v>6308</v>
      </c>
      <c r="L127" s="35" t="str">
        <f t="shared" si="3"/>
        <v>USD,20210410,242890,243570,241860,241880,1,1,1</v>
      </c>
    </row>
    <row r="128" spans="1:12">
      <c r="A128" s="215">
        <v>244100</v>
      </c>
      <c r="B128" s="215">
        <v>244010</v>
      </c>
      <c r="C128" s="215">
        <v>244730</v>
      </c>
      <c r="D128" s="215">
        <v>244660</v>
      </c>
      <c r="E128">
        <v>40</v>
      </c>
      <c r="F128" s="99">
        <v>2.0000000000000001E-4</v>
      </c>
      <c r="G128" s="158">
        <v>44294</v>
      </c>
      <c r="H128" t="s">
        <v>6385</v>
      </c>
      <c r="I128" s="35" t="s">
        <v>6308</v>
      </c>
      <c r="L128" s="35" t="str">
        <f t="shared" si="3"/>
        <v>USD,20210408,244730,244730,244620,244660,1,1,1</v>
      </c>
    </row>
    <row r="129" spans="1:12">
      <c r="A129" s="215">
        <v>242660</v>
      </c>
      <c r="B129" s="215">
        <v>242630</v>
      </c>
      <c r="C129" s="215">
        <v>247170</v>
      </c>
      <c r="D129" s="215">
        <v>244620</v>
      </c>
      <c r="E129">
        <v>2490</v>
      </c>
      <c r="F129" s="99">
        <v>1.0200000000000001E-2</v>
      </c>
      <c r="G129" s="158">
        <v>44293</v>
      </c>
      <c r="H129" t="s">
        <v>6386</v>
      </c>
      <c r="I129" s="35" t="s">
        <v>6308</v>
      </c>
      <c r="L129" s="35" t="str">
        <f t="shared" si="3"/>
        <v>USD,20210407,247150,247170,244620,244620,1,1,1</v>
      </c>
    </row>
    <row r="130" spans="1:12">
      <c r="A130" s="215">
        <v>244700</v>
      </c>
      <c r="B130" s="215">
        <v>242630</v>
      </c>
      <c r="C130" s="215">
        <v>247170</v>
      </c>
      <c r="D130" s="215">
        <v>247110</v>
      </c>
      <c r="E130">
        <v>3060</v>
      </c>
      <c r="F130" s="99">
        <v>1.2500000000000001E-2</v>
      </c>
      <c r="G130" s="158">
        <v>44292</v>
      </c>
      <c r="H130" t="s">
        <v>6387</v>
      </c>
      <c r="I130" s="35" t="s">
        <v>6308</v>
      </c>
      <c r="L130" s="35" t="str">
        <f t="shared" si="3"/>
        <v>USD,20210406,244100,247170,244010,247110,1,1,1</v>
      </c>
    </row>
    <row r="131" spans="1:12">
      <c r="A131" s="215">
        <v>252010</v>
      </c>
      <c r="B131" s="215">
        <v>244600</v>
      </c>
      <c r="C131" s="215">
        <v>245310</v>
      </c>
      <c r="D131" s="215">
        <v>244050</v>
      </c>
      <c r="E131">
        <v>1330</v>
      </c>
      <c r="F131" s="99">
        <v>5.4999999999999997E-3</v>
      </c>
      <c r="G131" s="158">
        <v>44291</v>
      </c>
      <c r="H131" t="s">
        <v>6388</v>
      </c>
      <c r="I131" s="35" t="s">
        <v>6308</v>
      </c>
      <c r="L131" s="35" t="str">
        <f t="shared" si="3"/>
        <v>USD,20210405,242660,245310,242630,244050,1,1,1</v>
      </c>
    </row>
    <row r="132" spans="1:12">
      <c r="A132" s="215">
        <v>252040</v>
      </c>
      <c r="B132" s="215">
        <v>251990</v>
      </c>
      <c r="C132" s="215">
        <v>244710</v>
      </c>
      <c r="D132" s="215">
        <v>242720</v>
      </c>
      <c r="E132">
        <v>1930</v>
      </c>
      <c r="F132" s="99">
        <v>8.0000000000000002E-3</v>
      </c>
      <c r="G132" s="158">
        <v>44290</v>
      </c>
      <c r="H132" t="s">
        <v>6389</v>
      </c>
      <c r="I132" s="35" t="s">
        <v>6308</v>
      </c>
      <c r="L132" s="35" t="str">
        <f t="shared" si="3"/>
        <v>USD,20210404,244700,244710,242630,242720,1,1,1</v>
      </c>
    </row>
    <row r="133" spans="1:12">
      <c r="A133" s="215">
        <v>252550</v>
      </c>
      <c r="B133" s="215">
        <v>251990</v>
      </c>
      <c r="C133" s="215">
        <v>252100</v>
      </c>
      <c r="D133" s="215">
        <v>244650</v>
      </c>
      <c r="E133">
        <v>7450</v>
      </c>
      <c r="F133" s="99">
        <v>3.0499999999999999E-2</v>
      </c>
      <c r="G133" s="158">
        <v>44289</v>
      </c>
      <c r="H133" t="s">
        <v>6390</v>
      </c>
      <c r="I133" s="35" t="s">
        <v>6308</v>
      </c>
      <c r="L133" s="35" t="str">
        <f t="shared" si="3"/>
        <v>USD,20210403,252010,252100,244600,244650,1,1,1</v>
      </c>
    </row>
    <row r="134" spans="1:12">
      <c r="A134" s="215">
        <v>252340</v>
      </c>
      <c r="B134" s="215">
        <v>252240</v>
      </c>
      <c r="C134" s="215">
        <v>252100</v>
      </c>
      <c r="D134" s="215">
        <v>252100</v>
      </c>
      <c r="E134">
        <v>60</v>
      </c>
      <c r="F134" s="99">
        <v>2.0000000000000001E-4</v>
      </c>
      <c r="G134" s="158">
        <v>44287</v>
      </c>
      <c r="H134" t="s">
        <v>6391</v>
      </c>
      <c r="I134" s="35" t="s">
        <v>6308</v>
      </c>
      <c r="L134" s="35" t="str">
        <f t="shared" si="3"/>
        <v>USD,20210401,252040,252100,251990,252100,1,1,1</v>
      </c>
    </row>
    <row r="135" spans="1:12">
      <c r="A135" s="215">
        <v>247510</v>
      </c>
      <c r="B135" s="215">
        <v>247470</v>
      </c>
      <c r="C135" s="215">
        <v>252550</v>
      </c>
      <c r="D135" s="215">
        <v>252040</v>
      </c>
      <c r="E135">
        <v>500</v>
      </c>
      <c r="F135" s="99">
        <v>2E-3</v>
      </c>
      <c r="G135" s="158">
        <v>44286</v>
      </c>
      <c r="H135" t="s">
        <v>6392</v>
      </c>
      <c r="I135" s="35" t="s">
        <v>6308</v>
      </c>
      <c r="L135" s="35" t="str">
        <f t="shared" si="3"/>
        <v>USD,20210331,252550,252550,251990,252040,1,1,1</v>
      </c>
    </row>
    <row r="136" spans="1:12">
      <c r="A136" s="215">
        <v>239640</v>
      </c>
      <c r="B136" s="215">
        <v>239550</v>
      </c>
      <c r="C136" s="215">
        <v>257120</v>
      </c>
      <c r="D136" s="215">
        <v>252540</v>
      </c>
      <c r="E136">
        <v>210</v>
      </c>
      <c r="F136" s="99">
        <v>8.0000000000000004E-4</v>
      </c>
      <c r="G136" s="158">
        <v>44285</v>
      </c>
      <c r="H136" t="s">
        <v>6393</v>
      </c>
      <c r="I136" s="35" t="s">
        <v>6308</v>
      </c>
      <c r="L136" s="35" t="str">
        <f t="shared" si="3"/>
        <v>USD,20210330,252340,257120,252240,252540,1,1,1</v>
      </c>
    </row>
    <row r="137" spans="1:12">
      <c r="A137" s="215">
        <v>240410</v>
      </c>
      <c r="B137" s="215">
        <v>239550</v>
      </c>
      <c r="C137" s="215">
        <v>252350</v>
      </c>
      <c r="D137" s="215">
        <v>252330</v>
      </c>
      <c r="E137">
        <v>4770</v>
      </c>
      <c r="F137" s="99">
        <v>1.9300000000000001E-2</v>
      </c>
      <c r="G137" s="158">
        <v>44283</v>
      </c>
      <c r="H137" t="s">
        <v>6394</v>
      </c>
      <c r="I137" s="35" t="s">
        <v>6308</v>
      </c>
      <c r="L137" s="35" t="str">
        <f t="shared" si="3"/>
        <v>USD,20210328,247510,252350,247470,252330,1,1,1</v>
      </c>
    </row>
    <row r="138" spans="1:12">
      <c r="A138" s="215">
        <v>240920</v>
      </c>
      <c r="B138" s="215">
        <v>240320</v>
      </c>
      <c r="C138" s="215">
        <v>247580</v>
      </c>
      <c r="D138" s="215">
        <v>247560</v>
      </c>
      <c r="E138">
        <v>7930</v>
      </c>
      <c r="F138" s="99">
        <v>3.3099999999999997E-2</v>
      </c>
      <c r="G138" s="158">
        <v>44282</v>
      </c>
      <c r="H138" t="s">
        <v>6395</v>
      </c>
      <c r="I138" s="35" t="s">
        <v>6308</v>
      </c>
      <c r="L138" s="35" t="str">
        <f t="shared" si="3"/>
        <v>USD,20210327,239640,247580,239550,247560,1,1,1</v>
      </c>
    </row>
    <row r="139" spans="1:12">
      <c r="A139" s="215">
        <v>239200</v>
      </c>
      <c r="B139" s="215">
        <v>239100</v>
      </c>
      <c r="C139" s="215">
        <v>240430</v>
      </c>
      <c r="D139" s="215">
        <v>239630</v>
      </c>
      <c r="E139">
        <v>770</v>
      </c>
      <c r="F139" s="99">
        <v>3.2000000000000002E-3</v>
      </c>
      <c r="G139" s="158">
        <v>44273</v>
      </c>
      <c r="H139" t="s">
        <v>6396</v>
      </c>
      <c r="I139" s="35" t="s">
        <v>6308</v>
      </c>
      <c r="L139" s="35" t="str">
        <f t="shared" si="3"/>
        <v>USD,20210318,240410,240430,239550,239630,1,1,1</v>
      </c>
    </row>
    <row r="140" spans="1:12">
      <c r="A140" s="215">
        <v>239200</v>
      </c>
      <c r="B140" s="215">
        <v>239100</v>
      </c>
      <c r="C140" s="215">
        <v>240950</v>
      </c>
      <c r="D140" s="215">
        <v>240400</v>
      </c>
      <c r="E140">
        <v>490</v>
      </c>
      <c r="F140" s="99">
        <v>2E-3</v>
      </c>
      <c r="G140" s="158">
        <v>44272</v>
      </c>
      <c r="H140" t="s">
        <v>6397</v>
      </c>
      <c r="I140" s="35" t="s">
        <v>6308</v>
      </c>
      <c r="L140" s="35" t="str">
        <f t="shared" si="3"/>
        <v>USD,20210317,240920,240950,240320,240400,1,1,1</v>
      </c>
    </row>
    <row r="141" spans="1:12">
      <c r="A141" s="215">
        <v>241810</v>
      </c>
      <c r="B141" s="215">
        <v>239100</v>
      </c>
      <c r="C141" s="215">
        <v>241380</v>
      </c>
      <c r="D141" s="215">
        <v>240890</v>
      </c>
      <c r="E141">
        <v>1720</v>
      </c>
      <c r="F141" s="99">
        <v>7.1999999999999998E-3</v>
      </c>
      <c r="G141" s="158">
        <v>44271</v>
      </c>
      <c r="H141" t="s">
        <v>6092</v>
      </c>
      <c r="I141" s="35" t="s">
        <v>6308</v>
      </c>
      <c r="L141" s="35" t="str">
        <f t="shared" si="3"/>
        <v>USD,20210316,239200,241380,239100,240890,1,1,1</v>
      </c>
    </row>
    <row r="142" spans="1:12">
      <c r="A142" s="215">
        <v>242400</v>
      </c>
      <c r="B142" s="215">
        <v>241770</v>
      </c>
      <c r="C142" s="215">
        <v>239210</v>
      </c>
      <c r="D142" s="215">
        <v>239170</v>
      </c>
      <c r="E142" t="s">
        <v>6307</v>
      </c>
      <c r="F142" t="s">
        <v>6307</v>
      </c>
      <c r="G142" s="158">
        <v>44270</v>
      </c>
      <c r="H142" t="s">
        <v>6095</v>
      </c>
      <c r="I142" s="35" t="s">
        <v>6308</v>
      </c>
      <c r="L142" s="35" t="str">
        <f t="shared" si="3"/>
        <v>USD,20210315,239200,239210,239100,239170,1,1,1</v>
      </c>
    </row>
    <row r="143" spans="1:12">
      <c r="A143" s="215">
        <v>242100</v>
      </c>
      <c r="B143" s="215">
        <v>241240</v>
      </c>
      <c r="C143" s="215">
        <v>241880</v>
      </c>
      <c r="D143" s="215">
        <v>239170</v>
      </c>
      <c r="E143">
        <v>2600</v>
      </c>
      <c r="F143" s="99">
        <v>1.09E-2</v>
      </c>
      <c r="G143" s="158">
        <v>44269</v>
      </c>
      <c r="H143" t="s">
        <v>6398</v>
      </c>
      <c r="I143" s="35" t="s">
        <v>6308</v>
      </c>
      <c r="L143" s="35" t="str">
        <f t="shared" si="3"/>
        <v>USD,20210314,241810,241880,239100,239170,1,1,1</v>
      </c>
    </row>
    <row r="144" spans="1:12">
      <c r="A144" s="215">
        <v>243240</v>
      </c>
      <c r="B144" s="215">
        <v>241050</v>
      </c>
      <c r="C144" s="215">
        <v>243850</v>
      </c>
      <c r="D144" s="215">
        <v>241770</v>
      </c>
      <c r="E144">
        <v>650</v>
      </c>
      <c r="F144" s="99">
        <v>2.7000000000000001E-3</v>
      </c>
      <c r="G144" s="158">
        <v>44268</v>
      </c>
      <c r="H144" t="s">
        <v>6399</v>
      </c>
      <c r="I144" s="35" t="s">
        <v>6308</v>
      </c>
      <c r="L144" s="35" t="str">
        <f t="shared" si="3"/>
        <v>USD,20210313,242400,243850,241770,241770,1,1,1</v>
      </c>
    </row>
    <row r="145" spans="1:12">
      <c r="A145" s="215">
        <v>239960</v>
      </c>
      <c r="B145" s="215">
        <v>239850</v>
      </c>
      <c r="C145" s="215">
        <v>242710</v>
      </c>
      <c r="D145" s="215">
        <v>242420</v>
      </c>
      <c r="E145">
        <v>350</v>
      </c>
      <c r="F145" s="99">
        <v>1.4E-3</v>
      </c>
      <c r="G145" s="158">
        <v>44265</v>
      </c>
      <c r="H145" t="s">
        <v>6094</v>
      </c>
      <c r="I145" s="35" t="s">
        <v>6308</v>
      </c>
      <c r="L145" s="35" t="str">
        <f t="shared" si="3"/>
        <v>USD,20210310,242100,242710,241240,242420,1,1,1</v>
      </c>
    </row>
    <row r="146" spans="1:12">
      <c r="A146" s="215">
        <v>242800</v>
      </c>
      <c r="B146" s="215">
        <v>239850</v>
      </c>
      <c r="C146" s="215">
        <v>244280</v>
      </c>
      <c r="D146" s="215">
        <v>242070</v>
      </c>
      <c r="E146">
        <v>1140</v>
      </c>
      <c r="F146" s="99">
        <v>4.7000000000000002E-3</v>
      </c>
      <c r="G146" s="158">
        <v>44264</v>
      </c>
      <c r="H146" t="s">
        <v>6211</v>
      </c>
      <c r="I146" s="35" t="s">
        <v>6308</v>
      </c>
      <c r="L146" s="35" t="str">
        <f t="shared" si="3"/>
        <v>USD,20210309,243240,244280,241050,242070,1,1,1</v>
      </c>
    </row>
    <row r="147" spans="1:12">
      <c r="A147" s="215">
        <v>246580</v>
      </c>
      <c r="B147" s="215">
        <v>242700</v>
      </c>
      <c r="C147" s="215">
        <v>244610</v>
      </c>
      <c r="D147" s="215">
        <v>243210</v>
      </c>
      <c r="E147">
        <v>3310</v>
      </c>
      <c r="F147" s="99">
        <v>1.38E-2</v>
      </c>
      <c r="G147" s="158">
        <v>44263</v>
      </c>
      <c r="H147" t="s">
        <v>6400</v>
      </c>
      <c r="I147" s="35" t="s">
        <v>6308</v>
      </c>
      <c r="L147" s="35" t="str">
        <f t="shared" si="3"/>
        <v>USD,20210308,239960,244610,239850,243210,1,1,1</v>
      </c>
    </row>
    <row r="148" spans="1:12">
      <c r="A148" s="215">
        <v>246700</v>
      </c>
      <c r="B148" s="215">
        <v>246530</v>
      </c>
      <c r="C148" s="215">
        <v>242810</v>
      </c>
      <c r="D148" s="215">
        <v>239900</v>
      </c>
      <c r="E148">
        <v>2810</v>
      </c>
      <c r="F148" s="99">
        <v>1.17E-2</v>
      </c>
      <c r="G148" s="158">
        <v>44262</v>
      </c>
      <c r="H148" t="s">
        <v>6401</v>
      </c>
      <c r="I148" s="35" t="s">
        <v>6308</v>
      </c>
      <c r="L148" s="35" t="str">
        <f t="shared" si="3"/>
        <v>USD,20210307,242800,242810,239850,239900,1,1,1</v>
      </c>
    </row>
    <row r="149" spans="1:12">
      <c r="A149" s="215">
        <v>244330</v>
      </c>
      <c r="B149" s="215">
        <v>244330</v>
      </c>
      <c r="C149" s="215">
        <v>246770</v>
      </c>
      <c r="D149" s="215">
        <v>242710</v>
      </c>
      <c r="E149">
        <v>3900</v>
      </c>
      <c r="F149" s="99">
        <v>1.61E-2</v>
      </c>
      <c r="G149" s="158">
        <v>44261</v>
      </c>
      <c r="H149" t="s">
        <v>6402</v>
      </c>
      <c r="I149" s="35" t="s">
        <v>6308</v>
      </c>
      <c r="L149" s="35" t="str">
        <f t="shared" si="3"/>
        <v>USD,20210306,246580,246770,242700,242710,1,1,1</v>
      </c>
    </row>
    <row r="150" spans="1:12">
      <c r="A150" s="215">
        <v>247580</v>
      </c>
      <c r="B150" s="215">
        <v>244280</v>
      </c>
      <c r="C150" s="215">
        <v>246790</v>
      </c>
      <c r="D150" s="215">
        <v>246610</v>
      </c>
      <c r="E150">
        <v>70</v>
      </c>
      <c r="F150" s="99">
        <v>2.9999999999999997E-4</v>
      </c>
      <c r="G150" s="158">
        <v>44259</v>
      </c>
      <c r="H150" t="s">
        <v>6403</v>
      </c>
      <c r="I150" s="35" t="s">
        <v>6308</v>
      </c>
      <c r="L150" s="35" t="str">
        <f t="shared" si="3"/>
        <v>USD,20210304,246700,246790,246530,246610,1,1,1</v>
      </c>
    </row>
    <row r="151" spans="1:12">
      <c r="A151" s="215">
        <v>247030</v>
      </c>
      <c r="B151" s="215">
        <v>246960</v>
      </c>
      <c r="C151" s="215">
        <v>247910</v>
      </c>
      <c r="D151" s="215">
        <v>246680</v>
      </c>
      <c r="E151">
        <v>2310</v>
      </c>
      <c r="F151" s="99">
        <v>9.4999999999999998E-3</v>
      </c>
      <c r="G151" s="158">
        <v>44258</v>
      </c>
      <c r="H151" t="s">
        <v>6404</v>
      </c>
      <c r="I151" s="35" t="s">
        <v>6308</v>
      </c>
      <c r="L151" s="35" t="str">
        <f t="shared" si="3"/>
        <v>USD,20210303,244330,247910,244330,246680,1,1,1</v>
      </c>
    </row>
    <row r="152" spans="1:12">
      <c r="A152" s="215">
        <v>252430</v>
      </c>
      <c r="B152" s="215">
        <v>246960</v>
      </c>
      <c r="C152" s="215">
        <v>247590</v>
      </c>
      <c r="D152" s="215">
        <v>244370</v>
      </c>
      <c r="E152">
        <v>3110</v>
      </c>
      <c r="F152" s="99">
        <v>1.2699999999999999E-2</v>
      </c>
      <c r="G152" s="158">
        <v>44257</v>
      </c>
      <c r="H152" t="s">
        <v>6405</v>
      </c>
      <c r="I152" s="35" t="s">
        <v>6308</v>
      </c>
      <c r="L152" s="35" t="str">
        <f t="shared" si="3"/>
        <v>USD,20210302,247580,247590,244280,244370,1,1,1</v>
      </c>
    </row>
    <row r="153" spans="1:12">
      <c r="A153" s="215">
        <v>248150</v>
      </c>
      <c r="B153" s="215">
        <v>248110</v>
      </c>
      <c r="C153" s="215">
        <v>249500</v>
      </c>
      <c r="D153" s="215">
        <v>247480</v>
      </c>
      <c r="E153">
        <v>430</v>
      </c>
      <c r="F153" s="99">
        <v>1.6999999999999999E-3</v>
      </c>
      <c r="G153" s="158">
        <v>44256</v>
      </c>
      <c r="H153" t="s">
        <v>6406</v>
      </c>
      <c r="I153" s="35" t="s">
        <v>6308</v>
      </c>
      <c r="L153" s="35" t="str">
        <f t="shared" si="3"/>
        <v>USD,20210301,247030,249500,246960,247480,1,1,1</v>
      </c>
    </row>
    <row r="154" spans="1:12">
      <c r="A154" s="215">
        <v>246510</v>
      </c>
      <c r="B154" s="215">
        <v>246410</v>
      </c>
      <c r="C154" s="215">
        <v>252440</v>
      </c>
      <c r="D154" s="215">
        <v>247050</v>
      </c>
      <c r="E154">
        <v>5350</v>
      </c>
      <c r="F154" s="99">
        <v>2.1700000000000001E-2</v>
      </c>
      <c r="G154" s="158">
        <v>44255</v>
      </c>
      <c r="H154" t="s">
        <v>6407</v>
      </c>
      <c r="I154" s="35" t="s">
        <v>6308</v>
      </c>
      <c r="L154" s="35" t="str">
        <f t="shared" si="3"/>
        <v>USD,20210228,252430,252440,246960,247050,1,1,1</v>
      </c>
    </row>
    <row r="155" spans="1:12">
      <c r="A155" s="215">
        <v>241810</v>
      </c>
      <c r="B155" s="215">
        <v>241790</v>
      </c>
      <c r="C155" s="215">
        <v>253720</v>
      </c>
      <c r="D155" s="215">
        <v>252400</v>
      </c>
      <c r="E155">
        <v>4190</v>
      </c>
      <c r="F155" s="99">
        <v>1.6899999999999998E-2</v>
      </c>
      <c r="G155" s="158">
        <v>44254</v>
      </c>
      <c r="H155" t="s">
        <v>6408</v>
      </c>
      <c r="I155" s="35" t="s">
        <v>6308</v>
      </c>
      <c r="L155" s="35" t="str">
        <f t="shared" si="3"/>
        <v>USD,20210227,248150,253720,248110,252400,1,1,1</v>
      </c>
    </row>
    <row r="156" spans="1:12">
      <c r="A156" s="215">
        <v>242510</v>
      </c>
      <c r="B156" s="215">
        <v>241790</v>
      </c>
      <c r="C156" s="215">
        <v>252520</v>
      </c>
      <c r="D156" s="215">
        <v>248210</v>
      </c>
      <c r="E156">
        <v>1790</v>
      </c>
      <c r="F156" s="99">
        <v>7.3000000000000001E-3</v>
      </c>
      <c r="G156" s="158">
        <v>44251</v>
      </c>
      <c r="H156" t="s">
        <v>6409</v>
      </c>
      <c r="I156" s="35" t="s">
        <v>6308</v>
      </c>
      <c r="L156" s="35" t="str">
        <f t="shared" si="3"/>
        <v>USD,20210224,246510,252520,246410,248210,1,1,1</v>
      </c>
    </row>
    <row r="157" spans="1:12">
      <c r="A157" s="215">
        <v>249970</v>
      </c>
      <c r="B157" s="215">
        <v>242400</v>
      </c>
      <c r="C157" s="215">
        <v>246520</v>
      </c>
      <c r="D157" s="215">
        <v>246420</v>
      </c>
      <c r="E157">
        <v>4540</v>
      </c>
      <c r="F157" s="99">
        <v>1.8800000000000001E-2</v>
      </c>
      <c r="G157" s="158">
        <v>44250</v>
      </c>
      <c r="H157" t="s">
        <v>6410</v>
      </c>
      <c r="I157" s="35" t="s">
        <v>6308</v>
      </c>
      <c r="L157" s="35" t="str">
        <f t="shared" si="3"/>
        <v>USD,20210223,241810,246520,241790,246420,1,1,1</v>
      </c>
    </row>
    <row r="158" spans="1:12">
      <c r="A158" s="215">
        <v>251750</v>
      </c>
      <c r="B158" s="215">
        <v>249920</v>
      </c>
      <c r="C158" s="215">
        <v>243750</v>
      </c>
      <c r="D158" s="215">
        <v>241880</v>
      </c>
      <c r="E158">
        <v>650</v>
      </c>
      <c r="F158" s="99">
        <v>2.7000000000000001E-3</v>
      </c>
      <c r="G158" s="158">
        <v>44249</v>
      </c>
      <c r="H158" t="s">
        <v>6411</v>
      </c>
      <c r="I158" s="35" t="s">
        <v>6308</v>
      </c>
      <c r="L158" s="35" t="str">
        <f t="shared" si="3"/>
        <v>USD,20210222,242510,243750,241790,241880,1,1,1</v>
      </c>
    </row>
    <row r="159" spans="1:12">
      <c r="A159" s="215">
        <v>251710</v>
      </c>
      <c r="B159" s="215">
        <v>251640</v>
      </c>
      <c r="C159" s="215">
        <v>250030</v>
      </c>
      <c r="D159" s="215">
        <v>242530</v>
      </c>
      <c r="E159">
        <v>7460</v>
      </c>
      <c r="F159" s="99">
        <v>3.0800000000000001E-2</v>
      </c>
      <c r="G159" s="158">
        <v>44248</v>
      </c>
      <c r="H159" t="s">
        <v>6412</v>
      </c>
      <c r="I159" s="35" t="s">
        <v>6308</v>
      </c>
      <c r="L159" s="35" t="str">
        <f t="shared" si="3"/>
        <v>USD,20210221,249970,250030,242400,242530,1,1,1</v>
      </c>
    </row>
    <row r="160" spans="1:12">
      <c r="A160" s="215">
        <v>249780</v>
      </c>
      <c r="B160" s="215">
        <v>249740</v>
      </c>
      <c r="C160" s="215">
        <v>252250</v>
      </c>
      <c r="D160" s="215">
        <v>249990</v>
      </c>
      <c r="E160">
        <v>1720</v>
      </c>
      <c r="F160" s="99">
        <v>6.8999999999999999E-3</v>
      </c>
      <c r="G160" s="158">
        <v>44247</v>
      </c>
      <c r="H160" t="s">
        <v>6413</v>
      </c>
      <c r="I160" s="35" t="s">
        <v>6308</v>
      </c>
      <c r="L160" s="35" t="str">
        <f t="shared" si="3"/>
        <v>USD,20210220,251750,252250,249920,249990,1,1,1</v>
      </c>
    </row>
    <row r="161" spans="1:12">
      <c r="A161" s="215">
        <v>249820</v>
      </c>
      <c r="B161" s="215">
        <v>249740</v>
      </c>
      <c r="C161" s="215">
        <v>253620</v>
      </c>
      <c r="D161" s="215">
        <v>251710</v>
      </c>
      <c r="E161">
        <v>40</v>
      </c>
      <c r="F161" s="99">
        <v>2.0000000000000001E-4</v>
      </c>
      <c r="G161" s="158">
        <v>44245</v>
      </c>
      <c r="H161" t="s">
        <v>6414</v>
      </c>
      <c r="I161" s="35" t="s">
        <v>6308</v>
      </c>
      <c r="L161" s="35" t="str">
        <f t="shared" si="3"/>
        <v>USD,20210218,251710,253620,251640,251710,1,1,1</v>
      </c>
    </row>
    <row r="162" spans="1:12">
      <c r="A162" s="215">
        <v>249780</v>
      </c>
      <c r="B162" s="215">
        <v>249740</v>
      </c>
      <c r="C162" s="215">
        <v>251850</v>
      </c>
      <c r="D162" s="215">
        <v>251750</v>
      </c>
      <c r="E162">
        <v>2010</v>
      </c>
      <c r="F162" s="99">
        <v>8.0000000000000002E-3</v>
      </c>
      <c r="G162" s="158">
        <v>44244</v>
      </c>
      <c r="H162" t="s">
        <v>6415</v>
      </c>
      <c r="I162" s="35" t="s">
        <v>6308</v>
      </c>
      <c r="L162" s="35" t="str">
        <f t="shared" si="3"/>
        <v>USD,20210217,249780,251850,249740,251750,1,1,1</v>
      </c>
    </row>
    <row r="163" spans="1:12">
      <c r="A163" s="215">
        <v>249830</v>
      </c>
      <c r="B163" s="215">
        <v>249740</v>
      </c>
      <c r="C163" s="215">
        <v>249850</v>
      </c>
      <c r="D163" s="215">
        <v>249740</v>
      </c>
      <c r="E163" t="s">
        <v>6307</v>
      </c>
      <c r="F163" t="s">
        <v>6307</v>
      </c>
      <c r="G163" s="158">
        <v>44243</v>
      </c>
      <c r="H163" t="s">
        <v>6416</v>
      </c>
      <c r="I163" s="35" t="s">
        <v>6308</v>
      </c>
      <c r="L163" s="35" t="str">
        <f t="shared" si="3"/>
        <v>USD,20210216,249820,249850,249740,249740,1,1,1</v>
      </c>
    </row>
    <row r="164" spans="1:12">
      <c r="A164" s="215">
        <v>247040</v>
      </c>
      <c r="B164" s="215">
        <v>246940</v>
      </c>
      <c r="C164" s="215">
        <v>249850</v>
      </c>
      <c r="D164" s="215">
        <v>249740</v>
      </c>
      <c r="E164">
        <v>30</v>
      </c>
      <c r="F164" s="99">
        <v>1E-4</v>
      </c>
      <c r="G164" s="158">
        <v>44242</v>
      </c>
      <c r="H164" t="s">
        <v>6417</v>
      </c>
      <c r="I164" s="35" t="s">
        <v>6308</v>
      </c>
      <c r="L164" s="35" t="str">
        <f t="shared" si="3"/>
        <v>USD,20210215,249780,249850,249740,249740,1,1,1</v>
      </c>
    </row>
    <row r="165" spans="1:12">
      <c r="A165" s="215">
        <v>245960</v>
      </c>
      <c r="B165" s="215">
        <v>245940</v>
      </c>
      <c r="C165" s="215">
        <v>249850</v>
      </c>
      <c r="D165" s="215">
        <v>249770</v>
      </c>
      <c r="E165">
        <v>40</v>
      </c>
      <c r="F165" s="99">
        <v>2.0000000000000001E-4</v>
      </c>
      <c r="G165" s="158">
        <v>44241</v>
      </c>
      <c r="H165" t="s">
        <v>6418</v>
      </c>
      <c r="I165" s="35" t="s">
        <v>6308</v>
      </c>
      <c r="L165" s="35" t="str">
        <f t="shared" si="3"/>
        <v>USD,20210214,249830,249850,249740,249770,1,1,1</v>
      </c>
    </row>
    <row r="166" spans="1:12">
      <c r="A166" s="215">
        <v>238970</v>
      </c>
      <c r="B166" s="215">
        <v>238940</v>
      </c>
      <c r="C166" s="215">
        <v>249850</v>
      </c>
      <c r="D166" s="215">
        <v>249810</v>
      </c>
      <c r="E166">
        <v>2850</v>
      </c>
      <c r="F166" s="99">
        <v>1.15E-2</v>
      </c>
      <c r="G166" s="158">
        <v>44240</v>
      </c>
      <c r="H166" t="s">
        <v>6419</v>
      </c>
      <c r="I166" s="35" t="s">
        <v>6308</v>
      </c>
      <c r="L166" s="35" t="str">
        <f t="shared" si="3"/>
        <v>USD,20210213,247040,249850,246940,249810,1,1,1</v>
      </c>
    </row>
    <row r="167" spans="1:12">
      <c r="A167" s="215">
        <v>237050</v>
      </c>
      <c r="B167" s="215">
        <v>236940</v>
      </c>
      <c r="C167" s="215">
        <v>247050</v>
      </c>
      <c r="D167" s="215">
        <v>246960</v>
      </c>
      <c r="E167">
        <v>5930</v>
      </c>
      <c r="F167" s="99">
        <v>2.46E-2</v>
      </c>
      <c r="G167" s="158">
        <v>44238</v>
      </c>
      <c r="H167" t="s">
        <v>6420</v>
      </c>
      <c r="I167" s="35" t="s">
        <v>6308</v>
      </c>
      <c r="L167" s="35" t="str">
        <f t="shared" si="3"/>
        <v>USD,20210211,245960,247050,245940,246960,1,1,1</v>
      </c>
    </row>
    <row r="168" spans="1:12">
      <c r="A168" s="215">
        <v>237490</v>
      </c>
      <c r="B168" s="215">
        <v>236940</v>
      </c>
      <c r="C168" s="215">
        <v>241050</v>
      </c>
      <c r="D168" s="215">
        <v>241030</v>
      </c>
      <c r="E168">
        <v>4090</v>
      </c>
      <c r="F168" s="99">
        <v>1.7299999999999999E-2</v>
      </c>
      <c r="G168" s="158">
        <v>44236</v>
      </c>
      <c r="H168" t="s">
        <v>6421</v>
      </c>
      <c r="I168" s="35" t="s">
        <v>6308</v>
      </c>
      <c r="L168" s="35" t="str">
        <f t="shared" si="3"/>
        <v>USD,20210209,238970,241050,238940,241030,1,1,1</v>
      </c>
    </row>
    <row r="169" spans="1:12">
      <c r="A169" s="215">
        <v>237520</v>
      </c>
      <c r="B169" s="215">
        <v>237440</v>
      </c>
      <c r="C169" s="215">
        <v>237050</v>
      </c>
      <c r="D169" s="215">
        <v>236940</v>
      </c>
      <c r="E169">
        <v>20</v>
      </c>
      <c r="F169" s="99">
        <v>1E-4</v>
      </c>
      <c r="G169" s="158">
        <v>44235</v>
      </c>
      <c r="H169" t="s">
        <v>6422</v>
      </c>
      <c r="I169" s="35" t="s">
        <v>6308</v>
      </c>
      <c r="L169" s="35" t="str">
        <f t="shared" si="3"/>
        <v>USD,20210208,237050,237050,236940,236940,1,1,1</v>
      </c>
    </row>
    <row r="170" spans="1:12">
      <c r="A170" s="215">
        <v>237500</v>
      </c>
      <c r="B170" s="215">
        <v>237440</v>
      </c>
      <c r="C170" s="215">
        <v>237550</v>
      </c>
      <c r="D170" s="215">
        <v>236960</v>
      </c>
      <c r="E170">
        <v>590</v>
      </c>
      <c r="F170" s="99">
        <v>2.5000000000000001E-3</v>
      </c>
      <c r="G170" s="158">
        <v>44234</v>
      </c>
      <c r="H170" t="s">
        <v>6423</v>
      </c>
      <c r="I170" s="35" t="s">
        <v>6308</v>
      </c>
      <c r="L170" s="35" t="str">
        <f t="shared" si="3"/>
        <v>USD,20210207,237490,237550,236940,236960,1,1,1</v>
      </c>
    </row>
    <row r="171" spans="1:12">
      <c r="A171" s="215">
        <v>238680</v>
      </c>
      <c r="B171" s="215">
        <v>237640</v>
      </c>
      <c r="C171" s="215">
        <v>237550</v>
      </c>
      <c r="D171" s="215">
        <v>237550</v>
      </c>
      <c r="E171">
        <v>80</v>
      </c>
      <c r="F171" s="99">
        <v>2.9999999999999997E-4</v>
      </c>
      <c r="G171" s="158">
        <v>44233</v>
      </c>
      <c r="H171" t="s">
        <v>6424</v>
      </c>
      <c r="I171" s="35" t="s">
        <v>6308</v>
      </c>
      <c r="L171" s="35" t="str">
        <f t="shared" si="3"/>
        <v>USD,20210206,237520,237550,237440,237550,1,1,1</v>
      </c>
    </row>
    <row r="172" spans="1:12">
      <c r="A172" s="215">
        <v>238650</v>
      </c>
      <c r="B172" s="215">
        <v>238640</v>
      </c>
      <c r="C172" s="215">
        <v>237550</v>
      </c>
      <c r="D172" s="215">
        <v>237470</v>
      </c>
      <c r="E172">
        <v>190</v>
      </c>
      <c r="F172" s="99">
        <v>8.0000000000000004E-4</v>
      </c>
      <c r="G172" s="158">
        <v>44231</v>
      </c>
      <c r="H172" t="s">
        <v>6425</v>
      </c>
      <c r="I172" s="35" t="s">
        <v>6308</v>
      </c>
      <c r="L172" s="35" t="str">
        <f t="shared" si="3"/>
        <v>USD,20210204,237500,237550,237440,237470,1,1,1</v>
      </c>
    </row>
    <row r="173" spans="1:12">
      <c r="A173" s="215">
        <v>239170</v>
      </c>
      <c r="B173" s="215">
        <v>238640</v>
      </c>
      <c r="C173" s="215">
        <v>238750</v>
      </c>
      <c r="D173" s="215">
        <v>237660</v>
      </c>
      <c r="E173">
        <v>1050</v>
      </c>
      <c r="F173" s="99">
        <v>4.4000000000000003E-3</v>
      </c>
      <c r="G173" s="158">
        <v>44230</v>
      </c>
      <c r="H173" t="s">
        <v>6426</v>
      </c>
      <c r="I173" s="35" t="s">
        <v>6308</v>
      </c>
      <c r="L173" s="35" t="str">
        <f t="shared" si="3"/>
        <v>USD,20210203,238680,238750,237640,237660,1,1,1</v>
      </c>
    </row>
    <row r="174" spans="1:12">
      <c r="A174" s="215">
        <v>237180</v>
      </c>
      <c r="B174" s="215">
        <v>237140</v>
      </c>
      <c r="C174" s="215">
        <v>238750</v>
      </c>
      <c r="D174" s="215">
        <v>238710</v>
      </c>
      <c r="E174">
        <v>10</v>
      </c>
      <c r="F174" t="s">
        <v>6307</v>
      </c>
      <c r="G174" s="158">
        <v>44229</v>
      </c>
      <c r="H174" t="s">
        <v>6427</v>
      </c>
      <c r="I174" s="35" t="s">
        <v>6308</v>
      </c>
      <c r="L174" s="35" t="str">
        <f t="shared" si="3"/>
        <v>USD,20210202,238650,238750,238640,238710,1,1,1</v>
      </c>
    </row>
    <row r="175" spans="1:12">
      <c r="A175" s="215">
        <v>232050</v>
      </c>
      <c r="B175" s="215">
        <v>232040</v>
      </c>
      <c r="C175" s="215">
        <v>239170</v>
      </c>
      <c r="D175" s="215">
        <v>238720</v>
      </c>
      <c r="E175">
        <v>490</v>
      </c>
      <c r="F175" s="99">
        <v>2.0999999999999999E-3</v>
      </c>
      <c r="G175" s="158">
        <v>44228</v>
      </c>
      <c r="H175" t="s">
        <v>6428</v>
      </c>
      <c r="I175" s="35" t="s">
        <v>6308</v>
      </c>
      <c r="L175" s="35" t="str">
        <f t="shared" si="3"/>
        <v>USD,20210201,239170,239170,238640,238720,1,1,1</v>
      </c>
    </row>
    <row r="176" spans="1:12">
      <c r="A176" s="215">
        <v>234070</v>
      </c>
      <c r="B176" s="215">
        <v>232040</v>
      </c>
      <c r="C176" s="215">
        <v>239250</v>
      </c>
      <c r="D176" s="215">
        <v>239210</v>
      </c>
      <c r="E176">
        <v>2040</v>
      </c>
      <c r="F176" s="99">
        <v>8.6E-3</v>
      </c>
      <c r="G176" s="158">
        <v>44227</v>
      </c>
      <c r="H176" t="s">
        <v>6429</v>
      </c>
      <c r="I176" s="35" t="s">
        <v>6308</v>
      </c>
      <c r="L176" s="35" t="str">
        <f t="shared" si="3"/>
        <v>USD,20210131,237180,239250,237140,239210,1,1,1</v>
      </c>
    </row>
    <row r="177" spans="1:12">
      <c r="A177" s="215">
        <v>229150</v>
      </c>
      <c r="B177" s="215">
        <v>229140</v>
      </c>
      <c r="C177" s="215">
        <v>237250</v>
      </c>
      <c r="D177" s="215">
        <v>237170</v>
      </c>
      <c r="E177">
        <v>5060</v>
      </c>
      <c r="F177" s="99">
        <v>2.18E-2</v>
      </c>
      <c r="G177" s="158">
        <v>44226</v>
      </c>
      <c r="H177" t="s">
        <v>6430</v>
      </c>
      <c r="I177" s="35" t="s">
        <v>6308</v>
      </c>
      <c r="L177" s="35" t="str">
        <f t="shared" si="3"/>
        <v>USD,20210130,232050,237250,232040,237170,1,1,1</v>
      </c>
    </row>
    <row r="178" spans="1:12">
      <c r="A178" s="215">
        <v>229720</v>
      </c>
      <c r="B178" s="215">
        <v>229140</v>
      </c>
      <c r="C178" s="215">
        <v>234150</v>
      </c>
      <c r="D178" s="215">
        <v>232110</v>
      </c>
      <c r="E178">
        <v>2020</v>
      </c>
      <c r="F178" s="99">
        <v>8.6999999999999994E-3</v>
      </c>
      <c r="G178" s="158">
        <v>44224</v>
      </c>
      <c r="H178" t="s">
        <v>6431</v>
      </c>
      <c r="I178" s="35" t="s">
        <v>6308</v>
      </c>
      <c r="L178" s="35" t="str">
        <f t="shared" si="3"/>
        <v>USD,20210128,234070,234150,232040,232110,1,1,1</v>
      </c>
    </row>
    <row r="179" spans="1:12">
      <c r="A179" s="215">
        <v>224250</v>
      </c>
      <c r="B179" s="215">
        <v>224240</v>
      </c>
      <c r="C179" s="215">
        <v>234150</v>
      </c>
      <c r="D179" s="215">
        <v>234130</v>
      </c>
      <c r="E179">
        <v>4950</v>
      </c>
      <c r="F179" s="99">
        <v>2.1600000000000001E-2</v>
      </c>
      <c r="G179" s="158">
        <v>44223</v>
      </c>
      <c r="H179" t="s">
        <v>6432</v>
      </c>
      <c r="I179" s="35" t="s">
        <v>6308</v>
      </c>
      <c r="L179" s="35" t="str">
        <f t="shared" si="3"/>
        <v>USD,20210127,229150,234150,229140,234130,1,1,1</v>
      </c>
    </row>
    <row r="180" spans="1:12">
      <c r="A180" s="215">
        <v>224340</v>
      </c>
      <c r="B180" s="215">
        <v>224240</v>
      </c>
      <c r="C180" s="215">
        <v>229750</v>
      </c>
      <c r="D180" s="215">
        <v>229180</v>
      </c>
      <c r="E180">
        <v>480</v>
      </c>
      <c r="F180" s="99">
        <v>2.0999999999999999E-3</v>
      </c>
      <c r="G180" s="158">
        <v>44222</v>
      </c>
      <c r="H180" t="s">
        <v>6433</v>
      </c>
      <c r="I180" s="35" t="s">
        <v>6308</v>
      </c>
      <c r="L180" s="35" t="str">
        <f t="shared" si="3"/>
        <v>USD,20210126,229720,229750,229140,229180,1,1,1</v>
      </c>
    </row>
    <row r="181" spans="1:12">
      <c r="A181" s="215">
        <v>226530</v>
      </c>
      <c r="B181" s="215">
        <v>224240</v>
      </c>
      <c r="C181" s="215">
        <v>229750</v>
      </c>
      <c r="D181" s="215">
        <v>229660</v>
      </c>
      <c r="E181">
        <v>5320</v>
      </c>
      <c r="F181" s="99">
        <v>2.3699999999999999E-2</v>
      </c>
      <c r="G181" s="158">
        <v>44221</v>
      </c>
      <c r="H181" t="s">
        <v>6434</v>
      </c>
      <c r="I181" s="35" t="s">
        <v>6308</v>
      </c>
      <c r="L181" s="35" t="str">
        <f t="shared" si="3"/>
        <v>USD,20210125,224250,229750,224240,229660,1,1,1</v>
      </c>
    </row>
    <row r="182" spans="1:12">
      <c r="A182" s="215">
        <v>226510</v>
      </c>
      <c r="B182" s="215">
        <v>226440</v>
      </c>
      <c r="C182" s="215">
        <v>224350</v>
      </c>
      <c r="D182" s="215">
        <v>224340</v>
      </c>
      <c r="E182">
        <v>20</v>
      </c>
      <c r="F182" s="99">
        <v>1E-4</v>
      </c>
      <c r="G182" s="158">
        <v>44220</v>
      </c>
      <c r="H182" t="s">
        <v>6435</v>
      </c>
      <c r="I182" s="35" t="s">
        <v>6308</v>
      </c>
      <c r="L182" s="35" t="str">
        <f t="shared" si="3"/>
        <v>USD,20210124,224340,224350,224240,224340,1,1,1</v>
      </c>
    </row>
    <row r="183" spans="1:12">
      <c r="A183" s="215">
        <v>217940</v>
      </c>
      <c r="B183" s="215">
        <v>217840</v>
      </c>
      <c r="C183" s="215">
        <v>226530</v>
      </c>
      <c r="D183" s="215">
        <v>224320</v>
      </c>
      <c r="E183">
        <v>2230</v>
      </c>
      <c r="F183" s="99">
        <v>9.9000000000000008E-3</v>
      </c>
      <c r="G183" s="158">
        <v>44219</v>
      </c>
      <c r="H183" t="s">
        <v>6436</v>
      </c>
      <c r="I183" s="35" t="s">
        <v>6308</v>
      </c>
      <c r="L183" s="35" t="str">
        <f t="shared" ref="L183:L246" si="4">CONCATENATE("USD",I183,TEXT(G183,"yyyymmdd"),I183,A181,I183,C183,I183,B181,I183,D183,I183,"1,1,1")</f>
        <v>USD,20210123,226530,226530,224240,224320,1,1,1</v>
      </c>
    </row>
    <row r="184" spans="1:12">
      <c r="A184" s="215">
        <v>215900</v>
      </c>
      <c r="B184" s="215">
        <v>203860</v>
      </c>
      <c r="C184" s="215">
        <v>226550</v>
      </c>
      <c r="D184" s="215">
        <v>226550</v>
      </c>
      <c r="E184">
        <v>970</v>
      </c>
      <c r="F184" s="99">
        <v>4.3E-3</v>
      </c>
      <c r="G184" s="158">
        <v>44217</v>
      </c>
      <c r="H184" t="s">
        <v>6437</v>
      </c>
      <c r="I184" s="35" t="s">
        <v>6308</v>
      </c>
      <c r="L184" s="35" t="str">
        <f t="shared" si="4"/>
        <v>USD,20210121,226510,226550,226440,226550,1,1,1</v>
      </c>
    </row>
    <row r="185" spans="1:12">
      <c r="A185" s="215">
        <v>229550</v>
      </c>
      <c r="B185" s="215">
        <v>217900</v>
      </c>
      <c r="C185" s="215">
        <v>227550</v>
      </c>
      <c r="D185" s="215">
        <v>227520</v>
      </c>
      <c r="E185">
        <v>9570</v>
      </c>
      <c r="F185" s="99">
        <v>4.3900000000000002E-2</v>
      </c>
      <c r="G185" s="158">
        <v>44216</v>
      </c>
      <c r="H185" t="s">
        <v>6438</v>
      </c>
      <c r="I185" s="35" t="s">
        <v>6308</v>
      </c>
      <c r="L185" s="35" t="str">
        <f t="shared" si="4"/>
        <v>USD,20210120,217940,227550,217840,227520,1,1,1</v>
      </c>
    </row>
    <row r="186" spans="1:12">
      <c r="A186" s="215">
        <v>239540</v>
      </c>
      <c r="B186" s="215">
        <v>229440</v>
      </c>
      <c r="C186" s="215">
        <v>217950</v>
      </c>
      <c r="D186" s="215">
        <v>217950</v>
      </c>
      <c r="E186">
        <v>60</v>
      </c>
      <c r="F186" s="99">
        <v>2.9999999999999997E-4</v>
      </c>
      <c r="G186" s="158">
        <v>44215</v>
      </c>
      <c r="H186" t="s">
        <v>6439</v>
      </c>
      <c r="I186" s="35" t="s">
        <v>6308</v>
      </c>
      <c r="L186" s="35" t="str">
        <f t="shared" si="4"/>
        <v>USD,20210119,215900,217950,203860,217950,1,1,1</v>
      </c>
    </row>
    <row r="187" spans="1:12">
      <c r="A187" s="215">
        <v>242870</v>
      </c>
      <c r="B187" s="215">
        <v>239440</v>
      </c>
      <c r="C187" s="215">
        <v>229550</v>
      </c>
      <c r="D187" s="215">
        <v>218010</v>
      </c>
      <c r="E187">
        <v>11460</v>
      </c>
      <c r="F187" s="99">
        <v>5.2600000000000001E-2</v>
      </c>
      <c r="G187" s="158">
        <v>44214</v>
      </c>
      <c r="H187" t="s">
        <v>6440</v>
      </c>
      <c r="I187" s="35" t="s">
        <v>6308</v>
      </c>
      <c r="L187" s="35" t="str">
        <f t="shared" si="4"/>
        <v>USD,20210118,229550,229550,217900,218010,1,1,1</v>
      </c>
    </row>
    <row r="188" spans="1:12">
      <c r="A188" s="215">
        <v>248520</v>
      </c>
      <c r="B188" s="215">
        <v>244940</v>
      </c>
      <c r="C188" s="215">
        <v>239540</v>
      </c>
      <c r="D188" s="215">
        <v>229470</v>
      </c>
      <c r="E188">
        <v>10060</v>
      </c>
      <c r="F188" s="99">
        <v>4.3799999999999999E-2</v>
      </c>
      <c r="G188" s="158">
        <v>44212</v>
      </c>
      <c r="H188" t="s">
        <v>6441</v>
      </c>
      <c r="I188" s="35" t="s">
        <v>6308</v>
      </c>
      <c r="L188" s="35" t="str">
        <f t="shared" si="4"/>
        <v>USD,20210116,239540,239540,229440,229470,1,1,1</v>
      </c>
    </row>
    <row r="189" spans="1:12">
      <c r="A189" s="215">
        <v>248540</v>
      </c>
      <c r="B189" s="215">
        <v>248440</v>
      </c>
      <c r="C189" s="215">
        <v>242950</v>
      </c>
      <c r="D189" s="215">
        <v>239530</v>
      </c>
      <c r="E189">
        <v>5450</v>
      </c>
      <c r="F189" s="99">
        <v>2.2800000000000001E-2</v>
      </c>
      <c r="G189" s="158">
        <v>44210</v>
      </c>
      <c r="H189" t="s">
        <v>6442</v>
      </c>
      <c r="I189" s="35" t="s">
        <v>6308</v>
      </c>
      <c r="L189" s="35" t="str">
        <f t="shared" si="4"/>
        <v>USD,20210114,242870,242950,239440,239530,1,1,1</v>
      </c>
    </row>
    <row r="190" spans="1:12">
      <c r="A190" s="215">
        <v>248450</v>
      </c>
      <c r="B190" s="215">
        <v>248440</v>
      </c>
      <c r="C190" s="215">
        <v>248550</v>
      </c>
      <c r="D190" s="215">
        <v>244980</v>
      </c>
      <c r="E190">
        <v>3460</v>
      </c>
      <c r="F190" s="99">
        <v>1.41E-2</v>
      </c>
      <c r="G190" s="158">
        <v>44209</v>
      </c>
      <c r="H190" t="s">
        <v>6443</v>
      </c>
      <c r="I190" s="35" t="s">
        <v>6308</v>
      </c>
      <c r="L190" s="35" t="str">
        <f t="shared" si="4"/>
        <v>USD,20210113,248520,248550,244940,244980,1,1,1</v>
      </c>
    </row>
    <row r="191" spans="1:12">
      <c r="A191" s="215">
        <v>248690</v>
      </c>
      <c r="B191" s="215">
        <v>245840</v>
      </c>
      <c r="C191" s="215">
        <v>248550</v>
      </c>
      <c r="D191" s="215">
        <v>248440</v>
      </c>
      <c r="E191">
        <v>50</v>
      </c>
      <c r="F191" s="99">
        <v>2.0000000000000001E-4</v>
      </c>
      <c r="G191" s="158">
        <v>44208</v>
      </c>
      <c r="H191" t="s">
        <v>6444</v>
      </c>
      <c r="I191" s="35" t="s">
        <v>6308</v>
      </c>
      <c r="L191" s="35" t="str">
        <f t="shared" si="4"/>
        <v>USD,20210112,248540,248550,248440,248440,1,1,1</v>
      </c>
    </row>
    <row r="192" spans="1:12">
      <c r="A192" s="215">
        <v>255550</v>
      </c>
      <c r="B192" s="215">
        <v>248640</v>
      </c>
      <c r="C192" s="215">
        <v>249550</v>
      </c>
      <c r="D192" s="215">
        <v>248490</v>
      </c>
      <c r="E192">
        <v>30</v>
      </c>
      <c r="F192" s="99">
        <v>1E-4</v>
      </c>
      <c r="G192" s="158">
        <v>44207</v>
      </c>
      <c r="H192" t="s">
        <v>6445</v>
      </c>
      <c r="I192" s="35" t="s">
        <v>6308</v>
      </c>
      <c r="L192" s="35" t="str">
        <f t="shared" si="4"/>
        <v>USD,20210111,248450,249550,248440,248490,1,1,1</v>
      </c>
    </row>
    <row r="193" spans="1:12">
      <c r="A193" s="215">
        <v>257530</v>
      </c>
      <c r="B193" s="215">
        <v>255440</v>
      </c>
      <c r="C193" s="215">
        <v>248690</v>
      </c>
      <c r="D193" s="215">
        <v>248520</v>
      </c>
      <c r="E193">
        <v>140</v>
      </c>
      <c r="F193" s="99">
        <v>5.9999999999999995E-4</v>
      </c>
      <c r="G193" s="158">
        <v>44206</v>
      </c>
      <c r="H193" t="s">
        <v>6446</v>
      </c>
      <c r="I193" s="35" t="s">
        <v>6308</v>
      </c>
      <c r="L193" s="35" t="str">
        <f t="shared" si="4"/>
        <v>USD,20210110,248690,248690,245840,248520,1,1,1</v>
      </c>
    </row>
    <row r="194" spans="1:12">
      <c r="A194" s="215">
        <v>259030</v>
      </c>
      <c r="B194" s="215">
        <v>258440</v>
      </c>
      <c r="C194" s="215">
        <v>255550</v>
      </c>
      <c r="D194" s="215">
        <v>248660</v>
      </c>
      <c r="E194">
        <v>6850</v>
      </c>
      <c r="F194" s="99">
        <v>2.75E-2</v>
      </c>
      <c r="G194" s="158">
        <v>44205</v>
      </c>
      <c r="H194" t="s">
        <v>6447</v>
      </c>
      <c r="I194" s="35" t="s">
        <v>6308</v>
      </c>
      <c r="L194" s="35" t="str">
        <f t="shared" si="4"/>
        <v>USD,20210109,255550,255550,248640,248660,1,1,1</v>
      </c>
    </row>
    <row r="195" spans="1:12">
      <c r="A195" s="215">
        <v>257740</v>
      </c>
      <c r="B195" s="215">
        <v>257640</v>
      </c>
      <c r="C195" s="215">
        <v>257550</v>
      </c>
      <c r="D195" s="215">
        <v>255510</v>
      </c>
      <c r="E195">
        <v>3030</v>
      </c>
      <c r="F195" s="99">
        <v>1.1900000000000001E-2</v>
      </c>
      <c r="G195" s="158">
        <v>44203</v>
      </c>
      <c r="H195" t="s">
        <v>6448</v>
      </c>
      <c r="I195" s="35" t="s">
        <v>6308</v>
      </c>
      <c r="L195" s="35" t="str">
        <f t="shared" si="4"/>
        <v>USD,20210107,257530,257550,255440,255510,1,1,1</v>
      </c>
    </row>
    <row r="196" spans="1:12">
      <c r="A196" s="215">
        <v>255650</v>
      </c>
      <c r="B196" s="215">
        <v>255640</v>
      </c>
      <c r="C196" s="215">
        <v>259050</v>
      </c>
      <c r="D196" s="215">
        <v>258540</v>
      </c>
      <c r="E196">
        <v>480</v>
      </c>
      <c r="F196" s="99">
        <v>1.9E-3</v>
      </c>
      <c r="G196" s="158">
        <v>44202</v>
      </c>
      <c r="H196" t="s">
        <v>6449</v>
      </c>
      <c r="I196" s="35" t="s">
        <v>6308</v>
      </c>
      <c r="L196" s="35" t="str">
        <f t="shared" si="4"/>
        <v>USD,20210106,259030,259050,258440,258540,1,1,1</v>
      </c>
    </row>
    <row r="197" spans="1:12">
      <c r="A197" s="215">
        <v>256160</v>
      </c>
      <c r="B197" s="215">
        <v>255640</v>
      </c>
      <c r="C197" s="215">
        <v>259050</v>
      </c>
      <c r="D197" s="215">
        <v>259020</v>
      </c>
      <c r="E197">
        <v>1380</v>
      </c>
      <c r="F197" s="99">
        <v>5.4000000000000003E-3</v>
      </c>
      <c r="G197" s="158">
        <v>44201</v>
      </c>
      <c r="H197" t="s">
        <v>6450</v>
      </c>
      <c r="I197" s="35" t="s">
        <v>6308</v>
      </c>
      <c r="L197" s="35" t="str">
        <f t="shared" si="4"/>
        <v>USD,20210105,257740,259050,257640,259020,1,1,1</v>
      </c>
    </row>
    <row r="198" spans="1:12">
      <c r="A198" s="215">
        <v>256990</v>
      </c>
      <c r="B198" s="215">
        <v>256140</v>
      </c>
      <c r="C198" s="215">
        <v>257750</v>
      </c>
      <c r="D198" s="215">
        <v>257640</v>
      </c>
      <c r="E198">
        <v>1970</v>
      </c>
      <c r="F198" s="99">
        <v>7.7000000000000002E-3</v>
      </c>
      <c r="G198" s="158">
        <v>44200</v>
      </c>
      <c r="H198" t="s">
        <v>6213</v>
      </c>
      <c r="I198" s="35" t="s">
        <v>6308</v>
      </c>
      <c r="L198" s="35" t="str">
        <f t="shared" si="4"/>
        <v>USD,20210104,255650,257750,255640,257640,1,1,1</v>
      </c>
    </row>
    <row r="199" spans="1:12">
      <c r="A199" s="215">
        <v>257020</v>
      </c>
      <c r="B199" s="215">
        <v>256940</v>
      </c>
      <c r="C199" s="215">
        <v>256250</v>
      </c>
      <c r="D199" s="215">
        <v>255670</v>
      </c>
      <c r="E199">
        <v>520</v>
      </c>
      <c r="F199" s="99">
        <v>2E-3</v>
      </c>
      <c r="G199" s="158">
        <v>44199</v>
      </c>
      <c r="H199" t="s">
        <v>6451</v>
      </c>
      <c r="I199" s="35" t="s">
        <v>6308</v>
      </c>
      <c r="L199" s="35" t="str">
        <f t="shared" si="4"/>
        <v>USD,20210103,256160,256250,255640,255670,1,1,1</v>
      </c>
    </row>
    <row r="200" spans="1:12">
      <c r="A200" s="215">
        <v>256980</v>
      </c>
      <c r="B200" s="215">
        <v>256940</v>
      </c>
      <c r="C200" s="215">
        <v>257050</v>
      </c>
      <c r="D200" s="215">
        <v>256190</v>
      </c>
      <c r="E200">
        <v>820</v>
      </c>
      <c r="F200" s="99">
        <v>3.2000000000000002E-3</v>
      </c>
      <c r="G200" s="158">
        <v>44198</v>
      </c>
      <c r="H200" t="s">
        <v>6452</v>
      </c>
      <c r="I200" s="35" t="s">
        <v>6308</v>
      </c>
      <c r="L200" s="35" t="str">
        <f t="shared" si="4"/>
        <v>USD,20210102,256990,257050,256140,256190,1,1,1</v>
      </c>
    </row>
    <row r="201" spans="1:12">
      <c r="A201" s="215">
        <v>257440</v>
      </c>
      <c r="B201" s="215">
        <v>256940</v>
      </c>
      <c r="C201" s="215">
        <v>257050</v>
      </c>
      <c r="D201" s="215">
        <v>257010</v>
      </c>
      <c r="E201">
        <v>30</v>
      </c>
      <c r="F201" s="99">
        <v>1E-4</v>
      </c>
      <c r="G201" s="158">
        <v>44196</v>
      </c>
      <c r="H201" t="s">
        <v>6453</v>
      </c>
      <c r="I201" s="35" t="s">
        <v>6308</v>
      </c>
      <c r="L201" s="35" t="str">
        <f t="shared" si="4"/>
        <v>USD,20201231,257020,257050,256940,257010,1,1,1</v>
      </c>
    </row>
    <row r="202" spans="1:12">
      <c r="A202" s="215">
        <v>257350</v>
      </c>
      <c r="B202" s="215">
        <v>257340</v>
      </c>
      <c r="C202" s="215">
        <v>257050</v>
      </c>
      <c r="D202" s="215">
        <v>257040</v>
      </c>
      <c r="E202">
        <v>80</v>
      </c>
      <c r="F202" s="99">
        <v>2.9999999999999997E-4</v>
      </c>
      <c r="G202" s="158">
        <v>44195</v>
      </c>
      <c r="H202" t="s">
        <v>6454</v>
      </c>
      <c r="I202" s="35" t="s">
        <v>6308</v>
      </c>
      <c r="L202" s="35" t="str">
        <f t="shared" si="4"/>
        <v>USD,20201230,256980,257050,256940,257040,1,1,1</v>
      </c>
    </row>
    <row r="203" spans="1:12">
      <c r="A203" s="215">
        <v>257120</v>
      </c>
      <c r="B203" s="215">
        <v>256840</v>
      </c>
      <c r="C203" s="215">
        <v>257450</v>
      </c>
      <c r="D203" s="215">
        <v>256960</v>
      </c>
      <c r="E203">
        <v>400</v>
      </c>
      <c r="F203" s="99">
        <v>1.6000000000000001E-3</v>
      </c>
      <c r="G203" s="158">
        <v>44194</v>
      </c>
      <c r="H203" t="s">
        <v>6455</v>
      </c>
      <c r="I203" s="35" t="s">
        <v>6308</v>
      </c>
      <c r="L203" s="35" t="str">
        <f t="shared" si="4"/>
        <v>USD,20201229,257440,257450,256940,256960,1,1,1</v>
      </c>
    </row>
    <row r="204" spans="1:12">
      <c r="A204" s="215">
        <v>258570</v>
      </c>
      <c r="B204" s="215">
        <v>257040</v>
      </c>
      <c r="C204" s="215">
        <v>257450</v>
      </c>
      <c r="D204" s="215">
        <v>257360</v>
      </c>
      <c r="E204">
        <v>70</v>
      </c>
      <c r="F204" s="99">
        <v>2.9999999999999997E-4</v>
      </c>
      <c r="G204" s="158">
        <v>44193</v>
      </c>
      <c r="H204" t="s">
        <v>6456</v>
      </c>
      <c r="I204" s="35" t="s">
        <v>6308</v>
      </c>
      <c r="L204" s="35" t="str">
        <f t="shared" si="4"/>
        <v>USD,20201228,257350,257450,257340,257360,1,1,1</v>
      </c>
    </row>
    <row r="205" spans="1:12">
      <c r="A205" s="215">
        <v>257810</v>
      </c>
      <c r="B205" s="215">
        <v>257740</v>
      </c>
      <c r="C205" s="215">
        <v>257450</v>
      </c>
      <c r="D205" s="215">
        <v>257430</v>
      </c>
      <c r="E205">
        <v>320</v>
      </c>
      <c r="F205" s="99">
        <v>1.1999999999999999E-3</v>
      </c>
      <c r="G205" s="158">
        <v>44192</v>
      </c>
      <c r="H205" t="s">
        <v>6457</v>
      </c>
      <c r="I205" s="35" t="s">
        <v>6308</v>
      </c>
      <c r="L205" s="35" t="str">
        <f t="shared" si="4"/>
        <v>USD,20201227,257120,257450,256840,257430,1,1,1</v>
      </c>
    </row>
    <row r="206" spans="1:12">
      <c r="A206" s="215">
        <v>255250</v>
      </c>
      <c r="B206" s="215">
        <v>255140</v>
      </c>
      <c r="C206" s="215">
        <v>258650</v>
      </c>
      <c r="D206" s="215">
        <v>257110</v>
      </c>
      <c r="E206">
        <v>1510</v>
      </c>
      <c r="F206" s="99">
        <v>5.8999999999999999E-3</v>
      </c>
      <c r="G206" s="158">
        <v>44191</v>
      </c>
      <c r="H206" t="s">
        <v>6458</v>
      </c>
      <c r="I206" s="35" t="s">
        <v>6308</v>
      </c>
      <c r="L206" s="35" t="str">
        <f t="shared" si="4"/>
        <v>USD,20201226,258570,258650,257040,257110,1,1,1</v>
      </c>
    </row>
    <row r="207" spans="1:12">
      <c r="A207" s="215">
        <v>254460</v>
      </c>
      <c r="B207" s="215">
        <v>254440</v>
      </c>
      <c r="C207" s="215">
        <v>262050</v>
      </c>
      <c r="D207" s="215">
        <v>258620</v>
      </c>
      <c r="E207">
        <v>770</v>
      </c>
      <c r="F207" s="99">
        <v>3.0000000000000001E-3</v>
      </c>
      <c r="G207" s="158">
        <v>44189</v>
      </c>
      <c r="H207" t="s">
        <v>6459</v>
      </c>
      <c r="I207" s="35" t="s">
        <v>6308</v>
      </c>
      <c r="L207" s="35" t="str">
        <f t="shared" si="4"/>
        <v>USD,20201224,257810,262050,257740,258620,1,1,1</v>
      </c>
    </row>
    <row r="208" spans="1:12">
      <c r="A208" s="215">
        <v>253940</v>
      </c>
      <c r="B208" s="215">
        <v>252940</v>
      </c>
      <c r="C208" s="215">
        <v>257850</v>
      </c>
      <c r="D208" s="215">
        <v>257850</v>
      </c>
      <c r="E208">
        <v>2690</v>
      </c>
      <c r="F208" s="99">
        <v>1.0500000000000001E-2</v>
      </c>
      <c r="G208" s="158">
        <v>44188</v>
      </c>
      <c r="H208" t="s">
        <v>6460</v>
      </c>
      <c r="I208" s="35" t="s">
        <v>6308</v>
      </c>
      <c r="L208" s="35" t="str">
        <f t="shared" si="4"/>
        <v>USD,20201223,255250,257850,255140,257850,1,1,1</v>
      </c>
    </row>
    <row r="209" spans="1:12">
      <c r="A209" s="215">
        <v>255050</v>
      </c>
      <c r="B209" s="215">
        <v>253940</v>
      </c>
      <c r="C209" s="215">
        <v>255250</v>
      </c>
      <c r="D209" s="215">
        <v>255160</v>
      </c>
      <c r="E209">
        <v>690</v>
      </c>
      <c r="F209" s="99">
        <v>2.7000000000000001E-3</v>
      </c>
      <c r="G209" s="158">
        <v>44187</v>
      </c>
      <c r="H209" t="s">
        <v>6461</v>
      </c>
      <c r="I209" s="35" t="s">
        <v>6308</v>
      </c>
      <c r="L209" s="35" t="str">
        <f t="shared" si="4"/>
        <v>USD,20201222,254460,255250,254440,255160,1,1,1</v>
      </c>
    </row>
    <row r="210" spans="1:12">
      <c r="A210" s="215">
        <v>257440</v>
      </c>
      <c r="B210" s="215">
        <v>254940</v>
      </c>
      <c r="C210" s="215">
        <v>254550</v>
      </c>
      <c r="D210" s="215">
        <v>254470</v>
      </c>
      <c r="E210">
        <v>510</v>
      </c>
      <c r="F210" s="99">
        <v>2E-3</v>
      </c>
      <c r="G210" s="158">
        <v>44186</v>
      </c>
      <c r="H210" t="s">
        <v>6462</v>
      </c>
      <c r="I210" s="35" t="s">
        <v>6308</v>
      </c>
      <c r="L210" s="35" t="str">
        <f t="shared" si="4"/>
        <v>USD,20201221,253940,254550,252940,254470,1,1,1</v>
      </c>
    </row>
    <row r="211" spans="1:12">
      <c r="A211" s="215">
        <v>258040</v>
      </c>
      <c r="B211" s="215">
        <v>257940</v>
      </c>
      <c r="C211" s="215">
        <v>255050</v>
      </c>
      <c r="D211" s="215">
        <v>253960</v>
      </c>
      <c r="E211">
        <v>1030</v>
      </c>
      <c r="F211" s="99">
        <v>4.1000000000000003E-3</v>
      </c>
      <c r="G211" s="158">
        <v>44185</v>
      </c>
      <c r="H211" t="s">
        <v>6093</v>
      </c>
      <c r="I211" s="35" t="s">
        <v>6308</v>
      </c>
      <c r="L211" s="35" t="str">
        <f t="shared" si="4"/>
        <v>USD,20201220,255050,255050,253940,253960,1,1,1</v>
      </c>
    </row>
    <row r="212" spans="1:12">
      <c r="A212" s="215">
        <v>258480</v>
      </c>
      <c r="B212" s="215">
        <v>257940</v>
      </c>
      <c r="C212" s="215">
        <v>257550</v>
      </c>
      <c r="D212" s="215">
        <v>254990</v>
      </c>
      <c r="E212">
        <v>3030</v>
      </c>
      <c r="F212" s="99">
        <v>1.1900000000000001E-2</v>
      </c>
      <c r="G212" s="158">
        <v>44184</v>
      </c>
      <c r="H212" t="s">
        <v>6463</v>
      </c>
      <c r="I212" s="35" t="s">
        <v>6308</v>
      </c>
      <c r="L212" s="35" t="str">
        <f t="shared" si="4"/>
        <v>USD,20201219,257440,257550,254940,254990,1,1,1</v>
      </c>
    </row>
    <row r="213" spans="1:12">
      <c r="A213" s="215">
        <v>256960</v>
      </c>
      <c r="B213" s="215">
        <v>256440</v>
      </c>
      <c r="C213" s="215">
        <v>258050</v>
      </c>
      <c r="D213" s="215">
        <v>258020</v>
      </c>
      <c r="E213">
        <v>10</v>
      </c>
      <c r="F213" t="s">
        <v>6307</v>
      </c>
      <c r="G213" s="158">
        <v>44182</v>
      </c>
      <c r="H213" t="s">
        <v>6464</v>
      </c>
      <c r="I213" s="35" t="s">
        <v>6308</v>
      </c>
      <c r="L213" s="35" t="str">
        <f t="shared" si="4"/>
        <v>USD,20201217,258040,258050,257940,258020,1,1,1</v>
      </c>
    </row>
    <row r="214" spans="1:12">
      <c r="A214" s="215">
        <v>257980</v>
      </c>
      <c r="B214" s="215">
        <v>256940</v>
      </c>
      <c r="C214" s="215">
        <v>259550</v>
      </c>
      <c r="D214" s="215">
        <v>258030</v>
      </c>
      <c r="E214">
        <v>510</v>
      </c>
      <c r="F214" s="99">
        <v>2E-3</v>
      </c>
      <c r="G214" s="158">
        <v>44181</v>
      </c>
      <c r="H214" t="s">
        <v>6465</v>
      </c>
      <c r="I214" s="35" t="s">
        <v>6308</v>
      </c>
      <c r="L214" s="35" t="str">
        <f t="shared" si="4"/>
        <v>USD,20201216,258480,259550,257940,258030,1,1,1</v>
      </c>
    </row>
    <row r="215" spans="1:12">
      <c r="A215" s="215">
        <v>259960</v>
      </c>
      <c r="B215" s="215">
        <v>257940</v>
      </c>
      <c r="C215" s="215">
        <v>258550</v>
      </c>
      <c r="D215" s="215">
        <v>258540</v>
      </c>
      <c r="E215">
        <v>1590</v>
      </c>
      <c r="F215" s="99">
        <v>6.1999999999999998E-3</v>
      </c>
      <c r="G215" s="158">
        <v>44180</v>
      </c>
      <c r="H215" t="s">
        <v>6467</v>
      </c>
      <c r="I215" s="35" t="s">
        <v>6308</v>
      </c>
      <c r="L215" s="35" t="str">
        <f t="shared" si="4"/>
        <v>USD,20201215,256960,258550,256440,258540,1,1,1</v>
      </c>
    </row>
    <row r="216" spans="1:12">
      <c r="A216" s="215">
        <v>260750</v>
      </c>
      <c r="B216" s="215">
        <v>259940</v>
      </c>
      <c r="C216" s="215">
        <v>258050</v>
      </c>
      <c r="D216" s="215">
        <v>256950</v>
      </c>
      <c r="E216">
        <v>1090</v>
      </c>
      <c r="F216" s="99">
        <v>4.1999999999999997E-3</v>
      </c>
      <c r="G216" s="158">
        <v>44179</v>
      </c>
      <c r="H216" t="s">
        <v>6468</v>
      </c>
      <c r="I216" s="35" t="s">
        <v>6308</v>
      </c>
      <c r="L216" s="35" t="str">
        <f t="shared" si="4"/>
        <v>USD,20201214,257980,258050,256940,256950,1,1,1</v>
      </c>
    </row>
    <row r="217" spans="1:12">
      <c r="A217" s="215">
        <v>261250</v>
      </c>
      <c r="B217" s="215">
        <v>260640</v>
      </c>
      <c r="C217" s="215">
        <v>260050</v>
      </c>
      <c r="D217" s="215">
        <v>258040</v>
      </c>
      <c r="E217">
        <v>2010</v>
      </c>
      <c r="F217" s="99">
        <v>7.7999999999999996E-3</v>
      </c>
      <c r="G217" s="158">
        <v>44178</v>
      </c>
      <c r="H217" t="s">
        <v>6469</v>
      </c>
      <c r="I217" s="35" t="s">
        <v>6308</v>
      </c>
      <c r="L217" s="35" t="str">
        <f t="shared" si="4"/>
        <v>USD,20201213,259960,260050,257940,258040,1,1,1</v>
      </c>
    </row>
    <row r="218" spans="1:12">
      <c r="A218" s="215">
        <v>255970</v>
      </c>
      <c r="B218" s="215">
        <v>255940</v>
      </c>
      <c r="C218" s="215">
        <v>260750</v>
      </c>
      <c r="D218" s="215">
        <v>260050</v>
      </c>
      <c r="E218">
        <v>600</v>
      </c>
      <c r="F218" s="99">
        <v>2.3E-3</v>
      </c>
      <c r="G218" s="158">
        <v>44177</v>
      </c>
      <c r="H218" t="s">
        <v>6470</v>
      </c>
      <c r="I218" s="35" t="s">
        <v>6308</v>
      </c>
      <c r="L218" s="35" t="str">
        <f t="shared" si="4"/>
        <v>USD,20201212,260750,260750,259940,260050,1,1,1</v>
      </c>
    </row>
    <row r="219" spans="1:12">
      <c r="A219" s="215">
        <v>255980</v>
      </c>
      <c r="B219" s="215">
        <v>255940</v>
      </c>
      <c r="C219" s="215">
        <v>261250</v>
      </c>
      <c r="D219" s="215">
        <v>260650</v>
      </c>
      <c r="E219">
        <v>880</v>
      </c>
      <c r="F219" s="99">
        <v>3.3999999999999998E-3</v>
      </c>
      <c r="G219" s="158">
        <v>44175</v>
      </c>
      <c r="H219" t="s">
        <v>6471</v>
      </c>
      <c r="I219" s="35" t="s">
        <v>6308</v>
      </c>
      <c r="L219" s="35" t="str">
        <f t="shared" si="4"/>
        <v>USD,20201210,261250,261250,260640,260650,1,1,1</v>
      </c>
    </row>
    <row r="220" spans="1:12">
      <c r="A220" s="215">
        <v>256010</v>
      </c>
      <c r="B220" s="215">
        <v>255940</v>
      </c>
      <c r="C220" s="215">
        <v>259850</v>
      </c>
      <c r="D220" s="215">
        <v>259770</v>
      </c>
      <c r="E220">
        <v>3830</v>
      </c>
      <c r="F220" s="99">
        <v>1.4999999999999999E-2</v>
      </c>
      <c r="G220" s="158">
        <v>44174</v>
      </c>
      <c r="H220" t="s">
        <v>6472</v>
      </c>
      <c r="I220" s="35" t="s">
        <v>6308</v>
      </c>
      <c r="L220" s="35" t="str">
        <f t="shared" si="4"/>
        <v>USD,20201209,255970,259850,255940,259770,1,1,1</v>
      </c>
    </row>
    <row r="221" spans="1:12">
      <c r="A221" s="215">
        <v>256950</v>
      </c>
      <c r="B221" s="215">
        <v>255940</v>
      </c>
      <c r="C221" s="215">
        <v>256050</v>
      </c>
      <c r="D221" s="215">
        <v>255940</v>
      </c>
      <c r="E221">
        <v>10</v>
      </c>
      <c r="F221" t="s">
        <v>6307</v>
      </c>
      <c r="G221" s="158">
        <v>44173</v>
      </c>
      <c r="H221" t="s">
        <v>6473</v>
      </c>
      <c r="I221" s="35" t="s">
        <v>6308</v>
      </c>
      <c r="L221" s="35" t="str">
        <f t="shared" si="4"/>
        <v>USD,20201208,255980,256050,255940,255940,1,1,1</v>
      </c>
    </row>
    <row r="222" spans="1:12">
      <c r="A222" s="215">
        <v>254710</v>
      </c>
      <c r="B222" s="215">
        <v>254670</v>
      </c>
      <c r="C222" s="215">
        <v>256050</v>
      </c>
      <c r="D222" s="215">
        <v>255950</v>
      </c>
      <c r="E222" t="s">
        <v>6307</v>
      </c>
      <c r="F222" t="s">
        <v>6307</v>
      </c>
      <c r="G222" s="158">
        <v>44172</v>
      </c>
      <c r="H222" t="s">
        <v>6474</v>
      </c>
      <c r="I222" s="35" t="s">
        <v>6308</v>
      </c>
      <c r="L222" s="35" t="str">
        <f t="shared" si="4"/>
        <v>USD,20201207,256010,256050,255940,255950,1,1,1</v>
      </c>
    </row>
    <row r="223" spans="1:12">
      <c r="A223" s="215">
        <v>254730</v>
      </c>
      <c r="B223" s="215">
        <v>254640</v>
      </c>
      <c r="C223" s="215">
        <v>257050</v>
      </c>
      <c r="D223" s="215">
        <v>255950</v>
      </c>
      <c r="E223">
        <v>1070</v>
      </c>
      <c r="F223" s="99">
        <v>4.1999999999999997E-3</v>
      </c>
      <c r="G223" s="158">
        <v>44171</v>
      </c>
      <c r="H223" t="s">
        <v>6475</v>
      </c>
      <c r="I223" s="35" t="s">
        <v>6308</v>
      </c>
      <c r="L223" s="35" t="str">
        <f t="shared" si="4"/>
        <v>USD,20201206,256950,257050,255940,255950,1,1,1</v>
      </c>
    </row>
    <row r="224" spans="1:12">
      <c r="A224" s="215">
        <v>256190</v>
      </c>
      <c r="B224" s="215">
        <v>256160</v>
      </c>
      <c r="C224" s="215">
        <v>257050</v>
      </c>
      <c r="D224" s="215">
        <v>257020</v>
      </c>
      <c r="E224">
        <v>2340</v>
      </c>
      <c r="F224" s="99">
        <v>9.1999999999999998E-3</v>
      </c>
      <c r="G224" s="158">
        <v>44170</v>
      </c>
      <c r="H224" t="s">
        <v>6476</v>
      </c>
      <c r="I224" s="35" t="s">
        <v>6308</v>
      </c>
      <c r="L224" s="35" t="str">
        <f t="shared" si="4"/>
        <v>USD,20201205,254710,257050,254670,257020,1,1,1</v>
      </c>
    </row>
    <row r="225" spans="1:12">
      <c r="A225" s="215">
        <v>250070</v>
      </c>
      <c r="B225" s="215">
        <v>245160</v>
      </c>
      <c r="C225" s="215">
        <v>254770</v>
      </c>
      <c r="D225" s="215">
        <v>254680</v>
      </c>
      <c r="E225">
        <v>1550</v>
      </c>
      <c r="F225" s="99">
        <v>6.1000000000000004E-3</v>
      </c>
      <c r="G225" s="158">
        <v>44168</v>
      </c>
      <c r="H225" t="s">
        <v>6477</v>
      </c>
      <c r="I225" s="35" t="s">
        <v>6308</v>
      </c>
      <c r="L225" s="35" t="str">
        <f t="shared" si="4"/>
        <v>USD,20201203,254730,254770,254640,254680,1,1,1</v>
      </c>
    </row>
    <row r="226" spans="1:12">
      <c r="A226" s="215">
        <v>245490</v>
      </c>
      <c r="B226" s="215">
        <v>245460</v>
      </c>
      <c r="C226" s="215">
        <v>256270</v>
      </c>
      <c r="D226" s="215">
        <v>256230</v>
      </c>
      <c r="E226">
        <v>70</v>
      </c>
      <c r="F226" s="99">
        <v>2.9999999999999997E-4</v>
      </c>
      <c r="G226" s="158">
        <v>44167</v>
      </c>
      <c r="H226" t="s">
        <v>6478</v>
      </c>
      <c r="I226" s="35" t="s">
        <v>6308</v>
      </c>
      <c r="L226" s="35" t="str">
        <f t="shared" si="4"/>
        <v>USD,20201202,256190,256270,256160,256230,1,1,1</v>
      </c>
    </row>
    <row r="227" spans="1:12">
      <c r="A227" s="215">
        <v>247560</v>
      </c>
      <c r="B227" s="215">
        <v>243950</v>
      </c>
      <c r="C227" s="215">
        <v>256270</v>
      </c>
      <c r="D227" s="215">
        <v>256160</v>
      </c>
      <c r="E227">
        <v>6130</v>
      </c>
      <c r="F227" s="99">
        <v>2.4500000000000001E-2</v>
      </c>
      <c r="G227" s="158">
        <v>44166</v>
      </c>
      <c r="H227" t="s">
        <v>6479</v>
      </c>
      <c r="I227" s="35" t="s">
        <v>6308</v>
      </c>
      <c r="L227" s="35" t="str">
        <f t="shared" si="4"/>
        <v>USD,20201201,250070,256270,245160,256160,1,1,1</v>
      </c>
    </row>
    <row r="228" spans="1:12">
      <c r="A228" s="215">
        <v>247560</v>
      </c>
      <c r="B228" s="215">
        <v>247460</v>
      </c>
      <c r="C228" s="215">
        <v>253050</v>
      </c>
      <c r="D228" s="215">
        <v>250030</v>
      </c>
      <c r="E228">
        <v>4520</v>
      </c>
      <c r="F228" s="99">
        <v>1.84E-2</v>
      </c>
      <c r="G228" s="158">
        <v>44165</v>
      </c>
      <c r="H228" t="s">
        <v>6480</v>
      </c>
      <c r="I228" s="35" t="s">
        <v>6308</v>
      </c>
      <c r="L228" s="35" t="str">
        <f t="shared" si="4"/>
        <v>USD,20201130,245490,253050,245460,250030,1,1,1</v>
      </c>
    </row>
    <row r="229" spans="1:12">
      <c r="A229" s="215">
        <v>248500</v>
      </c>
      <c r="B229" s="215">
        <v>247460</v>
      </c>
      <c r="C229" s="215">
        <v>247570</v>
      </c>
      <c r="D229" s="215">
        <v>245510</v>
      </c>
      <c r="E229">
        <v>2020</v>
      </c>
      <c r="F229" s="99">
        <v>8.2000000000000007E-3</v>
      </c>
      <c r="G229" s="158">
        <v>44164</v>
      </c>
      <c r="H229" t="s">
        <v>6481</v>
      </c>
      <c r="I229" s="35" t="s">
        <v>6308</v>
      </c>
      <c r="L229" s="35" t="str">
        <f t="shared" si="4"/>
        <v>USD,20201129,247560,247570,243950,245510,1,1,1</v>
      </c>
    </row>
    <row r="230" spans="1:12">
      <c r="A230" s="215">
        <v>250490</v>
      </c>
      <c r="B230" s="215">
        <v>249500</v>
      </c>
      <c r="C230" s="215">
        <v>247570</v>
      </c>
      <c r="D230" s="215">
        <v>247530</v>
      </c>
      <c r="E230">
        <v>40</v>
      </c>
      <c r="F230" s="99">
        <v>2.0000000000000001E-4</v>
      </c>
      <c r="G230" s="158">
        <v>44163</v>
      </c>
      <c r="H230" t="s">
        <v>6482</v>
      </c>
      <c r="I230" s="35" t="s">
        <v>6308</v>
      </c>
      <c r="L230" s="35" t="str">
        <f t="shared" si="4"/>
        <v>USD,20201128,247560,247570,247460,247530,1,1,1</v>
      </c>
    </row>
    <row r="231" spans="1:12">
      <c r="A231" s="215">
        <v>255470</v>
      </c>
      <c r="B231" s="215">
        <v>250450</v>
      </c>
      <c r="C231" s="215">
        <v>248570</v>
      </c>
      <c r="D231" s="215">
        <v>247570</v>
      </c>
      <c r="E231">
        <v>1930</v>
      </c>
      <c r="F231" s="99">
        <v>7.7999999999999996E-3</v>
      </c>
      <c r="G231" s="158">
        <v>44161</v>
      </c>
      <c r="H231" t="s">
        <v>6483</v>
      </c>
      <c r="I231" s="35" t="s">
        <v>6308</v>
      </c>
      <c r="L231" s="35" t="str">
        <f t="shared" si="4"/>
        <v>USD,20201126,248500,248570,247460,247570,1,1,1</v>
      </c>
    </row>
    <row r="232" spans="1:12">
      <c r="A232" s="215">
        <v>256030</v>
      </c>
      <c r="B232" s="215">
        <v>255450</v>
      </c>
      <c r="C232" s="215">
        <v>250570</v>
      </c>
      <c r="D232" s="215">
        <v>249500</v>
      </c>
      <c r="E232">
        <v>960</v>
      </c>
      <c r="F232" s="99">
        <v>3.8E-3</v>
      </c>
      <c r="G232" s="158">
        <v>44160</v>
      </c>
      <c r="H232" t="s">
        <v>6484</v>
      </c>
      <c r="I232" s="35" t="s">
        <v>6308</v>
      </c>
      <c r="L232" s="35" t="str">
        <f t="shared" si="4"/>
        <v>USD,20201125,250490,250570,249500,249500,1,1,1</v>
      </c>
    </row>
    <row r="233" spans="1:12">
      <c r="A233" s="215">
        <v>258470</v>
      </c>
      <c r="B233" s="215">
        <v>254450</v>
      </c>
      <c r="C233" s="215">
        <v>255560</v>
      </c>
      <c r="D233" s="215">
        <v>250460</v>
      </c>
      <c r="E233">
        <v>4990</v>
      </c>
      <c r="F233" s="99">
        <v>1.9900000000000001E-2</v>
      </c>
      <c r="G233" s="158">
        <v>44159</v>
      </c>
      <c r="H233" t="s">
        <v>6485</v>
      </c>
      <c r="I233" s="35" t="s">
        <v>6308</v>
      </c>
      <c r="L233" s="35" t="str">
        <f t="shared" si="4"/>
        <v>USD,20201124,255470,255560,250450,250460,1,1,1</v>
      </c>
    </row>
    <row r="234" spans="1:12">
      <c r="A234" s="215">
        <v>256250</v>
      </c>
      <c r="B234" s="215">
        <v>256150</v>
      </c>
      <c r="C234" s="215">
        <v>256060</v>
      </c>
      <c r="D234" s="215">
        <v>255450</v>
      </c>
      <c r="E234">
        <v>920</v>
      </c>
      <c r="F234" s="99">
        <v>3.5999999999999999E-3</v>
      </c>
      <c r="G234" s="158">
        <v>44158</v>
      </c>
      <c r="H234" t="s">
        <v>6486</v>
      </c>
      <c r="I234" s="35" t="s">
        <v>6308</v>
      </c>
      <c r="L234" s="35" t="str">
        <f t="shared" si="4"/>
        <v>USD,20201123,256030,256060,255450,255450,1,1,1</v>
      </c>
    </row>
    <row r="235" spans="1:12">
      <c r="A235" s="215">
        <v>256170</v>
      </c>
      <c r="B235" s="215">
        <v>256150</v>
      </c>
      <c r="C235" s="215">
        <v>258560</v>
      </c>
      <c r="D235" s="215">
        <v>254530</v>
      </c>
      <c r="E235">
        <v>5020</v>
      </c>
      <c r="F235" s="99">
        <v>1.9699999999999999E-2</v>
      </c>
      <c r="G235" s="158">
        <v>44157</v>
      </c>
      <c r="H235" t="s">
        <v>6466</v>
      </c>
      <c r="I235" s="35" t="s">
        <v>6308</v>
      </c>
      <c r="L235" s="35" t="str">
        <f t="shared" si="4"/>
        <v>USD,20201122,258470,258560,254450,254530,1,1,1</v>
      </c>
    </row>
    <row r="236" spans="1:12">
      <c r="A236" s="215">
        <v>259020</v>
      </c>
      <c r="B236" s="215">
        <v>256150</v>
      </c>
      <c r="C236" s="215">
        <v>260560</v>
      </c>
      <c r="D236" s="215">
        <v>259550</v>
      </c>
      <c r="E236">
        <v>3350</v>
      </c>
      <c r="F236" s="99">
        <v>1.3100000000000001E-2</v>
      </c>
      <c r="G236" s="158">
        <v>44156</v>
      </c>
      <c r="H236" t="s">
        <v>6487</v>
      </c>
      <c r="I236" s="35" t="s">
        <v>6308</v>
      </c>
      <c r="L236" s="35" t="str">
        <f t="shared" si="4"/>
        <v>USD,20201121,256250,260560,256150,259550,1,1,1</v>
      </c>
    </row>
    <row r="237" spans="1:12">
      <c r="A237" s="215">
        <v>258960</v>
      </c>
      <c r="B237" s="215">
        <v>258950</v>
      </c>
      <c r="C237" s="215">
        <v>256260</v>
      </c>
      <c r="D237" s="215">
        <v>256200</v>
      </c>
      <c r="E237">
        <v>20</v>
      </c>
      <c r="F237" s="99">
        <v>1E-4</v>
      </c>
      <c r="G237" s="158">
        <v>44154</v>
      </c>
      <c r="H237" t="s">
        <v>6488</v>
      </c>
      <c r="I237" s="35" t="s">
        <v>6308</v>
      </c>
      <c r="L237" s="35" t="str">
        <f t="shared" si="4"/>
        <v>USD,20201119,256170,256260,256150,256200,1,1,1</v>
      </c>
    </row>
    <row r="238" spans="1:12">
      <c r="A238" s="215">
        <v>260020</v>
      </c>
      <c r="B238" s="215">
        <v>258950</v>
      </c>
      <c r="C238" s="215">
        <v>259020</v>
      </c>
      <c r="D238" s="215">
        <v>256220</v>
      </c>
      <c r="E238">
        <v>2750</v>
      </c>
      <c r="F238" s="99">
        <v>1.0699999999999999E-2</v>
      </c>
      <c r="G238" s="158">
        <v>44153</v>
      </c>
      <c r="H238" t="s">
        <v>6489</v>
      </c>
      <c r="I238" s="35" t="s">
        <v>6308</v>
      </c>
      <c r="L238" s="35" t="str">
        <f t="shared" si="4"/>
        <v>USD,20201118,259020,259020,256150,256220,1,1,1</v>
      </c>
    </row>
    <row r="239" spans="1:12">
      <c r="A239" s="215">
        <v>267480</v>
      </c>
      <c r="B239" s="215">
        <v>259950</v>
      </c>
      <c r="C239" s="215">
        <v>262060</v>
      </c>
      <c r="D239" s="215">
        <v>258970</v>
      </c>
      <c r="E239">
        <v>10</v>
      </c>
      <c r="F239" t="s">
        <v>6307</v>
      </c>
      <c r="G239" s="158">
        <v>44152</v>
      </c>
      <c r="H239" t="s">
        <v>6490</v>
      </c>
      <c r="I239" s="35" t="s">
        <v>6308</v>
      </c>
      <c r="L239" s="35" t="str">
        <f t="shared" si="4"/>
        <v>USD,20201117,258960,262060,258950,258970,1,1,1</v>
      </c>
    </row>
    <row r="240" spans="1:12">
      <c r="A240" s="215">
        <v>268550</v>
      </c>
      <c r="B240" s="215">
        <v>267450</v>
      </c>
      <c r="C240" s="215">
        <v>260060</v>
      </c>
      <c r="D240" s="215">
        <v>258980</v>
      </c>
      <c r="E240">
        <v>1050</v>
      </c>
      <c r="F240" s="99">
        <v>4.1000000000000003E-3</v>
      </c>
      <c r="G240" s="158">
        <v>44151</v>
      </c>
      <c r="H240" t="s">
        <v>6491</v>
      </c>
      <c r="I240" s="35" t="s">
        <v>6308</v>
      </c>
      <c r="L240" s="35" t="str">
        <f t="shared" si="4"/>
        <v>USD,20201116,260020,260060,258950,258980,1,1,1</v>
      </c>
    </row>
    <row r="241" spans="1:12">
      <c r="A241" s="215">
        <v>269530</v>
      </c>
      <c r="B241" s="215">
        <v>268450</v>
      </c>
      <c r="C241" s="215">
        <v>267560</v>
      </c>
      <c r="D241" s="215">
        <v>260030</v>
      </c>
      <c r="E241">
        <v>7500</v>
      </c>
      <c r="F241" s="99">
        <v>2.8799999999999999E-2</v>
      </c>
      <c r="G241" s="158">
        <v>44150</v>
      </c>
      <c r="H241" t="s">
        <v>6492</v>
      </c>
      <c r="I241" s="35" t="s">
        <v>6308</v>
      </c>
      <c r="L241" s="35" t="str">
        <f t="shared" si="4"/>
        <v>USD,20201115,267480,267560,259950,260030,1,1,1</v>
      </c>
    </row>
    <row r="242" spans="1:12">
      <c r="A242" s="215">
        <v>271040</v>
      </c>
      <c r="B242" s="215">
        <v>269950</v>
      </c>
      <c r="C242" s="215">
        <v>269560</v>
      </c>
      <c r="D242" s="215">
        <v>267530</v>
      </c>
      <c r="E242">
        <v>990</v>
      </c>
      <c r="F242" s="99">
        <v>3.7000000000000002E-3</v>
      </c>
      <c r="G242" s="158">
        <v>44149</v>
      </c>
      <c r="H242" t="s">
        <v>6493</v>
      </c>
      <c r="I242" s="35" t="s">
        <v>6308</v>
      </c>
      <c r="L242" s="35" t="str">
        <f t="shared" si="4"/>
        <v>USD,20201114,268550,269560,267450,267530,1,1,1</v>
      </c>
    </row>
    <row r="243" spans="1:12">
      <c r="A243" s="215">
        <v>248030</v>
      </c>
      <c r="B243" s="215">
        <v>247950</v>
      </c>
      <c r="C243" s="215">
        <v>269560</v>
      </c>
      <c r="D243" s="215">
        <v>268520</v>
      </c>
      <c r="E243">
        <v>1470</v>
      </c>
      <c r="F243" s="99">
        <v>5.4999999999999997E-3</v>
      </c>
      <c r="G243" s="158">
        <v>44147</v>
      </c>
      <c r="H243" t="s">
        <v>6494</v>
      </c>
      <c r="I243" s="35" t="s">
        <v>6308</v>
      </c>
      <c r="L243" s="35" t="str">
        <f t="shared" si="4"/>
        <v>USD,20201112,269530,269560,268450,268520,1,1,1</v>
      </c>
    </row>
    <row r="244" spans="1:12">
      <c r="A244" s="215">
        <v>234950</v>
      </c>
      <c r="B244" s="215">
        <v>234950</v>
      </c>
      <c r="C244" s="215">
        <v>271060</v>
      </c>
      <c r="D244" s="215">
        <v>269990</v>
      </c>
      <c r="E244">
        <v>1000</v>
      </c>
      <c r="F244" s="99">
        <v>3.7000000000000002E-3</v>
      </c>
      <c r="G244" s="158">
        <v>44146</v>
      </c>
      <c r="H244" t="s">
        <v>6495</v>
      </c>
      <c r="I244" s="35" t="s">
        <v>6308</v>
      </c>
      <c r="L244" s="35" t="str">
        <f t="shared" si="4"/>
        <v>USD,20201111,271040,271060,269950,269990,1,1,1</v>
      </c>
    </row>
    <row r="245" spans="1:12">
      <c r="A245" s="215">
        <v>228900</v>
      </c>
      <c r="B245" s="215">
        <v>228850</v>
      </c>
      <c r="C245" s="215">
        <v>271060</v>
      </c>
      <c r="D245" s="215">
        <v>270990</v>
      </c>
      <c r="E245">
        <v>23000</v>
      </c>
      <c r="F245" s="99">
        <v>9.2700000000000005E-2</v>
      </c>
      <c r="G245" s="158">
        <v>44145</v>
      </c>
      <c r="H245" t="s">
        <v>6496</v>
      </c>
      <c r="I245" s="35" t="s">
        <v>6308</v>
      </c>
      <c r="L245" s="35" t="str">
        <f t="shared" si="4"/>
        <v>USD,20201110,248030,271060,247950,270990,1,1,1</v>
      </c>
    </row>
    <row r="246" spans="1:12">
      <c r="A246" s="215">
        <v>263450</v>
      </c>
      <c r="B246" s="215">
        <v>244950</v>
      </c>
      <c r="C246" s="215">
        <v>248060</v>
      </c>
      <c r="D246" s="215">
        <v>247990</v>
      </c>
      <c r="E246">
        <v>13000</v>
      </c>
      <c r="F246" s="99">
        <v>5.5300000000000002E-2</v>
      </c>
      <c r="G246" s="158">
        <v>44144</v>
      </c>
      <c r="H246" t="s">
        <v>6497</v>
      </c>
      <c r="I246" s="35" t="s">
        <v>6308</v>
      </c>
      <c r="L246" s="35" t="str">
        <f t="shared" si="4"/>
        <v>USD,20201109,234950,248060,234950,247990,1,1,1</v>
      </c>
    </row>
    <row r="247" spans="1:12">
      <c r="A247" s="215">
        <v>268460</v>
      </c>
      <c r="B247" s="215">
        <v>263450</v>
      </c>
      <c r="C247" s="215">
        <v>235060</v>
      </c>
      <c r="D247" s="215">
        <v>234990</v>
      </c>
      <c r="E247">
        <v>10000</v>
      </c>
      <c r="F247" s="99">
        <v>4.2599999999999999E-2</v>
      </c>
      <c r="G247" s="158">
        <v>44143</v>
      </c>
      <c r="H247" t="s">
        <v>6498</v>
      </c>
      <c r="I247" s="35" t="s">
        <v>6308</v>
      </c>
      <c r="L247" s="35" t="str">
        <f t="shared" ref="L247:L310" si="5">CONCATENATE("USD",I247,TEXT(G247,"yyyymmdd"),I247,A245,I247,C247,I247,B245,I247,D247,I247,"1,1,1")</f>
        <v>USD,20201108,228900,235060,228850,234990,1,1,1</v>
      </c>
    </row>
    <row r="248" spans="1:12">
      <c r="A248" s="215">
        <v>282370</v>
      </c>
      <c r="B248" s="215">
        <v>282350</v>
      </c>
      <c r="C248" s="215">
        <v>263450</v>
      </c>
      <c r="D248" s="215">
        <v>244990</v>
      </c>
      <c r="E248">
        <v>18560</v>
      </c>
      <c r="F248" s="99">
        <v>7.5800000000000006E-2</v>
      </c>
      <c r="G248" s="158">
        <v>44142</v>
      </c>
      <c r="H248" t="s">
        <v>6499</v>
      </c>
      <c r="I248" s="35" t="s">
        <v>6308</v>
      </c>
      <c r="L248" s="35" t="str">
        <f t="shared" si="5"/>
        <v>USD,20201107,263450,263450,244950,244990,1,1,1</v>
      </c>
    </row>
    <row r="249" spans="1:12">
      <c r="A249" s="215">
        <v>272020</v>
      </c>
      <c r="B249" s="215">
        <v>271950</v>
      </c>
      <c r="C249" s="215">
        <v>268560</v>
      </c>
      <c r="D249" s="215">
        <v>263550</v>
      </c>
      <c r="E249">
        <v>25720</v>
      </c>
      <c r="F249" s="99">
        <v>9.7600000000000006E-2</v>
      </c>
      <c r="G249" s="158">
        <v>44140</v>
      </c>
      <c r="H249" t="s">
        <v>6500</v>
      </c>
      <c r="I249" s="35" t="s">
        <v>6308</v>
      </c>
      <c r="L249" s="35" t="str">
        <f t="shared" si="5"/>
        <v>USD,20201105,268460,268560,263450,263550,1,1,1</v>
      </c>
    </row>
    <row r="250" spans="1:12">
      <c r="A250" s="215">
        <v>268670</v>
      </c>
      <c r="B250" s="215">
        <v>266950</v>
      </c>
      <c r="C250" s="215">
        <v>289360</v>
      </c>
      <c r="D250" s="215">
        <v>289270</v>
      </c>
      <c r="E250">
        <v>6850</v>
      </c>
      <c r="F250" s="99">
        <v>2.4299999999999999E-2</v>
      </c>
      <c r="G250" s="158">
        <v>44139</v>
      </c>
      <c r="H250" t="s">
        <v>6501</v>
      </c>
      <c r="I250" s="35" t="s">
        <v>6308</v>
      </c>
      <c r="L250" s="35" t="str">
        <f t="shared" si="5"/>
        <v>USD,20201104,282370,289360,282350,289270,1,1,1</v>
      </c>
    </row>
    <row r="251" spans="1:12">
      <c r="A251" s="215">
        <v>277260</v>
      </c>
      <c r="B251" s="215">
        <v>268650</v>
      </c>
      <c r="C251" s="215">
        <v>282460</v>
      </c>
      <c r="D251" s="215">
        <v>282420</v>
      </c>
      <c r="E251">
        <v>10360</v>
      </c>
      <c r="F251" s="99">
        <v>3.8100000000000002E-2</v>
      </c>
      <c r="G251" s="158">
        <v>44137</v>
      </c>
      <c r="H251" t="s">
        <v>6502</v>
      </c>
      <c r="I251" s="35" t="s">
        <v>6308</v>
      </c>
      <c r="L251" s="35" t="str">
        <f t="shared" si="5"/>
        <v>USD,20201102,272020,282460,271950,282420,1,1,1</v>
      </c>
    </row>
    <row r="252" spans="1:12">
      <c r="A252" s="215">
        <v>277460</v>
      </c>
      <c r="B252" s="215">
        <v>277450</v>
      </c>
      <c r="C252" s="215">
        <v>272060</v>
      </c>
      <c r="D252" s="215">
        <v>272060</v>
      </c>
      <c r="E252">
        <v>3340</v>
      </c>
      <c r="F252" s="99">
        <v>1.24E-2</v>
      </c>
      <c r="G252" s="158">
        <v>44136</v>
      </c>
      <c r="H252" t="s">
        <v>6503</v>
      </c>
      <c r="I252" s="35" t="s">
        <v>6308</v>
      </c>
      <c r="L252" s="35" t="str">
        <f t="shared" si="5"/>
        <v>USD,20201101,268670,272060,266950,272060,1,1,1</v>
      </c>
    </row>
    <row r="253" spans="1:12">
      <c r="A253" s="215">
        <v>282300</v>
      </c>
      <c r="B253" s="215">
        <v>278450</v>
      </c>
      <c r="C253" s="215">
        <v>277260</v>
      </c>
      <c r="D253" s="215">
        <v>268720</v>
      </c>
      <c r="E253">
        <v>8780</v>
      </c>
      <c r="F253" s="99">
        <v>3.27E-2</v>
      </c>
      <c r="G253" s="158">
        <v>44135</v>
      </c>
      <c r="H253" t="s">
        <v>6504</v>
      </c>
      <c r="I253" s="35" t="s">
        <v>6308</v>
      </c>
      <c r="L253" s="35" t="str">
        <f t="shared" si="5"/>
        <v>USD,20201031,277260,277260,268650,268720,1,1,1</v>
      </c>
    </row>
    <row r="254" spans="1:12">
      <c r="A254" s="215">
        <v>279770</v>
      </c>
      <c r="B254" s="215">
        <v>279750</v>
      </c>
      <c r="C254" s="215">
        <v>277560</v>
      </c>
      <c r="D254" s="215">
        <v>277500</v>
      </c>
      <c r="E254">
        <v>970</v>
      </c>
      <c r="F254" s="99">
        <v>3.5000000000000001E-3</v>
      </c>
      <c r="G254" s="158">
        <v>44133</v>
      </c>
      <c r="H254" t="s">
        <v>6505</v>
      </c>
      <c r="I254" s="35" t="s">
        <v>6308</v>
      </c>
      <c r="L254" s="35" t="str">
        <f t="shared" si="5"/>
        <v>USD,20201029,277460,277560,277450,277500,1,1,1</v>
      </c>
    </row>
    <row r="255" spans="1:12">
      <c r="A255" s="215">
        <v>289960</v>
      </c>
      <c r="B255" s="215">
        <v>279750</v>
      </c>
      <c r="C255" s="215">
        <v>282360</v>
      </c>
      <c r="D255" s="215">
        <v>278470</v>
      </c>
      <c r="E255">
        <v>3780</v>
      </c>
      <c r="F255" s="99">
        <v>1.3599999999999999E-2</v>
      </c>
      <c r="G255" s="158">
        <v>44132</v>
      </c>
      <c r="H255" t="s">
        <v>6506</v>
      </c>
      <c r="I255" s="35" t="s">
        <v>6308</v>
      </c>
      <c r="L255" s="35" t="str">
        <f t="shared" si="5"/>
        <v>USD,20201028,282300,282360,278450,278470,1,1,1</v>
      </c>
    </row>
    <row r="256" spans="1:12">
      <c r="A256" s="215">
        <v>293820</v>
      </c>
      <c r="B256" s="215">
        <v>289950</v>
      </c>
      <c r="C256" s="215">
        <v>285360</v>
      </c>
      <c r="D256" s="215">
        <v>282250</v>
      </c>
      <c r="E256">
        <v>2390</v>
      </c>
      <c r="F256" s="99">
        <v>8.5000000000000006E-3</v>
      </c>
      <c r="G256" s="158">
        <v>44131</v>
      </c>
      <c r="H256" t="s">
        <v>6507</v>
      </c>
      <c r="I256" s="35" t="s">
        <v>6308</v>
      </c>
      <c r="L256" s="35" t="str">
        <f t="shared" si="5"/>
        <v>USD,20201027,279770,285360,279750,282250,1,1,1</v>
      </c>
    </row>
    <row r="257" spans="1:12">
      <c r="A257" s="215">
        <v>292780</v>
      </c>
      <c r="B257" s="215">
        <v>292750</v>
      </c>
      <c r="C257" s="215">
        <v>289990</v>
      </c>
      <c r="D257" s="215">
        <v>279860</v>
      </c>
      <c r="E257">
        <v>10140</v>
      </c>
      <c r="F257" s="99">
        <v>3.6200000000000003E-2</v>
      </c>
      <c r="G257" s="158">
        <v>44130</v>
      </c>
      <c r="H257" t="s">
        <v>6508</v>
      </c>
      <c r="I257" s="35" t="s">
        <v>6308</v>
      </c>
      <c r="L257" s="35" t="str">
        <f t="shared" si="5"/>
        <v>USD,20201026,289960,289990,279750,279860,1,1,1</v>
      </c>
    </row>
    <row r="258" spans="1:12">
      <c r="A258" s="215">
        <v>275470</v>
      </c>
      <c r="B258" s="215">
        <v>274450</v>
      </c>
      <c r="C258" s="215">
        <v>293860</v>
      </c>
      <c r="D258" s="215">
        <v>290000</v>
      </c>
      <c r="E258">
        <v>3750</v>
      </c>
      <c r="F258" s="99">
        <v>1.29E-2</v>
      </c>
      <c r="G258" s="158">
        <v>44128</v>
      </c>
      <c r="H258" t="s">
        <v>6509</v>
      </c>
      <c r="I258" s="35" t="s">
        <v>6308</v>
      </c>
      <c r="L258" s="35" t="str">
        <f t="shared" si="5"/>
        <v>USD,20201024,293820,293860,289950,290000,1,1,1</v>
      </c>
    </row>
    <row r="259" spans="1:12">
      <c r="A259" s="215">
        <v>308990</v>
      </c>
      <c r="B259" s="215">
        <v>275450</v>
      </c>
      <c r="C259" s="215">
        <v>294860</v>
      </c>
      <c r="D259" s="215">
        <v>293750</v>
      </c>
      <c r="E259">
        <v>5730</v>
      </c>
      <c r="F259" s="99">
        <v>1.9900000000000001E-2</v>
      </c>
      <c r="G259" s="158">
        <v>44126</v>
      </c>
      <c r="H259" t="s">
        <v>6510</v>
      </c>
      <c r="I259" s="35" t="s">
        <v>6308</v>
      </c>
      <c r="L259" s="35" t="str">
        <f t="shared" si="5"/>
        <v>USD,20201022,292780,294860,292750,293750,1,1,1</v>
      </c>
    </row>
    <row r="260" spans="1:12">
      <c r="A260" s="215">
        <v>318450</v>
      </c>
      <c r="B260" s="215">
        <v>308950</v>
      </c>
      <c r="C260" s="215">
        <v>290860</v>
      </c>
      <c r="D260" s="215">
        <v>288020</v>
      </c>
      <c r="E260">
        <v>12560</v>
      </c>
      <c r="F260" s="99">
        <v>4.5600000000000002E-2</v>
      </c>
      <c r="G260" s="158">
        <v>44125</v>
      </c>
      <c r="H260" t="s">
        <v>6511</v>
      </c>
      <c r="I260" s="35" t="s">
        <v>6308</v>
      </c>
      <c r="L260" s="35" t="str">
        <f t="shared" si="5"/>
        <v>USD,20201021,275470,290860,274450,288020,1,1,1</v>
      </c>
    </row>
    <row r="261" spans="1:12">
      <c r="A261" s="215">
        <v>317030</v>
      </c>
      <c r="B261" s="215">
        <v>316950</v>
      </c>
      <c r="C261" s="215">
        <v>309060</v>
      </c>
      <c r="D261" s="215">
        <v>275460</v>
      </c>
      <c r="E261">
        <v>33570</v>
      </c>
      <c r="F261" s="99">
        <v>0.12189999999999999</v>
      </c>
      <c r="G261" s="158">
        <v>44124</v>
      </c>
      <c r="H261" t="s">
        <v>6512</v>
      </c>
      <c r="I261" s="35" t="s">
        <v>6308</v>
      </c>
      <c r="L261" s="35" t="str">
        <f t="shared" si="5"/>
        <v>USD,20201020,308990,309060,275450,275460,1,1,1</v>
      </c>
    </row>
    <row r="262" spans="1:12">
      <c r="A262" s="215">
        <v>317000</v>
      </c>
      <c r="B262" s="215">
        <v>316950</v>
      </c>
      <c r="C262" s="215">
        <v>318560</v>
      </c>
      <c r="D262" s="215">
        <v>309030</v>
      </c>
      <c r="E262">
        <v>9530</v>
      </c>
      <c r="F262" s="99">
        <v>3.0800000000000001E-2</v>
      </c>
      <c r="G262" s="158">
        <v>44123</v>
      </c>
      <c r="H262" t="s">
        <v>6513</v>
      </c>
      <c r="I262" s="35" t="s">
        <v>6308</v>
      </c>
      <c r="L262" s="35" t="str">
        <f t="shared" si="5"/>
        <v>USD,20201019,318450,318560,308950,309030,1,1,1</v>
      </c>
    </row>
    <row r="263" spans="1:12">
      <c r="A263" s="215">
        <v>312990</v>
      </c>
      <c r="B263" s="215">
        <v>312950</v>
      </c>
      <c r="C263" s="215">
        <v>320060</v>
      </c>
      <c r="D263" s="215">
        <v>318560</v>
      </c>
      <c r="E263">
        <v>1520</v>
      </c>
      <c r="F263" s="99">
        <v>4.7999999999999996E-3</v>
      </c>
      <c r="G263" s="158">
        <v>44122</v>
      </c>
      <c r="H263" t="s">
        <v>6514</v>
      </c>
      <c r="I263" s="35" t="s">
        <v>6308</v>
      </c>
      <c r="L263" s="35" t="str">
        <f t="shared" si="5"/>
        <v>USD,20201018,317030,320060,316950,318560,1,1,1</v>
      </c>
    </row>
    <row r="264" spans="1:12">
      <c r="A264" s="215">
        <v>304040</v>
      </c>
      <c r="B264" s="215">
        <v>303950</v>
      </c>
      <c r="C264" s="215">
        <v>317060</v>
      </c>
      <c r="D264" s="215">
        <v>317040</v>
      </c>
      <c r="E264">
        <v>2040</v>
      </c>
      <c r="F264" s="99">
        <v>6.4999999999999997E-3</v>
      </c>
      <c r="G264" s="158">
        <v>44119</v>
      </c>
      <c r="H264" t="s">
        <v>6515</v>
      </c>
      <c r="I264" s="35" t="s">
        <v>6308</v>
      </c>
      <c r="L264" s="35" t="str">
        <f t="shared" si="5"/>
        <v>USD,20201015,317000,317060,316950,317040,1,1,1</v>
      </c>
    </row>
    <row r="265" spans="1:12">
      <c r="A265" s="215">
        <v>311520</v>
      </c>
      <c r="B265" s="215">
        <v>301950</v>
      </c>
      <c r="C265" s="215">
        <v>315860</v>
      </c>
      <c r="D265" s="215">
        <v>315000</v>
      </c>
      <c r="E265">
        <v>1980</v>
      </c>
      <c r="F265" s="99">
        <v>6.3E-3</v>
      </c>
      <c r="G265" s="158">
        <v>44118</v>
      </c>
      <c r="H265" t="s">
        <v>6516</v>
      </c>
      <c r="I265" s="35" t="s">
        <v>6308</v>
      </c>
      <c r="L265" s="35" t="str">
        <f t="shared" si="5"/>
        <v>USD,20201014,312990,315860,312950,315000,1,1,1</v>
      </c>
    </row>
    <row r="266" spans="1:12">
      <c r="A266" s="215">
        <v>299480</v>
      </c>
      <c r="B266" s="215">
        <v>299450</v>
      </c>
      <c r="C266" s="215">
        <v>315060</v>
      </c>
      <c r="D266" s="215">
        <v>313020</v>
      </c>
      <c r="E266">
        <v>9060</v>
      </c>
      <c r="F266" s="99">
        <v>2.98E-2</v>
      </c>
      <c r="G266" s="158">
        <v>44117</v>
      </c>
      <c r="H266" t="s">
        <v>6517</v>
      </c>
      <c r="I266" s="35" t="s">
        <v>6308</v>
      </c>
      <c r="L266" s="35" t="str">
        <f t="shared" si="5"/>
        <v>USD,20201013,304040,315060,303950,313020,1,1,1</v>
      </c>
    </row>
    <row r="267" spans="1:12">
      <c r="A267" s="215">
        <v>291970</v>
      </c>
      <c r="B267" s="215">
        <v>291950</v>
      </c>
      <c r="C267" s="215">
        <v>311560</v>
      </c>
      <c r="D267" s="215">
        <v>303960</v>
      </c>
      <c r="E267">
        <v>7490</v>
      </c>
      <c r="F267" s="99">
        <v>2.46E-2</v>
      </c>
      <c r="G267" s="158">
        <v>44116</v>
      </c>
      <c r="H267" t="s">
        <v>6518</v>
      </c>
      <c r="I267" s="35" t="s">
        <v>6308</v>
      </c>
      <c r="L267" s="35" t="str">
        <f t="shared" si="5"/>
        <v>USD,20201012,311520,311560,301950,303960,1,1,1</v>
      </c>
    </row>
    <row r="268" spans="1:12">
      <c r="A268" s="215">
        <v>291990</v>
      </c>
      <c r="B268" s="215">
        <v>291950</v>
      </c>
      <c r="C268" s="215">
        <v>311560</v>
      </c>
      <c r="D268" s="215">
        <v>311450</v>
      </c>
      <c r="E268">
        <v>11890</v>
      </c>
      <c r="F268" s="99">
        <v>3.9699999999999999E-2</v>
      </c>
      <c r="G268" s="158">
        <v>44115</v>
      </c>
      <c r="H268" t="s">
        <v>6519</v>
      </c>
      <c r="I268" s="35" t="s">
        <v>6308</v>
      </c>
      <c r="L268" s="35" t="str">
        <f t="shared" si="5"/>
        <v>USD,20201011,299480,311560,299450,311450,1,1,1</v>
      </c>
    </row>
    <row r="269" spans="1:12">
      <c r="A269" s="215">
        <v>281970</v>
      </c>
      <c r="B269" s="215">
        <v>281950</v>
      </c>
      <c r="C269" s="215">
        <v>299560</v>
      </c>
      <c r="D269" s="215">
        <v>299560</v>
      </c>
      <c r="E269">
        <v>7540</v>
      </c>
      <c r="F269" s="99">
        <v>2.58E-2</v>
      </c>
      <c r="G269" s="158">
        <v>44114</v>
      </c>
      <c r="H269" t="s">
        <v>6520</v>
      </c>
      <c r="I269" s="35" t="s">
        <v>6308</v>
      </c>
      <c r="L269" s="35" t="str">
        <f t="shared" si="5"/>
        <v>USD,20201010,291970,299560,291950,299560,1,1,1</v>
      </c>
    </row>
    <row r="270" spans="1:12">
      <c r="A270" s="215">
        <v>269960</v>
      </c>
      <c r="B270" s="215">
        <v>269450</v>
      </c>
      <c r="C270" s="215">
        <v>292060</v>
      </c>
      <c r="D270" s="215">
        <v>292020</v>
      </c>
      <c r="E270">
        <v>20</v>
      </c>
      <c r="F270" s="99">
        <v>1E-4</v>
      </c>
      <c r="G270" s="158">
        <v>44111</v>
      </c>
      <c r="H270" t="s">
        <v>6521</v>
      </c>
      <c r="I270" s="35" t="s">
        <v>6308</v>
      </c>
      <c r="L270" s="35" t="str">
        <f t="shared" si="5"/>
        <v>USD,20201007,291990,292060,291950,292020,1,1,1</v>
      </c>
    </row>
    <row r="271" spans="1:12">
      <c r="A271" s="215">
        <v>284550</v>
      </c>
      <c r="B271" s="215">
        <v>269950</v>
      </c>
      <c r="C271" s="215">
        <v>292060</v>
      </c>
      <c r="D271" s="215">
        <v>292000</v>
      </c>
      <c r="E271">
        <v>10010</v>
      </c>
      <c r="F271" s="99">
        <v>3.5499999999999997E-2</v>
      </c>
      <c r="G271" s="158">
        <v>44110</v>
      </c>
      <c r="H271" t="s">
        <v>6522</v>
      </c>
      <c r="I271" s="35" t="s">
        <v>6308</v>
      </c>
      <c r="L271" s="35" t="str">
        <f t="shared" si="5"/>
        <v>USD,20201006,281970,292060,281950,292000,1,1,1</v>
      </c>
    </row>
    <row r="272" spans="1:12">
      <c r="A272" s="215">
        <v>289030</v>
      </c>
      <c r="B272" s="215">
        <v>284450</v>
      </c>
      <c r="C272" s="215">
        <v>282060</v>
      </c>
      <c r="D272" s="215">
        <v>281990</v>
      </c>
      <c r="E272">
        <v>12040</v>
      </c>
      <c r="F272" s="99">
        <v>4.4600000000000001E-2</v>
      </c>
      <c r="G272" s="158">
        <v>44109</v>
      </c>
      <c r="H272" t="s">
        <v>6523</v>
      </c>
      <c r="I272" s="35" t="s">
        <v>6308</v>
      </c>
      <c r="L272" s="35" t="str">
        <f t="shared" si="5"/>
        <v>USD,20201005,269960,282060,269450,281990,1,1,1</v>
      </c>
    </row>
    <row r="273" spans="1:12">
      <c r="A273" s="215">
        <v>287990</v>
      </c>
      <c r="B273" s="215">
        <v>287990</v>
      </c>
      <c r="C273" s="215">
        <v>284560</v>
      </c>
      <c r="D273" s="215">
        <v>269950</v>
      </c>
      <c r="E273">
        <v>14540</v>
      </c>
      <c r="F273" s="99">
        <v>5.3900000000000003E-2</v>
      </c>
      <c r="G273" s="158">
        <v>44108</v>
      </c>
      <c r="H273" t="s">
        <v>6524</v>
      </c>
      <c r="I273" s="35" t="s">
        <v>6308</v>
      </c>
      <c r="L273" s="35" t="str">
        <f t="shared" si="5"/>
        <v>USD,20201004,284550,284560,269950,269950,1,1,1</v>
      </c>
    </row>
    <row r="274" spans="1:12">
      <c r="A274" s="215">
        <v>285040</v>
      </c>
      <c r="B274" s="215">
        <v>284950</v>
      </c>
      <c r="C274" s="215">
        <v>289060</v>
      </c>
      <c r="D274" s="215">
        <v>284490</v>
      </c>
      <c r="E274">
        <v>4550</v>
      </c>
      <c r="F274" s="99">
        <v>1.6E-2</v>
      </c>
      <c r="G274" s="158">
        <v>44107</v>
      </c>
      <c r="H274" t="s">
        <v>6525</v>
      </c>
      <c r="I274" s="35" t="s">
        <v>6308</v>
      </c>
      <c r="L274" s="35" t="str">
        <f t="shared" si="5"/>
        <v>USD,20201003,289030,289060,284450,284490,1,1,1</v>
      </c>
    </row>
    <row r="275" spans="1:12">
      <c r="A275" s="215">
        <v>289450</v>
      </c>
      <c r="B275" s="215">
        <v>284950</v>
      </c>
      <c r="C275" s="215">
        <v>289060</v>
      </c>
      <c r="D275" s="215">
        <v>289040</v>
      </c>
      <c r="E275">
        <v>1520</v>
      </c>
      <c r="F275" s="99">
        <v>5.3E-3</v>
      </c>
      <c r="G275" s="158">
        <v>44105</v>
      </c>
      <c r="H275" t="s">
        <v>6527</v>
      </c>
      <c r="I275" s="35" t="s">
        <v>6308</v>
      </c>
      <c r="L275" s="35" t="str">
        <f t="shared" si="5"/>
        <v>USD,20201001,287990,289060,287990,289040,1,1,1</v>
      </c>
    </row>
    <row r="276" spans="1:12">
      <c r="A276" s="215">
        <v>287060</v>
      </c>
      <c r="B276" s="215">
        <v>286950</v>
      </c>
      <c r="C276" s="215">
        <v>287560</v>
      </c>
      <c r="D276" s="215">
        <v>287520</v>
      </c>
      <c r="E276">
        <v>2500</v>
      </c>
      <c r="F276" s="99">
        <v>8.8000000000000005E-3</v>
      </c>
      <c r="G276" s="158">
        <v>44104</v>
      </c>
      <c r="H276" t="s">
        <v>6528</v>
      </c>
      <c r="I276" s="35" t="s">
        <v>6308</v>
      </c>
      <c r="L276" s="35" t="str">
        <f t="shared" si="5"/>
        <v>USD,20200930,285040,287560,284950,287520,1,1,1</v>
      </c>
    </row>
    <row r="277" spans="1:12">
      <c r="A277" s="215">
        <v>285020</v>
      </c>
      <c r="B277" s="215">
        <v>284950</v>
      </c>
      <c r="C277" s="215">
        <v>289560</v>
      </c>
      <c r="D277" s="215">
        <v>285020</v>
      </c>
      <c r="E277">
        <v>4450</v>
      </c>
      <c r="F277" s="99">
        <v>1.5599999999999999E-2</v>
      </c>
      <c r="G277" s="158">
        <v>44103</v>
      </c>
      <c r="H277" t="s">
        <v>6529</v>
      </c>
      <c r="I277" s="35" t="s">
        <v>6308</v>
      </c>
      <c r="L277" s="35" t="str">
        <f t="shared" si="5"/>
        <v>USD,20200929,289450,289560,284950,285020,1,1,1</v>
      </c>
    </row>
    <row r="278" spans="1:12">
      <c r="A278" s="215">
        <v>278030</v>
      </c>
      <c r="B278" s="215">
        <v>277950</v>
      </c>
      <c r="C278" s="215">
        <v>289560</v>
      </c>
      <c r="D278" s="215">
        <v>289470</v>
      </c>
      <c r="E278">
        <v>2470</v>
      </c>
      <c r="F278" s="99">
        <v>8.6E-3</v>
      </c>
      <c r="G278" s="158">
        <v>44102</v>
      </c>
      <c r="H278" t="s">
        <v>6530</v>
      </c>
      <c r="I278" s="35" t="s">
        <v>6308</v>
      </c>
      <c r="L278" s="35" t="str">
        <f t="shared" si="5"/>
        <v>USD,20200928,287060,289560,286950,289470,1,1,1</v>
      </c>
    </row>
    <row r="279" spans="1:12">
      <c r="A279" s="215">
        <v>278000</v>
      </c>
      <c r="B279" s="215">
        <v>277950</v>
      </c>
      <c r="C279" s="215">
        <v>287060</v>
      </c>
      <c r="D279" s="215">
        <v>287000</v>
      </c>
      <c r="E279">
        <v>1940</v>
      </c>
      <c r="F279" s="99">
        <v>6.7999999999999996E-3</v>
      </c>
      <c r="G279" s="158">
        <v>44101</v>
      </c>
      <c r="H279" t="s">
        <v>6531</v>
      </c>
      <c r="I279" s="35" t="s">
        <v>6308</v>
      </c>
      <c r="L279" s="35" t="str">
        <f t="shared" si="5"/>
        <v>USD,20200927,285020,287060,284950,287000,1,1,1</v>
      </c>
    </row>
    <row r="280" spans="1:12">
      <c r="A280" s="215">
        <v>271990</v>
      </c>
      <c r="B280" s="215">
        <v>271950</v>
      </c>
      <c r="C280" s="215">
        <v>287560</v>
      </c>
      <c r="D280" s="215">
        <v>285060</v>
      </c>
      <c r="E280">
        <v>7090</v>
      </c>
      <c r="F280" s="99">
        <v>2.5499999999999998E-2</v>
      </c>
      <c r="G280" s="158">
        <v>44100</v>
      </c>
      <c r="H280" t="s">
        <v>6532</v>
      </c>
      <c r="I280" s="35" t="s">
        <v>6308</v>
      </c>
      <c r="L280" s="35" t="str">
        <f t="shared" si="5"/>
        <v>USD,20200926,278030,287560,277950,285060,1,1,1</v>
      </c>
    </row>
    <row r="281" spans="1:12">
      <c r="A281" s="215">
        <v>269480</v>
      </c>
      <c r="B281" s="215">
        <v>269450</v>
      </c>
      <c r="C281" s="215">
        <v>278060</v>
      </c>
      <c r="D281" s="215">
        <v>277970</v>
      </c>
      <c r="E281">
        <v>10</v>
      </c>
      <c r="F281" t="s">
        <v>6307</v>
      </c>
      <c r="G281" s="158">
        <v>44098</v>
      </c>
      <c r="H281" t="s">
        <v>6533</v>
      </c>
      <c r="I281" s="35" t="s">
        <v>6308</v>
      </c>
      <c r="L281" s="35" t="str">
        <f t="shared" si="5"/>
        <v>USD,20200924,278000,278060,277950,277970,1,1,1</v>
      </c>
    </row>
    <row r="282" spans="1:12">
      <c r="A282" s="215">
        <v>273060</v>
      </c>
      <c r="B282" s="215">
        <v>268450</v>
      </c>
      <c r="C282" s="215">
        <v>278060</v>
      </c>
      <c r="D282" s="215">
        <v>277980</v>
      </c>
      <c r="E282">
        <v>5950</v>
      </c>
      <c r="F282" s="99">
        <v>2.1899999999999999E-2</v>
      </c>
      <c r="G282" s="158">
        <v>44097</v>
      </c>
      <c r="H282" t="s">
        <v>6534</v>
      </c>
      <c r="I282" s="35" t="s">
        <v>6308</v>
      </c>
      <c r="L282" s="35" t="str">
        <f t="shared" si="5"/>
        <v>USD,20200923,271990,278060,271950,277980,1,1,1</v>
      </c>
    </row>
    <row r="283" spans="1:12">
      <c r="A283" s="215">
        <v>264500</v>
      </c>
      <c r="B283" s="215">
        <v>264450</v>
      </c>
      <c r="C283" s="215">
        <v>272060</v>
      </c>
      <c r="D283" s="215">
        <v>272030</v>
      </c>
      <c r="E283">
        <v>2580</v>
      </c>
      <c r="F283" s="99">
        <v>9.5999999999999992E-3</v>
      </c>
      <c r="G283" s="158">
        <v>44096</v>
      </c>
      <c r="H283" t="s">
        <v>6526</v>
      </c>
      <c r="I283" s="35" t="s">
        <v>6308</v>
      </c>
      <c r="L283" s="35" t="str">
        <f t="shared" si="5"/>
        <v>USD,20200922,269480,272060,269450,272030,1,1,1</v>
      </c>
    </row>
    <row r="284" spans="1:12">
      <c r="A284" s="215">
        <v>267990</v>
      </c>
      <c r="B284" s="215">
        <v>264450</v>
      </c>
      <c r="C284" s="215">
        <v>273060</v>
      </c>
      <c r="D284" s="215">
        <v>269450</v>
      </c>
      <c r="E284">
        <v>3530</v>
      </c>
      <c r="F284" s="99">
        <v>1.3100000000000001E-2</v>
      </c>
      <c r="G284" s="158">
        <v>44095</v>
      </c>
      <c r="H284" t="s">
        <v>6535</v>
      </c>
      <c r="I284" s="35" t="s">
        <v>6308</v>
      </c>
      <c r="L284" s="35" t="str">
        <f t="shared" si="5"/>
        <v>USD,20200921,273060,273060,268450,269450,1,1,1</v>
      </c>
    </row>
    <row r="285" spans="1:12">
      <c r="A285" s="215">
        <v>266020</v>
      </c>
      <c r="B285" s="215">
        <v>265950</v>
      </c>
      <c r="C285" s="215">
        <v>273060</v>
      </c>
      <c r="D285" s="215">
        <v>272980</v>
      </c>
      <c r="E285">
        <v>8500</v>
      </c>
      <c r="F285" s="99">
        <v>3.2099999999999997E-2</v>
      </c>
      <c r="G285" s="158">
        <v>44094</v>
      </c>
      <c r="H285" t="s">
        <v>6536</v>
      </c>
      <c r="I285" s="35" t="s">
        <v>6308</v>
      </c>
      <c r="L285" s="35" t="str">
        <f t="shared" si="5"/>
        <v>USD,20200920,264500,273060,264450,272980,1,1,1</v>
      </c>
    </row>
    <row r="286" spans="1:12">
      <c r="A286" s="215">
        <v>265980</v>
      </c>
      <c r="B286" s="215">
        <v>265950</v>
      </c>
      <c r="C286" s="215">
        <v>268060</v>
      </c>
      <c r="D286" s="215">
        <v>264480</v>
      </c>
      <c r="E286">
        <v>3490</v>
      </c>
      <c r="F286" s="99">
        <v>1.32E-2</v>
      </c>
      <c r="G286" s="158">
        <v>44093</v>
      </c>
      <c r="H286" t="s">
        <v>6537</v>
      </c>
      <c r="I286" s="35" t="s">
        <v>6308</v>
      </c>
      <c r="L286" s="35" t="str">
        <f t="shared" si="5"/>
        <v>USD,20200919,267990,268060,264450,264480,1,1,1</v>
      </c>
    </row>
    <row r="287" spans="1:12">
      <c r="A287" s="215">
        <v>235850</v>
      </c>
      <c r="B287" s="215">
        <v>235810</v>
      </c>
      <c r="C287" s="215">
        <v>268560</v>
      </c>
      <c r="D287" s="215">
        <v>267970</v>
      </c>
      <c r="E287">
        <v>1990</v>
      </c>
      <c r="F287" s="99">
        <v>7.4999999999999997E-3</v>
      </c>
      <c r="G287" s="158">
        <v>44091</v>
      </c>
      <c r="H287" t="s">
        <v>6538</v>
      </c>
      <c r="I287" s="35" t="s">
        <v>6308</v>
      </c>
      <c r="L287" s="35" t="str">
        <f t="shared" si="5"/>
        <v>USD,20200917,266020,268560,265950,267970,1,1,1</v>
      </c>
    </row>
    <row r="288" spans="1:12">
      <c r="A288" s="215">
        <v>234370</v>
      </c>
      <c r="B288" s="215">
        <v>234310</v>
      </c>
      <c r="C288" s="215">
        <v>266060</v>
      </c>
      <c r="D288" s="215">
        <v>265980</v>
      </c>
      <c r="E288">
        <v>40</v>
      </c>
      <c r="F288" s="99">
        <v>2.0000000000000001E-4</v>
      </c>
      <c r="G288" s="158">
        <v>44090</v>
      </c>
      <c r="H288" t="s">
        <v>6539</v>
      </c>
      <c r="I288" s="35" t="s">
        <v>6308</v>
      </c>
      <c r="L288" s="35" t="str">
        <f t="shared" si="5"/>
        <v>USD,20200916,265980,266060,265950,265980,1,1,1</v>
      </c>
    </row>
    <row r="289" spans="1:12">
      <c r="A289" s="215">
        <v>231620</v>
      </c>
      <c r="B289" s="215">
        <v>231510</v>
      </c>
      <c r="C289" s="215">
        <v>266060</v>
      </c>
      <c r="D289" s="215">
        <v>266020</v>
      </c>
      <c r="E289">
        <v>30100</v>
      </c>
      <c r="F289" s="99">
        <v>0.12759999999999999</v>
      </c>
      <c r="G289" s="158">
        <v>44089</v>
      </c>
      <c r="H289" t="s">
        <v>6540</v>
      </c>
      <c r="I289" s="35" t="s">
        <v>6308</v>
      </c>
      <c r="L289" s="35" t="str">
        <f t="shared" si="5"/>
        <v>USD,20200915,235850,266060,235810,266020,1,1,1</v>
      </c>
    </row>
    <row r="290" spans="1:12">
      <c r="A290" s="215">
        <v>228020</v>
      </c>
      <c r="B290" s="215">
        <v>227910</v>
      </c>
      <c r="C290" s="215">
        <v>235920</v>
      </c>
      <c r="D290" s="215">
        <v>235920</v>
      </c>
      <c r="E290">
        <v>1530</v>
      </c>
      <c r="F290" s="99">
        <v>6.4999999999999997E-3</v>
      </c>
      <c r="G290" s="158">
        <v>44088</v>
      </c>
      <c r="H290" t="s">
        <v>6232</v>
      </c>
      <c r="I290" s="35" t="s">
        <v>6308</v>
      </c>
      <c r="L290" s="35" t="str">
        <f t="shared" si="5"/>
        <v>USD,20200914,234370,235920,234310,235920,1,1,1</v>
      </c>
    </row>
    <row r="291" spans="1:12">
      <c r="A291" s="215">
        <v>227910</v>
      </c>
      <c r="B291" s="215">
        <v>227910</v>
      </c>
      <c r="C291" s="215">
        <v>234420</v>
      </c>
      <c r="D291" s="215">
        <v>234390</v>
      </c>
      <c r="E291">
        <v>2820</v>
      </c>
      <c r="F291" s="99">
        <v>1.2200000000000001E-2</v>
      </c>
      <c r="G291" s="158">
        <v>44087</v>
      </c>
      <c r="H291" t="s">
        <v>6541</v>
      </c>
      <c r="I291" s="35" t="s">
        <v>6308</v>
      </c>
      <c r="L291" s="35" t="str">
        <f t="shared" si="5"/>
        <v>USD,20200913,231620,234420,231510,234390,1,1,1</v>
      </c>
    </row>
    <row r="292" spans="1:12">
      <c r="A292" s="215">
        <v>227460</v>
      </c>
      <c r="B292" s="215">
        <v>227410</v>
      </c>
      <c r="C292" s="215">
        <v>231620</v>
      </c>
      <c r="D292" s="215">
        <v>231570</v>
      </c>
      <c r="E292">
        <v>3570</v>
      </c>
      <c r="F292" s="99">
        <v>1.5699999999999999E-2</v>
      </c>
      <c r="G292" s="158">
        <v>44086</v>
      </c>
      <c r="H292" t="s">
        <v>6542</v>
      </c>
      <c r="I292" s="35" t="s">
        <v>6308</v>
      </c>
      <c r="L292" s="35" t="str">
        <f t="shared" si="5"/>
        <v>USD,20200912,228020,231620,227910,231570,1,1,1</v>
      </c>
    </row>
    <row r="293" spans="1:12">
      <c r="A293" s="215">
        <v>225920</v>
      </c>
      <c r="B293" s="215">
        <v>225910</v>
      </c>
      <c r="C293" s="215">
        <v>228020</v>
      </c>
      <c r="D293" s="215">
        <v>228000</v>
      </c>
      <c r="E293">
        <v>510</v>
      </c>
      <c r="F293" s="99">
        <v>2.2000000000000001E-3</v>
      </c>
      <c r="G293" s="158">
        <v>44084</v>
      </c>
      <c r="H293" t="s">
        <v>6543</v>
      </c>
      <c r="I293" s="35" t="s">
        <v>6308</v>
      </c>
      <c r="L293" s="35" t="str">
        <f t="shared" si="5"/>
        <v>USD,20200910,227910,228020,227910,228000,1,1,1</v>
      </c>
    </row>
    <row r="294" spans="1:12">
      <c r="A294" s="215">
        <v>225950</v>
      </c>
      <c r="B294" s="215">
        <v>225910</v>
      </c>
      <c r="C294" s="215">
        <v>227520</v>
      </c>
      <c r="D294" s="215">
        <v>227490</v>
      </c>
      <c r="E294">
        <v>30</v>
      </c>
      <c r="F294" s="99">
        <v>1E-4</v>
      </c>
      <c r="G294" s="158">
        <v>44083</v>
      </c>
      <c r="H294" t="s">
        <v>6544</v>
      </c>
      <c r="I294" s="35" t="s">
        <v>6308</v>
      </c>
      <c r="L294" s="35" t="str">
        <f t="shared" si="5"/>
        <v>USD,20200909,227460,227520,227410,227490,1,1,1</v>
      </c>
    </row>
    <row r="295" spans="1:12">
      <c r="A295" s="215">
        <v>224450</v>
      </c>
      <c r="B295" s="215">
        <v>224410</v>
      </c>
      <c r="C295" s="215">
        <v>227520</v>
      </c>
      <c r="D295" s="215">
        <v>227520</v>
      </c>
      <c r="E295">
        <v>1550</v>
      </c>
      <c r="F295" s="99">
        <v>6.8999999999999999E-3</v>
      </c>
      <c r="G295" s="158">
        <v>44082</v>
      </c>
      <c r="H295" t="s">
        <v>6545</v>
      </c>
      <c r="I295" s="35" t="s">
        <v>6308</v>
      </c>
      <c r="L295" s="35" t="str">
        <f t="shared" si="5"/>
        <v>USD,20200908,225920,227520,225910,227520,1,1,1</v>
      </c>
    </row>
    <row r="296" spans="1:12">
      <c r="A296" s="215">
        <v>224450</v>
      </c>
      <c r="B296" s="215">
        <v>224410</v>
      </c>
      <c r="C296" s="215">
        <v>226020</v>
      </c>
      <c r="D296" s="215">
        <v>225970</v>
      </c>
      <c r="E296">
        <v>50</v>
      </c>
      <c r="F296" s="99">
        <v>2.0000000000000001E-4</v>
      </c>
      <c r="G296" s="158">
        <v>44081</v>
      </c>
      <c r="H296" t="s">
        <v>6546</v>
      </c>
      <c r="I296" s="35" t="s">
        <v>6308</v>
      </c>
      <c r="L296" s="35" t="str">
        <f t="shared" si="5"/>
        <v>USD,20200907,225950,226020,225910,225970,1,1,1</v>
      </c>
    </row>
    <row r="297" spans="1:12">
      <c r="A297" s="215">
        <v>225020</v>
      </c>
      <c r="B297" s="215">
        <v>224410</v>
      </c>
      <c r="C297" s="215">
        <v>226020</v>
      </c>
      <c r="D297" s="215">
        <v>226020</v>
      </c>
      <c r="E297">
        <v>1500</v>
      </c>
      <c r="F297" s="99">
        <v>6.7000000000000002E-3</v>
      </c>
      <c r="G297" s="158">
        <v>44080</v>
      </c>
      <c r="H297" t="s">
        <v>6547</v>
      </c>
      <c r="I297" s="35" t="s">
        <v>6308</v>
      </c>
      <c r="L297" s="35" t="str">
        <f t="shared" si="5"/>
        <v>USD,20200906,224450,226020,224410,226020,1,1,1</v>
      </c>
    </row>
    <row r="298" spans="1:12">
      <c r="A298" s="215">
        <v>229020</v>
      </c>
      <c r="B298" s="215">
        <v>226910</v>
      </c>
      <c r="C298" s="215">
        <v>224520</v>
      </c>
      <c r="D298" s="215">
        <v>224520</v>
      </c>
      <c r="E298" t="s">
        <v>6307</v>
      </c>
      <c r="F298" t="s">
        <v>6307</v>
      </c>
      <c r="G298" s="158">
        <v>44079</v>
      </c>
      <c r="H298" t="s">
        <v>6548</v>
      </c>
      <c r="I298" s="35" t="s">
        <v>6308</v>
      </c>
      <c r="L298" s="35" t="str">
        <f t="shared" si="5"/>
        <v>USD,20200905,224450,224520,224410,224520,1,1,1</v>
      </c>
    </row>
    <row r="299" spans="1:12">
      <c r="A299" s="215">
        <v>231430</v>
      </c>
      <c r="B299" s="215">
        <v>228910</v>
      </c>
      <c r="C299" s="215">
        <v>225020</v>
      </c>
      <c r="D299" s="215">
        <v>224520</v>
      </c>
      <c r="E299">
        <v>2440</v>
      </c>
      <c r="F299" s="99">
        <v>1.09E-2</v>
      </c>
      <c r="G299" s="158">
        <v>44077</v>
      </c>
      <c r="H299" t="s">
        <v>6549</v>
      </c>
      <c r="I299" s="35" t="s">
        <v>6308</v>
      </c>
      <c r="L299" s="35" t="str">
        <f t="shared" si="5"/>
        <v>USD,20200903,225020,225020,224410,224520,1,1,1</v>
      </c>
    </row>
    <row r="300" spans="1:12">
      <c r="A300" s="215">
        <v>231020</v>
      </c>
      <c r="B300" s="215">
        <v>230410</v>
      </c>
      <c r="C300" s="215">
        <v>229020</v>
      </c>
      <c r="D300" s="215">
        <v>226960</v>
      </c>
      <c r="E300">
        <v>2040</v>
      </c>
      <c r="F300" s="99">
        <v>8.9999999999999993E-3</v>
      </c>
      <c r="G300" s="158">
        <v>44076</v>
      </c>
      <c r="H300" t="s">
        <v>6550</v>
      </c>
      <c r="I300" s="35" t="s">
        <v>6308</v>
      </c>
      <c r="L300" s="35" t="str">
        <f t="shared" si="5"/>
        <v>USD,20200902,229020,229020,226910,226960,1,1,1</v>
      </c>
    </row>
    <row r="301" spans="1:12">
      <c r="A301" s="215">
        <v>230980</v>
      </c>
      <c r="B301" s="215">
        <v>230910</v>
      </c>
      <c r="C301" s="215">
        <v>234020</v>
      </c>
      <c r="D301" s="215">
        <v>229000</v>
      </c>
      <c r="E301">
        <v>2520</v>
      </c>
      <c r="F301" s="99">
        <v>1.0999999999999999E-2</v>
      </c>
      <c r="G301" s="158">
        <v>44075</v>
      </c>
      <c r="H301" t="s">
        <v>6551</v>
      </c>
      <c r="I301" s="35" t="s">
        <v>6308</v>
      </c>
      <c r="L301" s="35" t="str">
        <f t="shared" si="5"/>
        <v>USD,20200901,231430,234020,228910,229000,1,1,1</v>
      </c>
    </row>
    <row r="302" spans="1:12">
      <c r="A302" s="215">
        <v>231020</v>
      </c>
      <c r="B302" s="215">
        <v>230910</v>
      </c>
      <c r="C302" s="215">
        <v>231520</v>
      </c>
      <c r="D302" s="215">
        <v>231520</v>
      </c>
      <c r="E302">
        <v>590</v>
      </c>
      <c r="F302" s="99">
        <v>2.5999999999999999E-3</v>
      </c>
      <c r="G302" s="158">
        <v>44074</v>
      </c>
      <c r="H302" t="s">
        <v>6552</v>
      </c>
      <c r="I302" s="35" t="s">
        <v>6308</v>
      </c>
      <c r="L302" s="35" t="str">
        <f t="shared" si="5"/>
        <v>USD,20200831,231020,231520,230410,231520,1,1,1</v>
      </c>
    </row>
    <row r="303" spans="1:12">
      <c r="A303" s="215">
        <v>224710</v>
      </c>
      <c r="B303" s="215">
        <v>224710</v>
      </c>
      <c r="C303" s="215">
        <v>231020</v>
      </c>
      <c r="D303" s="215">
        <v>230930</v>
      </c>
      <c r="E303">
        <v>90</v>
      </c>
      <c r="F303" s="99">
        <v>4.0000000000000002E-4</v>
      </c>
      <c r="G303" s="158">
        <v>44073</v>
      </c>
      <c r="H303" t="s">
        <v>6553</v>
      </c>
      <c r="I303" s="35" t="s">
        <v>6308</v>
      </c>
      <c r="L303" s="35" t="str">
        <f t="shared" si="5"/>
        <v>USD,20200830,230980,231020,230910,230930,1,1,1</v>
      </c>
    </row>
    <row r="304" spans="1:12">
      <c r="A304" s="215">
        <v>224790</v>
      </c>
      <c r="B304" s="215">
        <v>224710</v>
      </c>
      <c r="C304" s="215">
        <v>231020</v>
      </c>
      <c r="D304" s="215">
        <v>231020</v>
      </c>
      <c r="E304">
        <v>1060</v>
      </c>
      <c r="F304" s="99">
        <v>4.5999999999999999E-3</v>
      </c>
      <c r="G304" s="158">
        <v>44070</v>
      </c>
      <c r="H304" t="s">
        <v>6554</v>
      </c>
      <c r="I304" s="35" t="s">
        <v>6308</v>
      </c>
      <c r="L304" s="35" t="str">
        <f t="shared" si="5"/>
        <v>USD,20200827,231020,231020,230910,231020,1,1,1</v>
      </c>
    </row>
    <row r="305" spans="1:12">
      <c r="A305" s="215">
        <v>225020</v>
      </c>
      <c r="B305" s="215">
        <v>224710</v>
      </c>
      <c r="C305" s="215">
        <v>230020</v>
      </c>
      <c r="D305" s="215">
        <v>229960</v>
      </c>
      <c r="E305">
        <v>5170</v>
      </c>
      <c r="F305" s="99">
        <v>2.3E-2</v>
      </c>
      <c r="G305" s="158">
        <v>44069</v>
      </c>
      <c r="H305" t="s">
        <v>6555</v>
      </c>
      <c r="I305" s="35" t="s">
        <v>6308</v>
      </c>
      <c r="L305" s="35" t="str">
        <f t="shared" si="5"/>
        <v>USD,20200826,224710,230020,224710,229960,1,1,1</v>
      </c>
    </row>
    <row r="306" spans="1:12">
      <c r="A306" s="215">
        <v>224940</v>
      </c>
      <c r="B306" s="215">
        <v>224910</v>
      </c>
      <c r="C306" s="215">
        <v>224820</v>
      </c>
      <c r="D306" s="215">
        <v>224790</v>
      </c>
      <c r="E306">
        <v>30</v>
      </c>
      <c r="F306" s="99">
        <v>1E-4</v>
      </c>
      <c r="G306" s="158">
        <v>44068</v>
      </c>
      <c r="H306" t="s">
        <v>6556</v>
      </c>
      <c r="I306" s="35" t="s">
        <v>6308</v>
      </c>
      <c r="L306" s="35" t="str">
        <f t="shared" si="5"/>
        <v>USD,20200825,224790,224820,224710,224790,1,1,1</v>
      </c>
    </row>
    <row r="307" spans="1:12">
      <c r="A307" s="215">
        <v>224970</v>
      </c>
      <c r="B307" s="215">
        <v>224910</v>
      </c>
      <c r="C307" s="215">
        <v>225020</v>
      </c>
      <c r="D307" s="215">
        <v>224820</v>
      </c>
      <c r="E307">
        <v>150</v>
      </c>
      <c r="F307" s="99">
        <v>6.9999999999999999E-4</v>
      </c>
      <c r="G307" s="158">
        <v>44067</v>
      </c>
      <c r="H307" t="s">
        <v>6557</v>
      </c>
      <c r="I307" s="35" t="s">
        <v>6308</v>
      </c>
      <c r="L307" s="35" t="str">
        <f t="shared" si="5"/>
        <v>USD,20200824,225020,225020,224710,224820,1,1,1</v>
      </c>
    </row>
    <row r="308" spans="1:12">
      <c r="A308" s="215">
        <v>223950</v>
      </c>
      <c r="B308" s="215">
        <v>223910</v>
      </c>
      <c r="C308" s="215">
        <v>225020</v>
      </c>
      <c r="D308" s="215">
        <v>224970</v>
      </c>
      <c r="E308">
        <v>50</v>
      </c>
      <c r="F308" s="99">
        <v>2.0000000000000001E-4</v>
      </c>
      <c r="G308" s="158">
        <v>44066</v>
      </c>
      <c r="H308" t="s">
        <v>6558</v>
      </c>
      <c r="I308" s="35" t="s">
        <v>6308</v>
      </c>
      <c r="L308" s="35" t="str">
        <f t="shared" si="5"/>
        <v>USD,20200823,224940,225020,224910,224970,1,1,1</v>
      </c>
    </row>
    <row r="309" spans="1:12">
      <c r="A309" s="215">
        <v>224960</v>
      </c>
      <c r="B309" s="215">
        <v>223910</v>
      </c>
      <c r="C309" s="215">
        <v>225020</v>
      </c>
      <c r="D309" s="215">
        <v>225020</v>
      </c>
      <c r="E309" t="s">
        <v>6307</v>
      </c>
      <c r="F309" t="s">
        <v>6307</v>
      </c>
      <c r="G309" s="158">
        <v>44065</v>
      </c>
      <c r="H309" t="s">
        <v>6559</v>
      </c>
      <c r="I309" s="35" t="s">
        <v>6308</v>
      </c>
      <c r="L309" s="35" t="str">
        <f t="shared" si="5"/>
        <v>USD,20200822,224970,225020,224910,225020,1,1,1</v>
      </c>
    </row>
    <row r="310" spans="1:12">
      <c r="A310" s="215">
        <v>224420</v>
      </c>
      <c r="B310" s="215">
        <v>224410</v>
      </c>
      <c r="C310" s="215">
        <v>225020</v>
      </c>
      <c r="D310" s="215">
        <v>225020</v>
      </c>
      <c r="E310">
        <v>1090</v>
      </c>
      <c r="F310" s="99">
        <v>4.8999999999999998E-3</v>
      </c>
      <c r="G310" s="158">
        <v>44063</v>
      </c>
      <c r="H310" t="s">
        <v>6560</v>
      </c>
      <c r="I310" s="35" t="s">
        <v>6308</v>
      </c>
      <c r="L310" s="35" t="str">
        <f t="shared" si="5"/>
        <v>USD,20200820,223950,225020,223910,225020,1,1,1</v>
      </c>
    </row>
    <row r="311" spans="1:12">
      <c r="A311" s="215">
        <v>218970</v>
      </c>
      <c r="B311" s="215">
        <v>218910</v>
      </c>
      <c r="C311" s="215">
        <v>225020</v>
      </c>
      <c r="D311" s="215">
        <v>223930</v>
      </c>
      <c r="E311">
        <v>1090</v>
      </c>
      <c r="F311" s="99">
        <v>4.8999999999999998E-3</v>
      </c>
      <c r="G311" s="158">
        <v>44062</v>
      </c>
      <c r="H311" t="s">
        <v>6561</v>
      </c>
      <c r="I311" s="35" t="s">
        <v>6308</v>
      </c>
      <c r="L311" s="35" t="str">
        <f t="shared" ref="L311:L338" si="6">CONCATENATE("USD",I311,TEXT(G311,"yyyymmdd"),I311,A309,I311,C311,I311,B309,I311,D311,I311,"1,1,1")</f>
        <v>USD,20200819,224960,225020,223910,223930,1,1,1</v>
      </c>
    </row>
    <row r="312" spans="1:12">
      <c r="A312" s="215">
        <v>218970</v>
      </c>
      <c r="B312" s="215">
        <v>218910</v>
      </c>
      <c r="C312" s="215">
        <v>225520</v>
      </c>
      <c r="D312" s="215">
        <v>225020</v>
      </c>
      <c r="E312">
        <v>530</v>
      </c>
      <c r="F312" s="99">
        <v>2.3999999999999998E-3</v>
      </c>
      <c r="G312" s="158">
        <v>44061</v>
      </c>
      <c r="H312" t="s">
        <v>6562</v>
      </c>
      <c r="I312" s="35" t="s">
        <v>6308</v>
      </c>
      <c r="L312" s="35" t="str">
        <f t="shared" si="6"/>
        <v>USD,20200818,224420,225520,224410,225020,1,1,1</v>
      </c>
    </row>
    <row r="313" spans="1:12">
      <c r="A313" s="215">
        <v>220520</v>
      </c>
      <c r="B313" s="215">
        <v>220410</v>
      </c>
      <c r="C313" s="215">
        <v>224520</v>
      </c>
      <c r="D313" s="215">
        <v>224490</v>
      </c>
      <c r="E313">
        <v>5470</v>
      </c>
      <c r="F313" s="99">
        <v>2.5000000000000001E-2</v>
      </c>
      <c r="G313" s="158">
        <v>44060</v>
      </c>
      <c r="H313" t="s">
        <v>6563</v>
      </c>
      <c r="I313" s="35" t="s">
        <v>6308</v>
      </c>
      <c r="L313" s="35" t="str">
        <f t="shared" si="6"/>
        <v>USD,20200817,218970,224520,218910,224490,1,1,1</v>
      </c>
    </row>
    <row r="314" spans="1:12">
      <c r="A314" s="215">
        <v>219520</v>
      </c>
      <c r="B314" s="215">
        <v>219410</v>
      </c>
      <c r="C314" s="215">
        <v>219020</v>
      </c>
      <c r="D314" s="215">
        <v>219020</v>
      </c>
      <c r="E314">
        <v>1500</v>
      </c>
      <c r="F314" s="99">
        <v>6.7999999999999996E-3</v>
      </c>
      <c r="G314" s="158">
        <v>44059</v>
      </c>
      <c r="H314" t="s">
        <v>6564</v>
      </c>
      <c r="I314" s="35" t="s">
        <v>6308</v>
      </c>
      <c r="L314" s="35" t="str">
        <f t="shared" si="6"/>
        <v>USD,20200816,218970,219020,218910,219020,1,1,1</v>
      </c>
    </row>
    <row r="315" spans="1:12">
      <c r="A315" s="215">
        <v>216800</v>
      </c>
      <c r="B315" s="215">
        <v>216710</v>
      </c>
      <c r="C315" s="215">
        <v>220520</v>
      </c>
      <c r="D315" s="215">
        <v>220520</v>
      </c>
      <c r="E315">
        <v>20</v>
      </c>
      <c r="F315" s="99">
        <v>1E-4</v>
      </c>
      <c r="G315" s="158">
        <v>44058</v>
      </c>
      <c r="H315" t="s">
        <v>6565</v>
      </c>
      <c r="I315" s="35" t="s">
        <v>6308</v>
      </c>
      <c r="L315" s="35" t="str">
        <f t="shared" si="6"/>
        <v>USD,20200815,220520,220520,220410,220520,1,1,1</v>
      </c>
    </row>
    <row r="316" spans="1:12">
      <c r="A316" s="215">
        <v>209930</v>
      </c>
      <c r="B316" s="215">
        <v>209910</v>
      </c>
      <c r="C316" s="215">
        <v>220520</v>
      </c>
      <c r="D316" s="215">
        <v>220500</v>
      </c>
      <c r="E316">
        <v>2480</v>
      </c>
      <c r="F316" s="99">
        <v>1.14E-2</v>
      </c>
      <c r="G316" s="158">
        <v>44056</v>
      </c>
      <c r="H316" t="s">
        <v>6566</v>
      </c>
      <c r="I316" s="35" t="s">
        <v>6308</v>
      </c>
      <c r="L316" s="35" t="str">
        <f t="shared" si="6"/>
        <v>USD,20200813,219520,220520,219410,220500,1,1,1</v>
      </c>
    </row>
    <row r="317" spans="1:12">
      <c r="A317" s="215">
        <v>217960</v>
      </c>
      <c r="B317" s="215">
        <v>207910</v>
      </c>
      <c r="C317" s="215">
        <v>218020</v>
      </c>
      <c r="D317" s="215">
        <v>218020</v>
      </c>
      <c r="E317">
        <v>1200</v>
      </c>
      <c r="F317" s="99">
        <v>5.4999999999999997E-3</v>
      </c>
      <c r="G317" s="158">
        <v>44055</v>
      </c>
      <c r="H317" t="s">
        <v>6567</v>
      </c>
      <c r="I317" s="35" t="s">
        <v>6308</v>
      </c>
      <c r="L317" s="35" t="str">
        <f t="shared" si="6"/>
        <v>USD,20200812,216800,218020,216710,218020,1,1,1</v>
      </c>
    </row>
    <row r="318" spans="1:12">
      <c r="A318" s="215">
        <v>229980</v>
      </c>
      <c r="B318" s="215">
        <v>217910</v>
      </c>
      <c r="C318" s="215">
        <v>216820</v>
      </c>
      <c r="D318" s="215">
        <v>216820</v>
      </c>
      <c r="E318">
        <v>6910</v>
      </c>
      <c r="F318" s="99">
        <v>3.2899999999999999E-2</v>
      </c>
      <c r="G318" s="158">
        <v>44054</v>
      </c>
      <c r="H318" t="s">
        <v>6568</v>
      </c>
      <c r="I318" s="35" t="s">
        <v>6308</v>
      </c>
      <c r="L318" s="35" t="str">
        <f t="shared" si="6"/>
        <v>USD,20200811,209930,216820,209910,216820,1,1,1</v>
      </c>
    </row>
    <row r="319" spans="1:12">
      <c r="A319" s="215">
        <v>229970</v>
      </c>
      <c r="B319" s="215">
        <v>229910</v>
      </c>
      <c r="C319" s="215">
        <v>218020</v>
      </c>
      <c r="D319" s="215">
        <v>209910</v>
      </c>
      <c r="E319">
        <v>8110</v>
      </c>
      <c r="F319" s="99">
        <v>3.8600000000000002E-2</v>
      </c>
      <c r="G319" s="158">
        <v>44053</v>
      </c>
      <c r="H319" t="s">
        <v>6569</v>
      </c>
      <c r="I319" s="35" t="s">
        <v>6308</v>
      </c>
      <c r="L319" s="35" t="str">
        <f t="shared" si="6"/>
        <v>USD,20200810,217960,218020,207910,209910,1,1,1</v>
      </c>
    </row>
    <row r="320" spans="1:12">
      <c r="A320" s="215">
        <v>223020</v>
      </c>
      <c r="B320" s="215">
        <v>222910</v>
      </c>
      <c r="C320" s="215">
        <v>230020</v>
      </c>
      <c r="D320" s="215">
        <v>218020</v>
      </c>
      <c r="E320">
        <v>12000</v>
      </c>
      <c r="F320" s="99">
        <v>5.5E-2</v>
      </c>
      <c r="G320" s="158">
        <v>44052</v>
      </c>
      <c r="H320" t="s">
        <v>6570</v>
      </c>
      <c r="I320" s="35" t="s">
        <v>6308</v>
      </c>
      <c r="L320" s="35" t="str">
        <f t="shared" si="6"/>
        <v>USD,20200809,229980,230020,217910,218020,1,1,1</v>
      </c>
    </row>
    <row r="321" spans="1:12">
      <c r="A321" s="215">
        <v>219020</v>
      </c>
      <c r="B321" s="215">
        <v>218910</v>
      </c>
      <c r="C321" s="215">
        <v>230020</v>
      </c>
      <c r="D321" s="215">
        <v>230020</v>
      </c>
      <c r="E321">
        <v>3000</v>
      </c>
      <c r="F321" s="99">
        <v>1.32E-2</v>
      </c>
      <c r="G321" s="158">
        <v>44049</v>
      </c>
      <c r="H321" t="s">
        <v>6571</v>
      </c>
      <c r="I321" s="35" t="s">
        <v>6308</v>
      </c>
      <c r="L321" s="35" t="str">
        <f t="shared" si="6"/>
        <v>USD,20200806,229970,230020,229910,230020,1,1,1</v>
      </c>
    </row>
    <row r="322" spans="1:12">
      <c r="A322" s="215">
        <v>217000</v>
      </c>
      <c r="B322" s="215">
        <v>216910</v>
      </c>
      <c r="C322" s="215">
        <v>227020</v>
      </c>
      <c r="D322" s="215">
        <v>227020</v>
      </c>
      <c r="E322">
        <v>4060</v>
      </c>
      <c r="F322" s="99">
        <v>1.8200000000000001E-2</v>
      </c>
      <c r="G322" s="158">
        <v>44048</v>
      </c>
      <c r="H322" t="s">
        <v>6235</v>
      </c>
      <c r="I322" s="35" t="s">
        <v>6308</v>
      </c>
      <c r="L322" s="35" t="str">
        <f t="shared" si="6"/>
        <v>USD,20200805,223020,227020,222910,227020,1,1,1</v>
      </c>
    </row>
    <row r="323" spans="1:12">
      <c r="A323" s="215">
        <v>212940</v>
      </c>
      <c r="B323" s="215">
        <v>212910</v>
      </c>
      <c r="C323" s="215">
        <v>223020</v>
      </c>
      <c r="D323" s="215">
        <v>222960</v>
      </c>
      <c r="E323">
        <v>3970</v>
      </c>
      <c r="F323" s="99">
        <v>1.8100000000000002E-2</v>
      </c>
      <c r="G323" s="158">
        <v>44047</v>
      </c>
      <c r="H323" t="s">
        <v>6572</v>
      </c>
      <c r="I323" s="35" t="s">
        <v>6308</v>
      </c>
      <c r="L323" s="35" t="str">
        <f t="shared" si="6"/>
        <v>USD,20200804,219020,223020,218910,222960,1,1,1</v>
      </c>
    </row>
    <row r="324" spans="1:12">
      <c r="A324" s="215">
        <v>207940</v>
      </c>
      <c r="B324" s="215">
        <v>207910</v>
      </c>
      <c r="C324" s="215">
        <v>219020</v>
      </c>
      <c r="D324" s="215">
        <v>218990</v>
      </c>
      <c r="E324">
        <v>1970</v>
      </c>
      <c r="F324" s="99">
        <v>9.1000000000000004E-3</v>
      </c>
      <c r="G324" s="158">
        <v>44046</v>
      </c>
      <c r="H324" t="s">
        <v>6573</v>
      </c>
      <c r="I324" s="35" t="s">
        <v>6308</v>
      </c>
      <c r="L324" s="35" t="str">
        <f t="shared" si="6"/>
        <v>USD,20200803,217000,219020,216910,218990,1,1,1</v>
      </c>
    </row>
    <row r="325" spans="1:12">
      <c r="A325" s="215">
        <v>207990</v>
      </c>
      <c r="B325" s="215">
        <v>207910</v>
      </c>
      <c r="C325" s="215">
        <v>217020</v>
      </c>
      <c r="D325" s="215">
        <v>217020</v>
      </c>
      <c r="E325">
        <v>4000</v>
      </c>
      <c r="F325" s="99">
        <v>1.8800000000000001E-2</v>
      </c>
      <c r="G325" s="158">
        <v>44045</v>
      </c>
      <c r="H325" t="s">
        <v>6574</v>
      </c>
      <c r="I325" s="35" t="s">
        <v>6308</v>
      </c>
      <c r="L325" s="35" t="str">
        <f t="shared" si="6"/>
        <v>USD,20200802,212940,217020,212910,217020,1,1,1</v>
      </c>
    </row>
    <row r="326" spans="1:12">
      <c r="A326" s="215">
        <v>204930</v>
      </c>
      <c r="B326" s="215">
        <v>204910</v>
      </c>
      <c r="C326" s="215">
        <v>213020</v>
      </c>
      <c r="D326" s="215">
        <v>213020</v>
      </c>
      <c r="E326">
        <v>5000</v>
      </c>
      <c r="F326" s="99">
        <v>2.4E-2</v>
      </c>
      <c r="G326" s="158">
        <v>44044</v>
      </c>
      <c r="H326" t="s">
        <v>6575</v>
      </c>
      <c r="I326" s="35" t="s">
        <v>6308</v>
      </c>
      <c r="L326" s="35" t="str">
        <f t="shared" si="6"/>
        <v>USD,20200801,207940,213020,207910,213020,1,1,1</v>
      </c>
    </row>
    <row r="327" spans="1:12">
      <c r="A327" s="215">
        <v>205020</v>
      </c>
      <c r="B327" s="215">
        <v>204910</v>
      </c>
      <c r="C327" s="215">
        <v>208020</v>
      </c>
      <c r="D327" s="215">
        <v>208020</v>
      </c>
      <c r="E327">
        <v>3030</v>
      </c>
      <c r="F327" s="99">
        <v>1.4800000000000001E-2</v>
      </c>
      <c r="G327" s="158">
        <v>44042</v>
      </c>
      <c r="H327" t="s">
        <v>6576</v>
      </c>
      <c r="I327" s="35" t="s">
        <v>6308</v>
      </c>
      <c r="L327" s="35" t="str">
        <f t="shared" si="6"/>
        <v>USD,20200730,207990,208020,207910,208020,1,1,1</v>
      </c>
    </row>
    <row r="328" spans="1:12">
      <c r="A328" s="215">
        <v>202980</v>
      </c>
      <c r="B328" s="215">
        <v>202910</v>
      </c>
      <c r="C328" s="215">
        <v>205020</v>
      </c>
      <c r="D328" s="215">
        <v>204990</v>
      </c>
      <c r="E328">
        <v>70</v>
      </c>
      <c r="F328" s="99">
        <v>2.9999999999999997E-4</v>
      </c>
      <c r="G328" s="158">
        <v>44041</v>
      </c>
      <c r="H328" t="s">
        <v>6577</v>
      </c>
      <c r="I328" s="35" t="s">
        <v>6308</v>
      </c>
      <c r="L328" s="35" t="str">
        <f t="shared" si="6"/>
        <v>USD,20200729,204930,205020,204910,204990,1,1,1</v>
      </c>
    </row>
    <row r="329" spans="1:12">
      <c r="A329" s="215">
        <v>202940</v>
      </c>
      <c r="B329" s="215">
        <v>202910</v>
      </c>
      <c r="C329" s="215">
        <v>205020</v>
      </c>
      <c r="D329" s="215">
        <v>204920</v>
      </c>
      <c r="E329">
        <v>10</v>
      </c>
      <c r="F329" t="s">
        <v>6307</v>
      </c>
      <c r="G329" s="158">
        <v>44040</v>
      </c>
      <c r="H329" t="s">
        <v>6578</v>
      </c>
      <c r="I329" s="35" t="s">
        <v>6308</v>
      </c>
      <c r="L329" s="35" t="str">
        <f t="shared" si="6"/>
        <v>USD,20200728,205020,205020,204910,204920,1,1,1</v>
      </c>
    </row>
    <row r="330" spans="1:12">
      <c r="A330" s="215">
        <v>203020</v>
      </c>
      <c r="B330" s="215">
        <v>202910</v>
      </c>
      <c r="C330" s="215">
        <v>205020</v>
      </c>
      <c r="D330" s="215">
        <v>204910</v>
      </c>
      <c r="E330">
        <v>1960</v>
      </c>
      <c r="F330" s="99">
        <v>9.7000000000000003E-3</v>
      </c>
      <c r="G330" s="158">
        <v>44039</v>
      </c>
      <c r="H330" t="s">
        <v>6579</v>
      </c>
      <c r="I330" s="35" t="s">
        <v>6308</v>
      </c>
      <c r="L330" s="35" t="str">
        <f t="shared" si="6"/>
        <v>USD,20200727,202980,205020,202910,204910,1,1,1</v>
      </c>
    </row>
    <row r="331" spans="1:12">
      <c r="A331" s="215">
        <v>203000</v>
      </c>
      <c r="B331" s="215">
        <v>202910</v>
      </c>
      <c r="C331" s="215">
        <v>203020</v>
      </c>
      <c r="D331" s="215">
        <v>202950</v>
      </c>
      <c r="E331">
        <v>70</v>
      </c>
      <c r="F331" s="99">
        <v>2.9999999999999997E-4</v>
      </c>
      <c r="G331" s="158">
        <v>44038</v>
      </c>
      <c r="H331" t="s">
        <v>6580</v>
      </c>
      <c r="I331" s="35" t="s">
        <v>6308</v>
      </c>
      <c r="L331" s="35" t="str">
        <f t="shared" si="6"/>
        <v>USD,20200726,202940,203020,202910,202950,1,1,1</v>
      </c>
    </row>
    <row r="332" spans="1:12">
      <c r="A332" s="215">
        <v>204430</v>
      </c>
      <c r="B332" s="215">
        <v>203410</v>
      </c>
      <c r="C332" s="215">
        <v>203020</v>
      </c>
      <c r="D332" s="215">
        <v>203020</v>
      </c>
      <c r="E332">
        <v>110</v>
      </c>
      <c r="F332" s="99">
        <v>5.0000000000000001E-4</v>
      </c>
      <c r="G332" s="158">
        <v>44037</v>
      </c>
      <c r="H332" t="s">
        <v>6581</v>
      </c>
      <c r="I332" s="35" t="s">
        <v>6308</v>
      </c>
      <c r="L332" s="35" t="str">
        <f t="shared" si="6"/>
        <v>USD,20200725,203020,203020,202910,203020,1,1,1</v>
      </c>
    </row>
    <row r="333" spans="1:12">
      <c r="A333" s="215">
        <v>225920</v>
      </c>
      <c r="B333" s="215">
        <v>204410</v>
      </c>
      <c r="C333" s="215">
        <v>203020</v>
      </c>
      <c r="D333" s="215">
        <v>202910</v>
      </c>
      <c r="E333">
        <v>520</v>
      </c>
      <c r="F333" s="99">
        <v>2.5999999999999999E-3</v>
      </c>
      <c r="G333" s="158">
        <v>44035</v>
      </c>
      <c r="H333" t="s">
        <v>6582</v>
      </c>
      <c r="I333" s="35" t="s">
        <v>6308</v>
      </c>
      <c r="L333" s="35" t="str">
        <f t="shared" si="6"/>
        <v>USD,20200723,203000,203020,202910,202910,1,1,1</v>
      </c>
    </row>
    <row r="334" spans="1:12">
      <c r="A334" s="215">
        <v>279840</v>
      </c>
      <c r="B334" s="215">
        <v>279700</v>
      </c>
      <c r="C334" s="215">
        <v>204520</v>
      </c>
      <c r="D334" s="215">
        <v>203430</v>
      </c>
      <c r="E334">
        <v>1090</v>
      </c>
      <c r="F334" s="99">
        <v>5.4000000000000003E-3</v>
      </c>
      <c r="G334" s="158">
        <v>44034</v>
      </c>
      <c r="H334" t="s">
        <v>6583</v>
      </c>
      <c r="I334" s="35" t="s">
        <v>6308</v>
      </c>
      <c r="L334" s="35" t="str">
        <f t="shared" si="6"/>
        <v>USD,20200722,204430,204520,203410,203430,1,1,1</v>
      </c>
    </row>
    <row r="335" spans="1:12" ht="15.75" thickBot="1">
      <c r="A335" s="215">
        <v>278010</v>
      </c>
      <c r="B335" s="215">
        <v>277200</v>
      </c>
      <c r="C335" s="215">
        <v>226020</v>
      </c>
      <c r="D335" s="215">
        <v>204520</v>
      </c>
      <c r="E335">
        <v>21500</v>
      </c>
      <c r="F335" s="99">
        <v>0.1051</v>
      </c>
      <c r="G335" s="158">
        <v>44033</v>
      </c>
      <c r="H335" t="s">
        <v>6584</v>
      </c>
      <c r="I335" s="35" t="s">
        <v>6308</v>
      </c>
      <c r="L335" s="35" t="str">
        <f t="shared" si="6"/>
        <v>USD,20200721,225920,226020,204410,204520,1,1,1</v>
      </c>
    </row>
    <row r="336" spans="1:12" ht="15.75" thickBot="1">
      <c r="A336" s="288">
        <v>283180</v>
      </c>
      <c r="B336" s="289">
        <v>283100</v>
      </c>
      <c r="C336" s="289">
        <v>284480</v>
      </c>
      <c r="D336" s="289">
        <v>284240</v>
      </c>
      <c r="E336" s="290">
        <v>580</v>
      </c>
      <c r="F336" s="291">
        <v>2E-3</v>
      </c>
      <c r="G336" s="292">
        <v>44511</v>
      </c>
      <c r="H336" s="293" t="s">
        <v>6686</v>
      </c>
      <c r="I336" s="35" t="s">
        <v>6308</v>
      </c>
      <c r="L336" s="35" t="str">
        <f t="shared" si="6"/>
        <v>USD,20211111,279840,284480,279700,284240,1,1,1</v>
      </c>
    </row>
    <row r="337" spans="1:12" ht="15.75" thickBot="1">
      <c r="A337" s="276">
        <v>281760</v>
      </c>
      <c r="B337" s="277">
        <v>281400</v>
      </c>
      <c r="C337" s="277">
        <v>283880</v>
      </c>
      <c r="D337" s="277">
        <v>283660</v>
      </c>
      <c r="E337" s="278">
        <v>2600</v>
      </c>
      <c r="F337" s="279">
        <v>9.2999999999999992E-3</v>
      </c>
      <c r="G337" s="280">
        <v>44510</v>
      </c>
      <c r="H337" s="281" t="s">
        <v>6687</v>
      </c>
      <c r="I337" s="35" t="s">
        <v>6308</v>
      </c>
      <c r="L337" s="35" t="str">
        <f t="shared" si="6"/>
        <v>USD,20211110,278010,283880,277200,283660,1,1,1</v>
      </c>
    </row>
    <row r="338" spans="1:12" ht="15.75" thickBot="1">
      <c r="A338" s="282">
        <v>280230</v>
      </c>
      <c r="B338" s="283">
        <v>280200</v>
      </c>
      <c r="C338" s="283">
        <v>281780</v>
      </c>
      <c r="D338" s="283">
        <v>281060</v>
      </c>
      <c r="E338" s="284">
        <v>820</v>
      </c>
      <c r="F338" s="285">
        <v>2.8999999999999998E-3</v>
      </c>
      <c r="G338" s="286">
        <v>44509</v>
      </c>
      <c r="H338" s="287" t="s">
        <v>6688</v>
      </c>
      <c r="I338" s="35" t="s">
        <v>6308</v>
      </c>
      <c r="L338" s="35" t="str">
        <f t="shared" si="6"/>
        <v>USD,20211109,283180,281780,283100,281060,1,1,1</v>
      </c>
    </row>
    <row r="339" spans="1:12">
      <c r="A339" s="215"/>
      <c r="B339" s="215"/>
    </row>
    <row r="340" spans="1:12">
      <c r="A340" s="215"/>
      <c r="B340" s="215"/>
    </row>
    <row r="341" spans="1:12">
      <c r="A341" s="215"/>
      <c r="B341" s="215"/>
    </row>
    <row r="342" spans="1:12">
      <c r="A342" s="215"/>
      <c r="B342" s="215"/>
    </row>
    <row r="343" spans="1:12">
      <c r="A343" s="215"/>
      <c r="B343" s="215"/>
    </row>
    <row r="344" spans="1:12">
      <c r="A344" s="215"/>
      <c r="B344" s="215"/>
    </row>
    <row r="345" spans="1:12">
      <c r="A345" s="215"/>
      <c r="B345" s="215"/>
    </row>
    <row r="346" spans="1:12">
      <c r="A346" s="215"/>
      <c r="B346" s="215"/>
    </row>
    <row r="347" spans="1:12">
      <c r="A347" s="215"/>
      <c r="B347" s="215"/>
    </row>
    <row r="348" spans="1:12">
      <c r="A348" s="215"/>
      <c r="B348" s="215"/>
    </row>
    <row r="349" spans="1:12">
      <c r="A349" s="215"/>
      <c r="B349" s="215"/>
    </row>
    <row r="350" spans="1:12">
      <c r="A350" s="215"/>
      <c r="B350" s="215"/>
    </row>
    <row r="351" spans="1:12">
      <c r="A351" s="215"/>
      <c r="B351" s="215"/>
    </row>
    <row r="352" spans="1:12">
      <c r="A352" s="215"/>
      <c r="B352" s="215"/>
    </row>
    <row r="353" spans="1:2">
      <c r="A353" s="215"/>
      <c r="B353" s="215"/>
    </row>
    <row r="354" spans="1:2">
      <c r="A354" s="215"/>
      <c r="B354" s="215"/>
    </row>
    <row r="355" spans="1:2">
      <c r="A355" s="215"/>
      <c r="B355" s="215"/>
    </row>
    <row r="356" spans="1:2">
      <c r="A356" s="215"/>
      <c r="B356" s="215"/>
    </row>
    <row r="357" spans="1:2">
      <c r="A357" s="215"/>
      <c r="B357" s="215"/>
    </row>
    <row r="358" spans="1:2">
      <c r="A358" s="215"/>
      <c r="B358" s="215"/>
    </row>
    <row r="359" spans="1:2">
      <c r="A359" s="215"/>
      <c r="B359" s="215"/>
    </row>
    <row r="360" spans="1:2">
      <c r="A360" s="215"/>
      <c r="B360" s="215"/>
    </row>
    <row r="361" spans="1:2">
      <c r="A361" s="215"/>
      <c r="B361" s="215"/>
    </row>
    <row r="362" spans="1:2">
      <c r="A362" s="215"/>
      <c r="B362" s="215"/>
    </row>
    <row r="363" spans="1:2">
      <c r="A363" s="215"/>
      <c r="B363" s="215"/>
    </row>
    <row r="364" spans="1:2">
      <c r="A364" s="215"/>
      <c r="B364" s="215"/>
    </row>
    <row r="365" spans="1:2">
      <c r="A365" s="215"/>
      <c r="B365" s="215"/>
    </row>
    <row r="366" spans="1:2">
      <c r="A366" s="215"/>
      <c r="B366" s="215"/>
    </row>
    <row r="367" spans="1:2">
      <c r="A367" s="215"/>
      <c r="B367" s="215"/>
    </row>
    <row r="368" spans="1:2">
      <c r="A368" s="215"/>
      <c r="B368" s="215"/>
    </row>
    <row r="369" spans="1:2">
      <c r="A369" s="215"/>
      <c r="B369" s="215"/>
    </row>
    <row r="370" spans="1:2">
      <c r="A370" s="215"/>
      <c r="B370" s="215"/>
    </row>
    <row r="371" spans="1:2">
      <c r="A371" s="215"/>
      <c r="B371" s="215"/>
    </row>
    <row r="372" spans="1:2">
      <c r="A372" s="215"/>
      <c r="B372" s="215"/>
    </row>
    <row r="373" spans="1:2">
      <c r="A373" s="215"/>
      <c r="B373" s="215"/>
    </row>
    <row r="374" spans="1:2">
      <c r="A374" s="215"/>
      <c r="B374" s="215"/>
    </row>
    <row r="375" spans="1:2">
      <c r="A375" s="215"/>
      <c r="B375" s="215"/>
    </row>
    <row r="376" spans="1:2">
      <c r="A376" s="215"/>
      <c r="B376" s="215"/>
    </row>
    <row r="377" spans="1:2">
      <c r="A377" s="215"/>
      <c r="B377" s="215"/>
    </row>
    <row r="378" spans="1:2">
      <c r="A378" s="215"/>
      <c r="B378" s="215"/>
    </row>
    <row r="379" spans="1:2">
      <c r="A379" s="215"/>
      <c r="B379" s="215"/>
    </row>
    <row r="380" spans="1:2">
      <c r="A380" s="215"/>
      <c r="B380" s="215"/>
    </row>
    <row r="381" spans="1:2">
      <c r="A381" s="215"/>
      <c r="B381" s="215"/>
    </row>
    <row r="382" spans="1:2">
      <c r="A382" s="215"/>
      <c r="B382" s="215"/>
    </row>
    <row r="383" spans="1:2">
      <c r="A383" s="215"/>
      <c r="B383" s="215"/>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520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527</v>
      </c>
      <c r="B3" s="34">
        <v>1481</v>
      </c>
      <c r="C3" s="34">
        <v>106941</v>
      </c>
      <c r="D3" s="31">
        <f t="shared" ref="D3:D22" si="0">B3-C3</f>
        <v>-105460</v>
      </c>
      <c r="E3" s="23" t="s">
        <v>530</v>
      </c>
      <c r="F3">
        <v>30</v>
      </c>
      <c r="G3">
        <f t="shared" ref="G3:G23" si="1">B3*F3</f>
        <v>44430</v>
      </c>
      <c r="H3">
        <f t="shared" ref="H3:H23" si="2">C3*F3</f>
        <v>3208230</v>
      </c>
      <c r="I3">
        <f t="shared" ref="I3:I23" si="3">D3*F3</f>
        <v>-3163800</v>
      </c>
      <c r="O3">
        <v>2</v>
      </c>
      <c r="P3">
        <v>29</v>
      </c>
      <c r="Q3">
        <v>30</v>
      </c>
    </row>
    <row r="4" spans="1:17">
      <c r="A4" s="20" t="s">
        <v>551</v>
      </c>
      <c r="B4" s="18">
        <v>39399500</v>
      </c>
      <c r="C4" s="18">
        <v>0</v>
      </c>
      <c r="D4" s="3">
        <f t="shared" si="0"/>
        <v>39399500</v>
      </c>
      <c r="E4" s="20" t="s">
        <v>554</v>
      </c>
      <c r="F4">
        <v>8</v>
      </c>
      <c r="G4">
        <f t="shared" si="1"/>
        <v>315196000</v>
      </c>
      <c r="H4">
        <f t="shared" si="2"/>
        <v>0</v>
      </c>
      <c r="I4">
        <f t="shared" si="3"/>
        <v>315196000</v>
      </c>
      <c r="O4">
        <v>3</v>
      </c>
      <c r="P4">
        <v>28</v>
      </c>
      <c r="Q4">
        <v>29</v>
      </c>
    </row>
    <row r="5" spans="1:17">
      <c r="A5" s="27">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4947302</v>
      </c>
      <c r="E30" s="36" t="s">
        <v>95</v>
      </c>
      <c r="G30" s="9">
        <f>G25*11/36500</f>
        <v>95521.033315068489</v>
      </c>
      <c r="H30" s="9">
        <f>G30*H25/G25</f>
        <v>110054.38008219177</v>
      </c>
      <c r="I30" s="9">
        <f>G30*I25/G25</f>
        <v>-14533.346767123287</v>
      </c>
      <c r="O30">
        <v>29</v>
      </c>
      <c r="P30">
        <v>2</v>
      </c>
      <c r="Q30">
        <v>3</v>
      </c>
    </row>
    <row r="31" spans="1:17" ht="33" customHeight="1">
      <c r="D31" s="25">
        <v>200000</v>
      </c>
      <c r="E31" s="45" t="s">
        <v>531</v>
      </c>
      <c r="G31" s="9" t="s">
        <v>389</v>
      </c>
      <c r="H31" s="9" t="s">
        <v>38</v>
      </c>
      <c r="I31" s="9" t="s">
        <v>39</v>
      </c>
      <c r="O31">
        <v>30</v>
      </c>
      <c r="P31">
        <v>1</v>
      </c>
      <c r="Q31">
        <v>2</v>
      </c>
    </row>
    <row r="32" spans="1:17">
      <c r="B32" s="7"/>
      <c r="D32" s="25">
        <v>-50000</v>
      </c>
      <c r="E32" s="36" t="s">
        <v>532</v>
      </c>
      <c r="O32">
        <v>31</v>
      </c>
      <c r="P32">
        <v>0</v>
      </c>
      <c r="Q32">
        <v>1</v>
      </c>
    </row>
    <row r="33" spans="4:17">
      <c r="D33" s="25">
        <v>120000</v>
      </c>
      <c r="E33" s="36" t="s">
        <v>533</v>
      </c>
      <c r="P33" t="s">
        <v>60</v>
      </c>
      <c r="Q33" t="s">
        <v>61</v>
      </c>
    </row>
    <row r="34" spans="4:17">
      <c r="D34" s="25">
        <v>-40000</v>
      </c>
      <c r="E34" s="36" t="s">
        <v>534</v>
      </c>
    </row>
    <row r="35" spans="4:17">
      <c r="D35" s="25">
        <v>200000</v>
      </c>
      <c r="E35" s="36" t="s">
        <v>539</v>
      </c>
    </row>
    <row r="36" spans="4:17">
      <c r="D36" s="25">
        <v>1000000</v>
      </c>
      <c r="E36" s="36" t="s">
        <v>550</v>
      </c>
    </row>
    <row r="37" spans="4:17">
      <c r="D37" s="7">
        <v>600000</v>
      </c>
      <c r="E37" s="36" t="s">
        <v>555</v>
      </c>
    </row>
    <row r="38" spans="4:17">
      <c r="D38" s="7">
        <v>-40000</v>
      </c>
      <c r="E38" s="36" t="s">
        <v>560</v>
      </c>
    </row>
    <row r="39" spans="4:17">
      <c r="D39" s="7">
        <v>0</v>
      </c>
      <c r="E39" s="36"/>
    </row>
    <row r="40" spans="4:17">
      <c r="D40" s="7"/>
      <c r="E40" s="36"/>
    </row>
    <row r="41" spans="4:17">
      <c r="D41" s="7"/>
      <c r="E41" s="36"/>
    </row>
    <row r="42" spans="4:17">
      <c r="D42" s="7">
        <f>SUM(D30:D39)</f>
        <v>6937302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561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558</v>
      </c>
      <c r="B3" s="34">
        <v>95521</v>
      </c>
      <c r="C3" s="34">
        <v>110054</v>
      </c>
      <c r="D3" s="31">
        <f t="shared" ref="D3:D22" si="0">B3-C3</f>
        <v>-14533</v>
      </c>
      <c r="E3" s="23" t="s">
        <v>562</v>
      </c>
      <c r="F3">
        <v>30</v>
      </c>
      <c r="G3">
        <f t="shared" ref="G3:G23" si="1">B3*F3</f>
        <v>2865630</v>
      </c>
      <c r="H3">
        <f t="shared" ref="H3:H23" si="2">C3*F3</f>
        <v>3301620</v>
      </c>
      <c r="I3">
        <f t="shared" ref="I3:I23" si="3">D3*F3</f>
        <v>-435990</v>
      </c>
      <c r="O3">
        <v>2</v>
      </c>
      <c r="P3">
        <v>29</v>
      </c>
      <c r="Q3">
        <v>30</v>
      </c>
    </row>
    <row r="4" spans="1:17">
      <c r="A4" s="20" t="s">
        <v>569</v>
      </c>
      <c r="B4" s="18">
        <v>2000000</v>
      </c>
      <c r="C4" s="18">
        <v>0</v>
      </c>
      <c r="D4" s="3">
        <f t="shared" si="0"/>
        <v>2000000</v>
      </c>
      <c r="E4" s="20" t="s">
        <v>570</v>
      </c>
      <c r="F4">
        <v>26</v>
      </c>
      <c r="G4">
        <f t="shared" si="1"/>
        <v>52000000</v>
      </c>
      <c r="H4">
        <f t="shared" si="2"/>
        <v>0</v>
      </c>
      <c r="I4">
        <f t="shared" si="3"/>
        <v>52000000</v>
      </c>
      <c r="O4">
        <v>3</v>
      </c>
      <c r="P4">
        <v>28</v>
      </c>
      <c r="Q4">
        <v>29</v>
      </c>
    </row>
    <row r="5" spans="1:17">
      <c r="A5" s="27" t="s">
        <v>597</v>
      </c>
      <c r="B5" s="18">
        <v>2600000</v>
      </c>
      <c r="C5" s="18">
        <v>0</v>
      </c>
      <c r="D5" s="3">
        <f t="shared" si="0"/>
        <v>2600000</v>
      </c>
      <c r="E5" s="20" t="s">
        <v>598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6937302</v>
      </c>
      <c r="E30" s="36" t="s">
        <v>95</v>
      </c>
      <c r="G30" s="18">
        <v>384551</v>
      </c>
      <c r="H30" s="18">
        <f>G30*H25/G25</f>
        <v>110907.64086619244</v>
      </c>
      <c r="I30" s="18">
        <f>G30*I25/G25</f>
        <v>273643.35913380759</v>
      </c>
      <c r="O30">
        <v>29</v>
      </c>
      <c r="P30">
        <v>2</v>
      </c>
      <c r="Q30">
        <v>3</v>
      </c>
    </row>
    <row r="31" spans="1:17">
      <c r="D31" s="25">
        <v>1342800</v>
      </c>
      <c r="E31" s="45" t="s">
        <v>568</v>
      </c>
      <c r="G31" s="9" t="s">
        <v>389</v>
      </c>
      <c r="H31" s="9" t="s">
        <v>38</v>
      </c>
      <c r="I31" s="9" t="s">
        <v>39</v>
      </c>
      <c r="O31">
        <v>30</v>
      </c>
      <c r="P31">
        <v>1</v>
      </c>
      <c r="Q31">
        <v>2</v>
      </c>
    </row>
    <row r="32" spans="1:17">
      <c r="B32" s="7"/>
      <c r="D32" s="25">
        <v>-44000</v>
      </c>
      <c r="E32" s="36" t="s">
        <v>571</v>
      </c>
      <c r="O32">
        <v>31</v>
      </c>
      <c r="P32">
        <v>0</v>
      </c>
      <c r="Q32">
        <v>1</v>
      </c>
    </row>
    <row r="33" spans="4:17">
      <c r="D33" s="25">
        <v>-25000</v>
      </c>
      <c r="E33" s="36" t="s">
        <v>578</v>
      </c>
      <c r="P33" t="s">
        <v>60</v>
      </c>
      <c r="Q33" t="s">
        <v>61</v>
      </c>
    </row>
    <row r="34" spans="4:17">
      <c r="D34" s="25">
        <v>-13000</v>
      </c>
      <c r="E34" s="36" t="s">
        <v>588</v>
      </c>
    </row>
    <row r="35" spans="4:17">
      <c r="D35" s="25">
        <v>200000</v>
      </c>
      <c r="E35" s="36" t="s">
        <v>592</v>
      </c>
    </row>
    <row r="36" spans="4:17">
      <c r="D36" s="25">
        <v>-120000</v>
      </c>
      <c r="E36" s="36" t="s">
        <v>593</v>
      </c>
    </row>
    <row r="37" spans="4:17">
      <c r="D37" s="7">
        <v>200000</v>
      </c>
      <c r="E37" s="36" t="s">
        <v>594</v>
      </c>
    </row>
    <row r="38" spans="4:17">
      <c r="D38" s="7">
        <v>0</v>
      </c>
      <c r="E38" s="36"/>
    </row>
    <row r="39" spans="4:17">
      <c r="D39" s="7">
        <v>0</v>
      </c>
      <c r="E39" s="36"/>
    </row>
    <row r="40" spans="4:17">
      <c r="D40" s="7"/>
      <c r="E40" s="36"/>
    </row>
    <row r="41" spans="4:17">
      <c r="D41" s="7"/>
      <c r="E41" s="36"/>
    </row>
    <row r="42" spans="4:17">
      <c r="D42" s="7">
        <f>SUM(D30:D39)</f>
        <v>8478102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597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601</v>
      </c>
      <c r="B3" s="34">
        <v>384551</v>
      </c>
      <c r="C3" s="34">
        <v>110908</v>
      </c>
      <c r="D3" s="3">
        <f t="shared" ref="D3:D22" si="0">B3-C3</f>
        <v>273643</v>
      </c>
      <c r="E3" s="23" t="s">
        <v>602</v>
      </c>
      <c r="F3">
        <v>30</v>
      </c>
      <c r="G3">
        <f t="shared" ref="G3:G23" si="1">B3*F3</f>
        <v>11536530</v>
      </c>
      <c r="H3">
        <f t="shared" ref="H3:H23" si="2">C3*F3</f>
        <v>3327240</v>
      </c>
      <c r="I3">
        <f t="shared" ref="I3:I23" si="3">D3*F3</f>
        <v>8209290</v>
      </c>
      <c r="O3">
        <v>2</v>
      </c>
      <c r="P3">
        <v>29</v>
      </c>
      <c r="Q3">
        <v>30</v>
      </c>
    </row>
    <row r="4" spans="1:17">
      <c r="A4" s="20" t="s">
        <v>610</v>
      </c>
      <c r="B4" s="18">
        <v>0</v>
      </c>
      <c r="C4" s="18">
        <v>800000</v>
      </c>
      <c r="D4" s="3">
        <f t="shared" si="0"/>
        <v>-800000</v>
      </c>
      <c r="E4" s="11" t="s">
        <v>611</v>
      </c>
      <c r="F4">
        <v>29</v>
      </c>
      <c r="G4">
        <f t="shared" si="1"/>
        <v>0</v>
      </c>
      <c r="H4">
        <f t="shared" si="2"/>
        <v>23200000</v>
      </c>
      <c r="I4">
        <f t="shared" si="3"/>
        <v>-23200000</v>
      </c>
      <c r="O4">
        <v>3</v>
      </c>
      <c r="P4">
        <v>28</v>
      </c>
      <c r="Q4">
        <v>29</v>
      </c>
    </row>
    <row r="5" spans="1:17">
      <c r="A5" s="27" t="s">
        <v>626</v>
      </c>
      <c r="B5" s="18">
        <v>-3000000</v>
      </c>
      <c r="C5" s="18">
        <v>0</v>
      </c>
      <c r="D5" s="3">
        <f t="shared" si="0"/>
        <v>-3000000</v>
      </c>
      <c r="E5" s="20" t="s">
        <v>628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8478102</v>
      </c>
      <c r="E30" s="36" t="s">
        <v>95</v>
      </c>
      <c r="G30" s="18">
        <v>400710</v>
      </c>
      <c r="H30" s="18">
        <f>G30*H25/G25</f>
        <v>118875.48490135309</v>
      </c>
      <c r="I30" s="18">
        <f>G30*I25/G25</f>
        <v>281834.51509864692</v>
      </c>
      <c r="O30">
        <v>29</v>
      </c>
      <c r="P30">
        <v>2</v>
      </c>
      <c r="Q30">
        <v>3</v>
      </c>
    </row>
    <row r="31" spans="1:17" ht="33" customHeight="1">
      <c r="D31" s="25">
        <v>-65000</v>
      </c>
      <c r="E31" s="45" t="s">
        <v>609</v>
      </c>
      <c r="G31" s="9" t="s">
        <v>389</v>
      </c>
      <c r="H31" s="9" t="s">
        <v>38</v>
      </c>
      <c r="I31" s="9" t="s">
        <v>39</v>
      </c>
      <c r="O31">
        <v>30</v>
      </c>
      <c r="P31">
        <v>1</v>
      </c>
      <c r="Q31">
        <v>2</v>
      </c>
    </row>
    <row r="32" spans="1:17">
      <c r="B32" s="7"/>
      <c r="D32" s="25">
        <v>-28000</v>
      </c>
      <c r="E32" s="36" t="s">
        <v>616</v>
      </c>
      <c r="O32">
        <v>31</v>
      </c>
      <c r="P32">
        <v>0</v>
      </c>
      <c r="Q32">
        <v>1</v>
      </c>
    </row>
    <row r="33" spans="4:17">
      <c r="D33" s="25">
        <v>100000</v>
      </c>
      <c r="E33" s="36" t="s">
        <v>617</v>
      </c>
      <c r="P33" t="s">
        <v>60</v>
      </c>
      <c r="Q33" t="s">
        <v>61</v>
      </c>
    </row>
    <row r="34" spans="4:17">
      <c r="D34" s="25">
        <v>200000</v>
      </c>
      <c r="E34" s="36" t="s">
        <v>619</v>
      </c>
    </row>
    <row r="35" spans="4:17">
      <c r="D35" s="25">
        <v>27470</v>
      </c>
      <c r="E35" s="36" t="s">
        <v>625</v>
      </c>
    </row>
    <row r="36" spans="4:17">
      <c r="D36" s="25">
        <v>334000</v>
      </c>
      <c r="E36" s="36" t="s">
        <v>632</v>
      </c>
    </row>
    <row r="37" spans="4:17">
      <c r="D37" s="7">
        <v>400000</v>
      </c>
      <c r="E37" s="36" t="s">
        <v>638</v>
      </c>
    </row>
    <row r="38" spans="4:17">
      <c r="D38" s="7">
        <v>200000</v>
      </c>
      <c r="E38" s="36" t="s">
        <v>643</v>
      </c>
    </row>
    <row r="39" spans="4:17">
      <c r="D39" s="7">
        <v>0</v>
      </c>
      <c r="E39" s="36"/>
    </row>
    <row r="40" spans="4:17">
      <c r="D40" s="7"/>
      <c r="E40" s="36"/>
    </row>
    <row r="41" spans="4:17">
      <c r="D41" s="7"/>
      <c r="E41" s="36"/>
    </row>
    <row r="42" spans="4:17">
      <c r="D42" s="7">
        <f>SUM(D30:D39)</f>
        <v>9646572</v>
      </c>
      <c r="E42" t="s">
        <v>6</v>
      </c>
    </row>
    <row r="43" spans="4:17">
      <c r="D43" s="7"/>
      <c r="E43" s="36"/>
    </row>
    <row r="44" spans="4:17">
      <c r="D44" s="7"/>
      <c r="E44" s="3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646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604</v>
      </c>
      <c r="B3" s="34">
        <v>400710</v>
      </c>
      <c r="C3" s="34">
        <v>118875</v>
      </c>
      <c r="D3" s="3">
        <f t="shared" ref="D3:D22" si="0">B3-C3</f>
        <v>281835</v>
      </c>
      <c r="E3" s="23" t="s">
        <v>642</v>
      </c>
      <c r="F3">
        <v>30</v>
      </c>
      <c r="G3">
        <f t="shared" ref="G3:G23" si="1">B3*F3</f>
        <v>12021300</v>
      </c>
      <c r="H3">
        <f t="shared" ref="H3:H23" si="2">C3*F3</f>
        <v>3566250</v>
      </c>
      <c r="I3">
        <f t="shared" ref="I3:I23" si="3">D3*F3</f>
        <v>8455050</v>
      </c>
      <c r="O3">
        <v>2</v>
      </c>
      <c r="P3">
        <v>29</v>
      </c>
      <c r="Q3">
        <v>30</v>
      </c>
    </row>
    <row r="4" spans="1:17">
      <c r="A4" s="20" t="s">
        <v>604</v>
      </c>
      <c r="B4" s="18">
        <v>42000000</v>
      </c>
      <c r="C4" s="18">
        <v>0</v>
      </c>
      <c r="D4" s="3">
        <f t="shared" si="0"/>
        <v>42000000</v>
      </c>
      <c r="E4" s="11" t="s">
        <v>474</v>
      </c>
      <c r="F4">
        <v>30</v>
      </c>
      <c r="G4">
        <f t="shared" si="1"/>
        <v>1260000000</v>
      </c>
      <c r="H4">
        <f t="shared" si="2"/>
        <v>0</v>
      </c>
      <c r="I4">
        <f t="shared" si="3"/>
        <v>1260000000</v>
      </c>
      <c r="O4">
        <v>3</v>
      </c>
      <c r="P4">
        <v>28</v>
      </c>
      <c r="Q4">
        <v>29</v>
      </c>
    </row>
    <row r="5" spans="1:17">
      <c r="A5" s="27" t="s">
        <v>666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9646572</v>
      </c>
      <c r="E30" s="36" t="s">
        <v>95</v>
      </c>
      <c r="G30" s="18">
        <v>771374</v>
      </c>
      <c r="H30" s="18">
        <f>G30*H25/G25</f>
        <v>120696.81937912316</v>
      </c>
      <c r="I30" s="18">
        <f>G30*I25/G25</f>
        <v>650677.18062087684</v>
      </c>
      <c r="O30">
        <v>29</v>
      </c>
      <c r="P30">
        <v>2</v>
      </c>
      <c r="Q30">
        <v>3</v>
      </c>
    </row>
    <row r="31" spans="1:17" ht="33" customHeight="1">
      <c r="D31" s="25">
        <v>-3000000</v>
      </c>
      <c r="E31" s="45" t="s">
        <v>645</v>
      </c>
      <c r="G31" s="9" t="s">
        <v>389</v>
      </c>
      <c r="H31" s="9" t="s">
        <v>38</v>
      </c>
      <c r="I31" s="9" t="s">
        <v>39</v>
      </c>
      <c r="O31">
        <v>30</v>
      </c>
      <c r="P31">
        <v>1</v>
      </c>
      <c r="Q31">
        <v>2</v>
      </c>
    </row>
    <row r="32" spans="1:17">
      <c r="B32" s="7"/>
      <c r="D32" s="25">
        <v>200000</v>
      </c>
      <c r="E32" s="36" t="s">
        <v>650</v>
      </c>
      <c r="O32">
        <v>31</v>
      </c>
      <c r="P32">
        <v>0</v>
      </c>
      <c r="Q32">
        <v>1</v>
      </c>
    </row>
    <row r="33" spans="4:17">
      <c r="D33" s="25">
        <v>2200700</v>
      </c>
      <c r="E33" s="36" t="s">
        <v>654</v>
      </c>
      <c r="P33" t="s">
        <v>60</v>
      </c>
      <c r="Q33" t="s">
        <v>61</v>
      </c>
    </row>
    <row r="34" spans="4:17">
      <c r="D34" s="25">
        <v>-2000000</v>
      </c>
      <c r="E34" s="36" t="s">
        <v>661</v>
      </c>
    </row>
    <row r="35" spans="4:17">
      <c r="D35" s="25">
        <v>141950</v>
      </c>
      <c r="E35" s="36" t="s">
        <v>662</v>
      </c>
    </row>
    <row r="36" spans="4:17">
      <c r="D36" s="25">
        <v>800500</v>
      </c>
      <c r="E36" s="36" t="s">
        <v>665</v>
      </c>
    </row>
    <row r="37" spans="4:17">
      <c r="D37" s="7">
        <v>-100000</v>
      </c>
      <c r="E37" s="36" t="s">
        <v>669</v>
      </c>
    </row>
    <row r="38" spans="4:17">
      <c r="D38" s="7">
        <v>0</v>
      </c>
      <c r="E38" s="36"/>
    </row>
    <row r="39" spans="4:17">
      <c r="D39" s="7">
        <v>0</v>
      </c>
      <c r="E39" s="36"/>
    </row>
    <row r="40" spans="4:17">
      <c r="D40" s="7"/>
      <c r="E40" s="36"/>
    </row>
    <row r="41" spans="4:17">
      <c r="D41" s="7"/>
      <c r="E41" s="36"/>
    </row>
    <row r="42" spans="4:17">
      <c r="D42" s="7">
        <f>SUM(D30:D39)</f>
        <v>7889722</v>
      </c>
      <c r="E42" t="s">
        <v>6</v>
      </c>
    </row>
    <row r="43" spans="4:17">
      <c r="D43" s="7"/>
      <c r="E43" s="36"/>
    </row>
    <row r="44" spans="4:17">
      <c r="D44" s="7"/>
      <c r="E44" s="3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646</v>
      </c>
      <c r="B2" s="3">
        <f>'شهریور 96'!B24</f>
        <v>83932109</v>
      </c>
      <c r="C2" s="1">
        <f>'شهریور 96'!C24</f>
        <v>12923301</v>
      </c>
      <c r="D2" s="3">
        <f>B2-C2</f>
        <v>71008808</v>
      </c>
      <c r="E2" s="2" t="s">
        <v>59</v>
      </c>
      <c r="F2">
        <v>30</v>
      </c>
      <c r="G2">
        <f>B2*F2</f>
        <v>2517963270</v>
      </c>
      <c r="H2">
        <f>C2*F2</f>
        <v>387699030</v>
      </c>
      <c r="I2">
        <f>D2*F2</f>
        <v>2130264240</v>
      </c>
    </row>
    <row r="3" spans="1:17">
      <c r="A3" s="20" t="s">
        <v>605</v>
      </c>
      <c r="B3" s="34">
        <v>771374</v>
      </c>
      <c r="C3" s="34">
        <v>120697</v>
      </c>
      <c r="D3" s="3">
        <f t="shared" ref="D3:D22" si="0">B3-C3</f>
        <v>650677</v>
      </c>
      <c r="E3" s="23" t="s">
        <v>667</v>
      </c>
      <c r="F3">
        <v>29</v>
      </c>
      <c r="G3">
        <f t="shared" ref="G3:G23" si="1">B3*F3</f>
        <v>22369846</v>
      </c>
      <c r="H3">
        <f t="shared" ref="H3:H23" si="2">C3*F3</f>
        <v>3500213</v>
      </c>
      <c r="I3">
        <f t="shared" ref="I3:I23" si="3">D3*F3</f>
        <v>18869633</v>
      </c>
    </row>
    <row r="4" spans="1:17">
      <c r="A4" s="20" t="s">
        <v>678</v>
      </c>
      <c r="B4" s="18">
        <v>2500000</v>
      </c>
      <c r="C4" s="18">
        <v>0</v>
      </c>
      <c r="D4" s="3">
        <f t="shared" si="0"/>
        <v>2500000</v>
      </c>
      <c r="E4" s="11" t="s">
        <v>679</v>
      </c>
      <c r="F4">
        <v>26</v>
      </c>
      <c r="G4">
        <f t="shared" si="1"/>
        <v>65000000</v>
      </c>
      <c r="H4">
        <f t="shared" si="2"/>
        <v>0</v>
      </c>
      <c r="I4">
        <f t="shared" si="3"/>
        <v>65000000</v>
      </c>
      <c r="O4">
        <v>1</v>
      </c>
      <c r="P4">
        <v>29</v>
      </c>
      <c r="Q4">
        <v>30</v>
      </c>
    </row>
    <row r="5" spans="1:17">
      <c r="A5" s="27" t="s">
        <v>692</v>
      </c>
      <c r="B5" s="18">
        <v>-1000000</v>
      </c>
      <c r="C5" s="18">
        <v>-1000000</v>
      </c>
      <c r="D5" s="3">
        <f t="shared" si="0"/>
        <v>0</v>
      </c>
      <c r="E5" s="20" t="s">
        <v>711</v>
      </c>
      <c r="F5">
        <v>13</v>
      </c>
      <c r="G5">
        <f t="shared" si="1"/>
        <v>-13000000</v>
      </c>
      <c r="H5">
        <f t="shared" si="2"/>
        <v>-13000000</v>
      </c>
      <c r="I5">
        <f t="shared" si="3"/>
        <v>0</v>
      </c>
      <c r="O5">
        <v>2</v>
      </c>
      <c r="P5">
        <v>28</v>
      </c>
      <c r="Q5">
        <v>29</v>
      </c>
    </row>
    <row r="6" spans="1:17">
      <c r="A6" s="17" t="s">
        <v>695</v>
      </c>
      <c r="B6" s="18">
        <v>-50000000</v>
      </c>
      <c r="C6" s="18">
        <v>0</v>
      </c>
      <c r="D6" s="3">
        <f t="shared" si="0"/>
        <v>-50000000</v>
      </c>
      <c r="E6" s="19" t="s">
        <v>696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7889722</v>
      </c>
      <c r="E30" s="36" t="s">
        <v>95</v>
      </c>
      <c r="G30" s="18">
        <v>614287</v>
      </c>
      <c r="H30" s="18">
        <f>G30*H25/G25</f>
        <v>105970.61034621575</v>
      </c>
      <c r="I30" s="18">
        <f>G30*I25/G25</f>
        <v>508316.38965378428</v>
      </c>
      <c r="O30">
        <v>27</v>
      </c>
      <c r="P30">
        <v>3</v>
      </c>
      <c r="Q30">
        <v>4</v>
      </c>
    </row>
    <row r="31" spans="1:17" ht="43.5" customHeight="1">
      <c r="D31" s="25">
        <v>-30000</v>
      </c>
      <c r="E31" s="45" t="s">
        <v>672</v>
      </c>
      <c r="G31" s="9" t="s">
        <v>389</v>
      </c>
      <c r="H31" s="9" t="s">
        <v>38</v>
      </c>
      <c r="I31" s="9" t="s">
        <v>39</v>
      </c>
      <c r="O31">
        <v>28</v>
      </c>
      <c r="P31">
        <v>2</v>
      </c>
      <c r="Q31">
        <v>3</v>
      </c>
    </row>
    <row r="32" spans="1:17">
      <c r="B32" s="7"/>
      <c r="D32" s="25">
        <v>-10000</v>
      </c>
      <c r="E32" s="36" t="s">
        <v>697</v>
      </c>
      <c r="O32">
        <v>29</v>
      </c>
      <c r="P32">
        <v>1</v>
      </c>
      <c r="Q32">
        <v>2</v>
      </c>
    </row>
    <row r="33" spans="4:17">
      <c r="D33" s="25">
        <v>0</v>
      </c>
      <c r="E33" s="36" t="s">
        <v>654</v>
      </c>
      <c r="O33">
        <v>30</v>
      </c>
      <c r="P33">
        <v>0</v>
      </c>
      <c r="Q33">
        <v>1</v>
      </c>
    </row>
    <row r="34" spans="4:17">
      <c r="D34" s="25">
        <v>0</v>
      </c>
      <c r="E34" s="36" t="s">
        <v>661</v>
      </c>
      <c r="P34" t="s">
        <v>60</v>
      </c>
      <c r="Q34" t="s">
        <v>61</v>
      </c>
    </row>
    <row r="35" spans="4:17">
      <c r="D35" s="25">
        <v>0</v>
      </c>
      <c r="E35" s="36" t="s">
        <v>662</v>
      </c>
    </row>
    <row r="36" spans="4:17">
      <c r="D36" s="25">
        <v>0</v>
      </c>
      <c r="E36" s="36" t="s">
        <v>665</v>
      </c>
    </row>
    <row r="37" spans="4:17">
      <c r="D37" s="7">
        <v>0</v>
      </c>
      <c r="E37" s="36" t="s">
        <v>669</v>
      </c>
    </row>
    <row r="38" spans="4:17">
      <c r="D38" s="7">
        <v>0</v>
      </c>
      <c r="E38" s="36"/>
    </row>
    <row r="39" spans="4:17">
      <c r="D39" s="7">
        <v>0</v>
      </c>
      <c r="E39" s="36"/>
    </row>
    <row r="40" spans="4:17">
      <c r="D40" s="7"/>
      <c r="E40" s="36"/>
    </row>
    <row r="41" spans="4:17">
      <c r="D41" s="7"/>
      <c r="E41" s="36"/>
    </row>
    <row r="42" spans="4:17">
      <c r="D42" s="7">
        <f>SUM(D30:D39)</f>
        <v>7849722</v>
      </c>
      <c r="E42" t="s">
        <v>6</v>
      </c>
    </row>
    <row r="43" spans="4:17">
      <c r="D43" s="7"/>
      <c r="E43" s="36"/>
    </row>
    <row r="44" spans="4:17">
      <c r="D44" s="7"/>
      <c r="E44" s="3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705</v>
      </c>
      <c r="B2" s="3">
        <f>مهر96!B24</f>
        <v>36203483</v>
      </c>
      <c r="C2" s="1">
        <f>مهر96!C24</f>
        <v>12043998</v>
      </c>
      <c r="D2" s="3">
        <f>B2-C2</f>
        <v>24159485</v>
      </c>
      <c r="E2" s="2" t="s">
        <v>59</v>
      </c>
      <c r="F2">
        <v>30</v>
      </c>
      <c r="G2">
        <f>B2*F2</f>
        <v>1086104490</v>
      </c>
      <c r="H2">
        <f>C2*F2</f>
        <v>361319940</v>
      </c>
      <c r="I2">
        <f>D2*F2</f>
        <v>724784550</v>
      </c>
    </row>
    <row r="3" spans="1:17">
      <c r="A3" s="20" t="s">
        <v>606</v>
      </c>
      <c r="B3" s="34">
        <v>614287</v>
      </c>
      <c r="C3" s="34">
        <v>105971</v>
      </c>
      <c r="D3" s="3">
        <f t="shared" ref="D3:D22" si="0">B3-C3</f>
        <v>508316</v>
      </c>
      <c r="E3" s="23" t="s">
        <v>710</v>
      </c>
      <c r="F3">
        <v>29</v>
      </c>
      <c r="G3">
        <f t="shared" ref="G3:G23" si="1">B3*F3</f>
        <v>17814323</v>
      </c>
      <c r="H3">
        <f t="shared" ref="H3:H23" si="2">C3*F3</f>
        <v>3073159</v>
      </c>
      <c r="I3">
        <f t="shared" ref="I3:I23" si="3">D3*F3</f>
        <v>14741164</v>
      </c>
    </row>
    <row r="4" spans="1:17">
      <c r="A4" s="20" t="s">
        <v>719</v>
      </c>
      <c r="B4" s="18">
        <v>-1210700</v>
      </c>
      <c r="C4" s="18">
        <v>0</v>
      </c>
      <c r="D4" s="3">
        <f t="shared" si="0"/>
        <v>-1210700</v>
      </c>
      <c r="E4" s="11" t="s">
        <v>720</v>
      </c>
      <c r="F4">
        <v>26</v>
      </c>
      <c r="G4">
        <f t="shared" si="1"/>
        <v>-31478200</v>
      </c>
      <c r="H4">
        <f t="shared" si="2"/>
        <v>0</v>
      </c>
      <c r="I4">
        <f t="shared" si="3"/>
        <v>-31478200</v>
      </c>
      <c r="O4">
        <v>1</v>
      </c>
      <c r="P4">
        <v>29</v>
      </c>
      <c r="Q4">
        <v>30</v>
      </c>
    </row>
    <row r="5" spans="1:17">
      <c r="A5" s="27" t="s">
        <v>729</v>
      </c>
      <c r="B5" s="18">
        <v>-97300</v>
      </c>
      <c r="C5" s="18">
        <v>0</v>
      </c>
      <c r="D5" s="3">
        <f t="shared" si="0"/>
        <v>-97300</v>
      </c>
      <c r="E5" s="20" t="s">
        <v>734</v>
      </c>
      <c r="F5">
        <v>17</v>
      </c>
      <c r="G5">
        <f t="shared" si="1"/>
        <v>-1654100</v>
      </c>
      <c r="H5">
        <f t="shared" si="2"/>
        <v>0</v>
      </c>
      <c r="I5">
        <f t="shared" si="3"/>
        <v>-1654100</v>
      </c>
      <c r="O5">
        <v>2</v>
      </c>
      <c r="P5">
        <v>28</v>
      </c>
      <c r="Q5">
        <v>29</v>
      </c>
    </row>
    <row r="6" spans="1:17">
      <c r="A6" s="17" t="s">
        <v>740</v>
      </c>
      <c r="B6" s="18">
        <v>-1000000</v>
      </c>
      <c r="C6" s="18">
        <v>-1000000</v>
      </c>
      <c r="D6" s="3">
        <f t="shared" si="0"/>
        <v>0</v>
      </c>
      <c r="E6" s="19" t="s">
        <v>741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7849722</v>
      </c>
      <c r="E30" s="36" t="s">
        <v>95</v>
      </c>
      <c r="G30" s="18">
        <v>290873</v>
      </c>
      <c r="H30" s="18">
        <f>G30*H25/G25</f>
        <v>97358.796349136712</v>
      </c>
      <c r="I30" s="18">
        <f>G30*I25/G25</f>
        <v>193514.20365086329</v>
      </c>
      <c r="O30">
        <v>27</v>
      </c>
      <c r="P30">
        <v>3</v>
      </c>
      <c r="Q30">
        <v>4</v>
      </c>
    </row>
    <row r="31" spans="1:17">
      <c r="D31" s="25">
        <v>-170000</v>
      </c>
      <c r="E31" s="45" t="s">
        <v>721</v>
      </c>
      <c r="G31" s="9" t="s">
        <v>744</v>
      </c>
      <c r="H31" s="9" t="s">
        <v>38</v>
      </c>
      <c r="I31" s="9" t="s">
        <v>39</v>
      </c>
      <c r="O31">
        <v>28</v>
      </c>
      <c r="P31">
        <v>2</v>
      </c>
      <c r="Q31">
        <v>3</v>
      </c>
    </row>
    <row r="32" spans="1:17">
      <c r="B32" s="7"/>
      <c r="D32" s="25">
        <v>295200</v>
      </c>
      <c r="E32" s="36" t="s">
        <v>726</v>
      </c>
      <c r="O32">
        <v>29</v>
      </c>
      <c r="P32">
        <v>1</v>
      </c>
      <c r="Q32">
        <v>2</v>
      </c>
    </row>
    <row r="33" spans="4:17">
      <c r="D33" s="25">
        <v>-30000</v>
      </c>
      <c r="E33" s="36" t="s">
        <v>735</v>
      </c>
      <c r="O33">
        <v>30</v>
      </c>
      <c r="P33">
        <v>0</v>
      </c>
      <c r="Q33">
        <v>1</v>
      </c>
    </row>
    <row r="34" spans="4:17">
      <c r="D34" s="25">
        <v>-100000</v>
      </c>
      <c r="E34" s="36" t="s">
        <v>737</v>
      </c>
      <c r="P34" t="s">
        <v>60</v>
      </c>
      <c r="Q34" t="s">
        <v>61</v>
      </c>
    </row>
    <row r="35" spans="4:17">
      <c r="D35" s="25">
        <v>-50000</v>
      </c>
      <c r="E35" s="36" t="s">
        <v>742</v>
      </c>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7794922</v>
      </c>
      <c r="E42" t="s">
        <v>6</v>
      </c>
    </row>
    <row r="43" spans="4:17">
      <c r="D43" s="7"/>
      <c r="E43" s="36"/>
    </row>
    <row r="44" spans="4:17">
      <c r="D44" s="7"/>
      <c r="E44" s="3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746</v>
      </c>
      <c r="B2" s="3">
        <f>'آبان 96'!B24</f>
        <v>34509770</v>
      </c>
      <c r="C2" s="1">
        <f>'آبان 96'!C24</f>
        <v>11149969</v>
      </c>
      <c r="D2" s="3">
        <f>B2-C2</f>
        <v>23359801</v>
      </c>
      <c r="E2" s="2" t="s">
        <v>59</v>
      </c>
      <c r="F2">
        <v>30</v>
      </c>
      <c r="G2">
        <f>B2*F2</f>
        <v>1035293100</v>
      </c>
      <c r="H2">
        <f>C2*F2</f>
        <v>334499070</v>
      </c>
      <c r="I2">
        <f>D2*F2</f>
        <v>700794030</v>
      </c>
    </row>
    <row r="3" spans="1:17">
      <c r="A3" s="20" t="s">
        <v>607</v>
      </c>
      <c r="B3" s="34">
        <v>290900</v>
      </c>
      <c r="C3" s="34">
        <v>97359</v>
      </c>
      <c r="D3" s="3">
        <f t="shared" ref="D3:D22" si="0">B3-C3</f>
        <v>193541</v>
      </c>
      <c r="E3" s="23" t="s">
        <v>745</v>
      </c>
      <c r="F3">
        <v>29</v>
      </c>
      <c r="G3">
        <f t="shared" ref="G3:G23" si="1">B3*F3</f>
        <v>8436100</v>
      </c>
      <c r="H3">
        <f t="shared" ref="H3:H23" si="2">C3*F3</f>
        <v>2823411</v>
      </c>
      <c r="I3">
        <f t="shared" ref="I3:I23" si="3">D3*F3</f>
        <v>5612689</v>
      </c>
    </row>
    <row r="4" spans="1:17">
      <c r="A4" s="20" t="s">
        <v>760</v>
      </c>
      <c r="B4" s="18">
        <v>-1000500</v>
      </c>
      <c r="C4" s="18">
        <v>-1000500</v>
      </c>
      <c r="D4" s="3">
        <f t="shared" si="0"/>
        <v>0</v>
      </c>
      <c r="E4" s="11" t="s">
        <v>761</v>
      </c>
      <c r="F4">
        <v>13</v>
      </c>
      <c r="G4">
        <f t="shared" si="1"/>
        <v>-13006500</v>
      </c>
      <c r="H4">
        <f t="shared" si="2"/>
        <v>-13006500</v>
      </c>
      <c r="I4">
        <f t="shared" si="3"/>
        <v>0</v>
      </c>
      <c r="O4">
        <v>1</v>
      </c>
      <c r="P4">
        <v>29</v>
      </c>
      <c r="Q4">
        <v>30</v>
      </c>
    </row>
    <row r="5" spans="1:17">
      <c r="A5" s="27" t="s">
        <v>775</v>
      </c>
      <c r="B5" s="34">
        <v>282240</v>
      </c>
      <c r="C5" s="34">
        <v>88807</v>
      </c>
      <c r="D5" s="31">
        <f t="shared" si="0"/>
        <v>193433</v>
      </c>
      <c r="E5" s="23" t="s">
        <v>242</v>
      </c>
      <c r="F5">
        <v>0</v>
      </c>
      <c r="G5">
        <f t="shared" si="1"/>
        <v>0</v>
      </c>
      <c r="H5">
        <f t="shared" si="2"/>
        <v>0</v>
      </c>
      <c r="I5">
        <f t="shared" si="3"/>
        <v>0</v>
      </c>
      <c r="O5">
        <v>2</v>
      </c>
      <c r="P5">
        <v>28</v>
      </c>
      <c r="Q5">
        <v>29</v>
      </c>
    </row>
    <row r="6" spans="1:17">
      <c r="A6" s="17" t="s">
        <v>740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7794922</v>
      </c>
      <c r="E30" s="36" t="s">
        <v>95</v>
      </c>
      <c r="G30" s="18">
        <v>282240</v>
      </c>
      <c r="H30" s="18">
        <f>G30*H25/G25</f>
        <v>88806.565022231487</v>
      </c>
      <c r="I30" s="18">
        <f>G30*I25/G25</f>
        <v>193433.43497776851</v>
      </c>
      <c r="O30">
        <v>27</v>
      </c>
      <c r="P30">
        <v>3</v>
      </c>
      <c r="Q30">
        <v>4</v>
      </c>
    </row>
    <row r="31" spans="1:17">
      <c r="D31" s="25">
        <v>-10000</v>
      </c>
      <c r="E31" s="45" t="s">
        <v>751</v>
      </c>
      <c r="G31" s="9" t="s">
        <v>240</v>
      </c>
      <c r="H31" s="9" t="s">
        <v>38</v>
      </c>
      <c r="I31" s="9" t="s">
        <v>39</v>
      </c>
      <c r="O31">
        <v>28</v>
      </c>
      <c r="P31">
        <v>2</v>
      </c>
      <c r="Q31">
        <v>3</v>
      </c>
    </row>
    <row r="32" spans="1:17">
      <c r="B32" s="7"/>
      <c r="D32" s="25">
        <v>-150000</v>
      </c>
      <c r="E32" s="36" t="s">
        <v>755</v>
      </c>
      <c r="O32">
        <v>29</v>
      </c>
      <c r="P32">
        <v>1</v>
      </c>
      <c r="Q32">
        <v>2</v>
      </c>
    </row>
    <row r="33" spans="4:17">
      <c r="D33" s="25">
        <v>-8000</v>
      </c>
      <c r="E33" s="36" t="s">
        <v>762</v>
      </c>
      <c r="O33">
        <v>30</v>
      </c>
      <c r="P33">
        <v>0</v>
      </c>
      <c r="Q33">
        <v>1</v>
      </c>
    </row>
    <row r="34" spans="4:17">
      <c r="D34" s="25">
        <v>-100000</v>
      </c>
      <c r="E34" s="36" t="s">
        <v>763</v>
      </c>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7526922</v>
      </c>
      <c r="E42" t="s">
        <v>6</v>
      </c>
    </row>
    <row r="43" spans="4:17">
      <c r="D43" s="7"/>
      <c r="E43" s="3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'آذر 96'!B24</f>
        <v>34082410</v>
      </c>
      <c r="C2" s="1">
        <f>'آذر 96'!C24</f>
        <v>10335635</v>
      </c>
      <c r="D2" s="3">
        <f>B2-C2</f>
        <v>23746775</v>
      </c>
      <c r="E2" s="2" t="s">
        <v>59</v>
      </c>
      <c r="F2">
        <v>30</v>
      </c>
      <c r="G2">
        <f>B2*F2</f>
        <v>1022472300</v>
      </c>
      <c r="H2">
        <f>C2*F2</f>
        <v>310069050</v>
      </c>
      <c r="I2">
        <f>D2*F2</f>
        <v>712403250</v>
      </c>
    </row>
    <row r="3" spans="1:17">
      <c r="A3" s="20" t="s">
        <v>780</v>
      </c>
      <c r="B3" s="18">
        <v>1500000</v>
      </c>
      <c r="C3" s="18">
        <v>0</v>
      </c>
      <c r="D3" s="37">
        <f t="shared" ref="D3:D22" si="0">B3-C3</f>
        <v>1500000</v>
      </c>
      <c r="E3" s="20" t="s">
        <v>781</v>
      </c>
      <c r="F3">
        <v>27</v>
      </c>
      <c r="G3">
        <f t="shared" ref="G3:G23" si="1">B3*F3</f>
        <v>40500000</v>
      </c>
      <c r="H3">
        <f t="shared" ref="H3:H23" si="2">C3*F3</f>
        <v>0</v>
      </c>
      <c r="I3">
        <f t="shared" ref="I3:I23" si="3">D3*F3</f>
        <v>40500000</v>
      </c>
    </row>
    <row r="4" spans="1:17">
      <c r="A4" s="20" t="s">
        <v>799</v>
      </c>
      <c r="B4" s="18">
        <v>0</v>
      </c>
      <c r="C4" s="18">
        <v>-1000000</v>
      </c>
      <c r="D4" s="3">
        <f t="shared" si="0"/>
        <v>1000000</v>
      </c>
      <c r="E4" s="11" t="s">
        <v>800</v>
      </c>
      <c r="F4">
        <v>14</v>
      </c>
      <c r="G4">
        <f t="shared" si="1"/>
        <v>0</v>
      </c>
      <c r="H4">
        <f t="shared" si="2"/>
        <v>-14000000</v>
      </c>
      <c r="I4">
        <f t="shared" si="3"/>
        <v>14000000</v>
      </c>
      <c r="O4">
        <v>1</v>
      </c>
      <c r="P4">
        <v>29</v>
      </c>
      <c r="Q4">
        <v>30</v>
      </c>
    </row>
    <row r="5" spans="1:17">
      <c r="A5" s="27" t="s">
        <v>814</v>
      </c>
      <c r="B5" s="34">
        <v>291225</v>
      </c>
      <c r="C5" s="34">
        <v>81022</v>
      </c>
      <c r="D5" s="31">
        <f t="shared" si="0"/>
        <v>210203</v>
      </c>
      <c r="E5" s="23" t="s">
        <v>264</v>
      </c>
      <c r="F5">
        <v>0</v>
      </c>
      <c r="G5">
        <f t="shared" si="1"/>
        <v>0</v>
      </c>
      <c r="H5">
        <f t="shared" si="2"/>
        <v>0</v>
      </c>
      <c r="I5">
        <f t="shared" si="3"/>
        <v>0</v>
      </c>
      <c r="O5">
        <v>2</v>
      </c>
      <c r="P5">
        <v>28</v>
      </c>
      <c r="Q5">
        <v>29</v>
      </c>
    </row>
    <row r="6" spans="1:17">
      <c r="A6" s="17" t="s">
        <v>740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7526922</v>
      </c>
      <c r="E30" s="36" t="s">
        <v>95</v>
      </c>
      <c r="G30" s="18">
        <v>290893</v>
      </c>
      <c r="H30" s="18">
        <f>G30*H25/G25</f>
        <v>81022.256329398238</v>
      </c>
      <c r="I30" s="18">
        <f>G30*I25/G25</f>
        <v>209870.74367060178</v>
      </c>
      <c r="O30">
        <v>27</v>
      </c>
      <c r="P30">
        <v>3</v>
      </c>
      <c r="Q30">
        <v>4</v>
      </c>
    </row>
    <row r="31" spans="1:17">
      <c r="D31" s="25">
        <v>-20000</v>
      </c>
      <c r="E31" s="45" t="s">
        <v>788</v>
      </c>
      <c r="G31" s="9" t="s">
        <v>852</v>
      </c>
      <c r="H31" s="9" t="s">
        <v>38</v>
      </c>
      <c r="I31" s="9" t="s">
        <v>39</v>
      </c>
      <c r="O31">
        <v>28</v>
      </c>
      <c r="P31">
        <v>2</v>
      </c>
      <c r="Q31">
        <v>3</v>
      </c>
    </row>
    <row r="32" spans="1:17">
      <c r="B32" s="7"/>
      <c r="D32" s="25">
        <v>-4000</v>
      </c>
      <c r="E32" s="36" t="s">
        <v>789</v>
      </c>
      <c r="O32">
        <v>29</v>
      </c>
      <c r="P32">
        <v>1</v>
      </c>
      <c r="Q32">
        <v>2</v>
      </c>
    </row>
    <row r="33" spans="4:17">
      <c r="D33" s="25">
        <v>-112000</v>
      </c>
      <c r="E33" s="36" t="s">
        <v>795</v>
      </c>
      <c r="O33">
        <v>30</v>
      </c>
      <c r="P33">
        <v>0</v>
      </c>
      <c r="Q33">
        <v>1</v>
      </c>
    </row>
    <row r="34" spans="4:17">
      <c r="D34" s="25">
        <v>-9000</v>
      </c>
      <c r="E34" s="36" t="s">
        <v>797</v>
      </c>
      <c r="P34" t="s">
        <v>60</v>
      </c>
      <c r="Q34" t="s">
        <v>61</v>
      </c>
    </row>
    <row r="35" spans="4:17">
      <c r="D35" s="25">
        <v>-80000</v>
      </c>
      <c r="E35" s="36" t="s">
        <v>798</v>
      </c>
    </row>
    <row r="36" spans="4:17">
      <c r="D36" s="25">
        <v>-10000</v>
      </c>
      <c r="E36" s="36" t="s">
        <v>808</v>
      </c>
    </row>
    <row r="37" spans="4:17">
      <c r="D37" s="7">
        <v>-180000</v>
      </c>
      <c r="E37" s="36" t="s">
        <v>813</v>
      </c>
    </row>
    <row r="38" spans="4:17">
      <c r="D38" s="7">
        <v>0</v>
      </c>
      <c r="E38" s="36"/>
    </row>
    <row r="39" spans="4:17">
      <c r="D39" s="7">
        <v>0</v>
      </c>
      <c r="E39" s="36"/>
    </row>
    <row r="40" spans="4:17">
      <c r="D40" s="7"/>
      <c r="E40" s="36"/>
    </row>
    <row r="41" spans="4:17">
      <c r="D41" s="7"/>
      <c r="E41" s="36"/>
    </row>
    <row r="42" spans="4:17">
      <c r="D42" s="7">
        <f>SUM(D30:D39)</f>
        <v>7111922</v>
      </c>
      <c r="E42" t="s">
        <v>6</v>
      </c>
    </row>
    <row r="43" spans="4:17">
      <c r="D43" s="7"/>
      <c r="E43" s="3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'دی 96'!B24</f>
        <v>35873635</v>
      </c>
      <c r="C2" s="1">
        <f>'دی 96'!C24</f>
        <v>9416657</v>
      </c>
      <c r="D2" s="3">
        <f>B2-C2</f>
        <v>26456978</v>
      </c>
      <c r="E2" s="2" t="s">
        <v>59</v>
      </c>
      <c r="F2">
        <v>30</v>
      </c>
      <c r="G2">
        <f>B2*F2</f>
        <v>1076209050</v>
      </c>
      <c r="H2">
        <f>C2*F2</f>
        <v>282499710</v>
      </c>
      <c r="I2">
        <f>D2*F2</f>
        <v>793709340</v>
      </c>
    </row>
    <row r="3" spans="1:17">
      <c r="A3" s="20" t="s">
        <v>842</v>
      </c>
      <c r="B3" s="18">
        <v>0</v>
      </c>
      <c r="C3" s="18">
        <v>-1000000</v>
      </c>
      <c r="D3" s="37">
        <f t="shared" ref="D3:D22" si="0">B3-C3</f>
        <v>1000000</v>
      </c>
      <c r="E3" s="20" t="s">
        <v>846</v>
      </c>
      <c r="F3">
        <v>10</v>
      </c>
      <c r="G3">
        <f t="shared" ref="G3:G23" si="1">B3*F3</f>
        <v>0</v>
      </c>
      <c r="H3">
        <f t="shared" ref="H3:H23" si="2">C3*F3</f>
        <v>-10000000</v>
      </c>
      <c r="I3">
        <f t="shared" ref="I3:I23" si="3">D3*F3</f>
        <v>10000000</v>
      </c>
    </row>
    <row r="4" spans="1:17">
      <c r="A4" s="23" t="s">
        <v>850</v>
      </c>
      <c r="B4" s="34">
        <v>294852</v>
      </c>
      <c r="C4" s="34">
        <v>74657</v>
      </c>
      <c r="D4" s="31">
        <f t="shared" si="0"/>
        <v>220195</v>
      </c>
      <c r="E4" s="23" t="s">
        <v>860</v>
      </c>
      <c r="F4">
        <v>0</v>
      </c>
      <c r="G4">
        <f t="shared" si="1"/>
        <v>0</v>
      </c>
      <c r="H4">
        <f t="shared" si="2"/>
        <v>0</v>
      </c>
      <c r="I4">
        <f t="shared" si="3"/>
        <v>0</v>
      </c>
      <c r="O4">
        <v>1</v>
      </c>
      <c r="P4">
        <v>29</v>
      </c>
      <c r="Q4">
        <v>30</v>
      </c>
    </row>
    <row r="5" spans="1:17">
      <c r="A5" s="27" t="s">
        <v>729</v>
      </c>
      <c r="B5" s="18">
        <v>0</v>
      </c>
      <c r="C5" s="18">
        <v>0</v>
      </c>
      <c r="D5" s="3">
        <f t="shared" si="0"/>
        <v>0</v>
      </c>
      <c r="E5" s="20"/>
      <c r="F5">
        <v>0</v>
      </c>
      <c r="G5">
        <f t="shared" si="1"/>
        <v>0</v>
      </c>
      <c r="H5">
        <f t="shared" si="2"/>
        <v>0</v>
      </c>
      <c r="I5">
        <f t="shared" si="3"/>
        <v>0</v>
      </c>
      <c r="O5">
        <v>2</v>
      </c>
      <c r="P5">
        <v>28</v>
      </c>
      <c r="Q5">
        <v>29</v>
      </c>
    </row>
    <row r="6" spans="1:17">
      <c r="A6" s="17" t="s">
        <v>740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7111922</v>
      </c>
      <c r="E30" s="36" t="s">
        <v>95</v>
      </c>
      <c r="G30" s="18">
        <f>G25*100000/365000000</f>
        <v>294851.79452054796</v>
      </c>
      <c r="H30" s="18">
        <f>G30*H25/G25</f>
        <v>74657.454794520556</v>
      </c>
      <c r="I30" s="18">
        <f>G30*I25/G25</f>
        <v>220194.33972602742</v>
      </c>
      <c r="O30">
        <v>27</v>
      </c>
      <c r="P30">
        <v>3</v>
      </c>
      <c r="Q30">
        <v>4</v>
      </c>
    </row>
    <row r="31" spans="1:17">
      <c r="D31" s="25">
        <v>-20000</v>
      </c>
      <c r="E31" s="45" t="s">
        <v>844</v>
      </c>
      <c r="G31" s="9" t="s">
        <v>386</v>
      </c>
      <c r="H31" s="9" t="s">
        <v>38</v>
      </c>
      <c r="I31" s="9" t="s">
        <v>39</v>
      </c>
      <c r="O31">
        <v>28</v>
      </c>
      <c r="P31">
        <v>2</v>
      </c>
      <c r="Q31">
        <v>3</v>
      </c>
    </row>
    <row r="32" spans="1:17">
      <c r="B32" s="7"/>
      <c r="D32" s="25">
        <v>-10000</v>
      </c>
      <c r="E32" s="36" t="s">
        <v>845</v>
      </c>
      <c r="O32">
        <v>29</v>
      </c>
      <c r="P32">
        <v>1</v>
      </c>
      <c r="Q32">
        <v>2</v>
      </c>
    </row>
    <row r="33" spans="4:17">
      <c r="D33" s="25">
        <v>0</v>
      </c>
      <c r="E33" s="36"/>
      <c r="O33">
        <v>30</v>
      </c>
      <c r="P33">
        <v>0</v>
      </c>
      <c r="Q33">
        <v>1</v>
      </c>
    </row>
    <row r="34" spans="4:17">
      <c r="D34" s="25">
        <v>0</v>
      </c>
      <c r="E34" s="36"/>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7081922</v>
      </c>
      <c r="E42" t="s">
        <v>6</v>
      </c>
    </row>
    <row r="43" spans="4:17">
      <c r="D43" s="7"/>
      <c r="E43" s="3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850</v>
      </c>
      <c r="B2" s="3">
        <f>'بهمن 96'!B24</f>
        <v>36168487</v>
      </c>
      <c r="C2" s="1">
        <f>'بهمن 96'!C24</f>
        <v>8491314</v>
      </c>
      <c r="D2" s="3">
        <f>B2-C2</f>
        <v>27677173</v>
      </c>
      <c r="E2" s="2" t="s">
        <v>59</v>
      </c>
      <c r="F2">
        <v>30</v>
      </c>
      <c r="G2">
        <f>B2*F2</f>
        <v>1085054610</v>
      </c>
      <c r="H2">
        <f>C2*F2</f>
        <v>254739420</v>
      </c>
      <c r="I2">
        <f>D2*F2</f>
        <v>830315190</v>
      </c>
    </row>
    <row r="3" spans="1:17">
      <c r="A3" s="20" t="s">
        <v>861</v>
      </c>
      <c r="B3" s="18">
        <v>-1000500</v>
      </c>
      <c r="C3" s="18">
        <v>-1000500</v>
      </c>
      <c r="D3" s="37">
        <f t="shared" ref="D3:D22" si="0">B3-C3</f>
        <v>0</v>
      </c>
      <c r="E3" s="20" t="s">
        <v>862</v>
      </c>
      <c r="F3">
        <v>11</v>
      </c>
      <c r="G3">
        <f t="shared" ref="G3:G23" si="1">B3*F3</f>
        <v>-11005500</v>
      </c>
      <c r="H3">
        <f t="shared" ref="H3:H23" si="2">C3*F3</f>
        <v>-11005500</v>
      </c>
      <c r="I3">
        <f t="shared" ref="I3:I23" si="3">D3*F3</f>
        <v>0</v>
      </c>
    </row>
    <row r="4" spans="1:17">
      <c r="A4" s="20" t="s">
        <v>875</v>
      </c>
      <c r="B4" s="18">
        <v>-10000</v>
      </c>
      <c r="C4" s="18">
        <v>-5000</v>
      </c>
      <c r="D4" s="3">
        <f t="shared" si="0"/>
        <v>-5000</v>
      </c>
      <c r="E4" s="11" t="s">
        <v>881</v>
      </c>
      <c r="F4">
        <v>16</v>
      </c>
      <c r="G4">
        <f t="shared" si="1"/>
        <v>-160000</v>
      </c>
      <c r="H4">
        <f t="shared" si="2"/>
        <v>-80000</v>
      </c>
      <c r="I4">
        <f t="shared" si="3"/>
        <v>-80000</v>
      </c>
      <c r="O4">
        <v>1</v>
      </c>
      <c r="P4">
        <v>29</v>
      </c>
      <c r="Q4">
        <v>30</v>
      </c>
    </row>
    <row r="5" spans="1:17">
      <c r="A5" s="27" t="s">
        <v>897</v>
      </c>
      <c r="B5" s="18">
        <v>-27000000</v>
      </c>
      <c r="C5" s="18">
        <v>0</v>
      </c>
      <c r="D5" s="3">
        <f t="shared" si="0"/>
        <v>-27000000</v>
      </c>
      <c r="E5" s="20" t="s">
        <v>973</v>
      </c>
      <c r="F5">
        <v>5</v>
      </c>
      <c r="G5">
        <f t="shared" si="1"/>
        <v>-135000000</v>
      </c>
      <c r="H5">
        <f t="shared" si="2"/>
        <v>0</v>
      </c>
      <c r="I5">
        <f t="shared" si="3"/>
        <v>-135000000</v>
      </c>
      <c r="O5">
        <v>2</v>
      </c>
      <c r="P5">
        <v>28</v>
      </c>
      <c r="Q5">
        <v>29</v>
      </c>
    </row>
    <row r="6" spans="1:17">
      <c r="A6" s="17" t="s">
        <v>997</v>
      </c>
      <c r="B6" s="18">
        <v>252436</v>
      </c>
      <c r="C6" s="18">
        <v>65510</v>
      </c>
      <c r="D6" s="3">
        <f t="shared" si="0"/>
        <v>186926</v>
      </c>
      <c r="E6" s="19" t="s">
        <v>999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7081922</v>
      </c>
      <c r="E30" s="36" t="s">
        <v>95</v>
      </c>
      <c r="G30" s="18">
        <v>252436</v>
      </c>
      <c r="H30" s="18">
        <f>G30*H25/G25</f>
        <v>65510.421085957634</v>
      </c>
      <c r="I30" s="18">
        <f>G30*I25/G25</f>
        <v>186925.57891404236</v>
      </c>
      <c r="O30">
        <v>27</v>
      </c>
      <c r="P30">
        <v>3</v>
      </c>
      <c r="Q30">
        <v>4</v>
      </c>
    </row>
    <row r="31" spans="1:17">
      <c r="D31" s="25">
        <v>-30000</v>
      </c>
      <c r="E31" s="45" t="s">
        <v>94</v>
      </c>
      <c r="G31" s="9" t="s">
        <v>389</v>
      </c>
      <c r="H31" s="9" t="s">
        <v>38</v>
      </c>
      <c r="I31" s="9" t="s">
        <v>39</v>
      </c>
      <c r="O31">
        <v>28</v>
      </c>
      <c r="P31">
        <v>2</v>
      </c>
      <c r="Q31">
        <v>3</v>
      </c>
    </row>
    <row r="32" spans="1:17">
      <c r="B32" s="7"/>
      <c r="D32" s="25">
        <v>-102000</v>
      </c>
      <c r="E32" s="36" t="s">
        <v>863</v>
      </c>
      <c r="O32">
        <v>29</v>
      </c>
      <c r="P32">
        <v>1</v>
      </c>
      <c r="Q32">
        <v>2</v>
      </c>
    </row>
    <row r="33" spans="4:17">
      <c r="D33" s="25">
        <v>-163000</v>
      </c>
      <c r="E33" s="36" t="s">
        <v>891</v>
      </c>
      <c r="O33">
        <v>30</v>
      </c>
      <c r="P33">
        <v>0</v>
      </c>
      <c r="Q33">
        <v>1</v>
      </c>
    </row>
    <row r="34" spans="4:17">
      <c r="D34" s="25">
        <v>-150000</v>
      </c>
      <c r="E34" s="36" t="s">
        <v>971</v>
      </c>
      <c r="P34" t="s">
        <v>60</v>
      </c>
      <c r="Q34" t="s">
        <v>61</v>
      </c>
    </row>
    <row r="35" spans="4:17">
      <c r="D35" s="25">
        <v>200000</v>
      </c>
      <c r="E35" s="36" t="s">
        <v>989</v>
      </c>
    </row>
    <row r="36" spans="4:17">
      <c r="D36" s="25">
        <v>245000</v>
      </c>
      <c r="E36" s="36" t="s">
        <v>989</v>
      </c>
    </row>
    <row r="37" spans="4:17">
      <c r="D37" s="7">
        <v>-25000</v>
      </c>
      <c r="E37" s="36" t="s">
        <v>993</v>
      </c>
    </row>
    <row r="38" spans="4:17">
      <c r="D38" s="7">
        <v>0</v>
      </c>
      <c r="E38" s="36"/>
    </row>
    <row r="39" spans="4:17">
      <c r="D39" s="7">
        <v>0</v>
      </c>
      <c r="E39" s="36"/>
    </row>
    <row r="40" spans="4:17">
      <c r="D40" s="7"/>
      <c r="E40" s="36"/>
    </row>
    <row r="41" spans="4:17">
      <c r="D41" s="7"/>
      <c r="E41" s="36"/>
    </row>
    <row r="42" spans="4:17">
      <c r="D42" s="7">
        <f>SUM(D30:D39)</f>
        <v>7056922</v>
      </c>
      <c r="E42" t="s">
        <v>6</v>
      </c>
    </row>
    <row r="43" spans="4:17">
      <c r="D43" s="7"/>
      <c r="E43"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
      <c r="A1" s="141" t="s">
        <v>4199</v>
      </c>
      <c r="B1" t="s">
        <v>4200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997</v>
      </c>
      <c r="B2" s="3">
        <f>'اسفند 96'!B24</f>
        <v>8410423</v>
      </c>
      <c r="C2" s="1">
        <f>'اسفند 96'!C24</f>
        <v>7551324</v>
      </c>
      <c r="D2" s="3">
        <f>B2-C2</f>
        <v>859099</v>
      </c>
      <c r="E2" s="2" t="s">
        <v>59</v>
      </c>
      <c r="F2">
        <v>30</v>
      </c>
      <c r="G2">
        <f>B2*F2</f>
        <v>252312690</v>
      </c>
      <c r="H2">
        <f>C2*F2</f>
        <v>226539720</v>
      </c>
      <c r="I2">
        <f>D2*F2</f>
        <v>25772970</v>
      </c>
    </row>
    <row r="3" spans="1:17">
      <c r="A3" s="20" t="s">
        <v>1036</v>
      </c>
      <c r="B3" s="18">
        <v>52400000</v>
      </c>
      <c r="C3" s="18">
        <v>0</v>
      </c>
      <c r="D3" s="37">
        <f t="shared" ref="D3:D22" si="0">B3-C3</f>
        <v>52400000</v>
      </c>
      <c r="E3" s="20" t="s">
        <v>1037</v>
      </c>
      <c r="F3">
        <v>23</v>
      </c>
      <c r="G3">
        <f t="shared" ref="G3:G23" si="1">B3*F3</f>
        <v>1205200000</v>
      </c>
      <c r="H3">
        <f t="shared" ref="H3:H23" si="2">C3*F3</f>
        <v>0</v>
      </c>
      <c r="I3">
        <f t="shared" ref="I3:I23" si="3">D3*F3</f>
        <v>1205200000</v>
      </c>
    </row>
    <row r="4" spans="1:17">
      <c r="A4" s="20" t="s">
        <v>1040</v>
      </c>
      <c r="B4" s="18">
        <v>-52000000</v>
      </c>
      <c r="C4" s="18">
        <v>0</v>
      </c>
      <c r="D4" s="3">
        <f t="shared" si="0"/>
        <v>-52000000</v>
      </c>
      <c r="E4" s="11" t="s">
        <v>1043</v>
      </c>
      <c r="F4">
        <v>17</v>
      </c>
      <c r="G4">
        <f t="shared" si="1"/>
        <v>-884000000</v>
      </c>
      <c r="H4">
        <f t="shared" si="2"/>
        <v>0</v>
      </c>
      <c r="I4">
        <f t="shared" si="3"/>
        <v>-884000000</v>
      </c>
      <c r="O4">
        <v>1</v>
      </c>
      <c r="P4">
        <v>30</v>
      </c>
      <c r="Q4">
        <v>31</v>
      </c>
    </row>
    <row r="5" spans="1:17">
      <c r="A5" s="27" t="s">
        <v>1081</v>
      </c>
      <c r="B5" s="18">
        <v>-8000000</v>
      </c>
      <c r="C5" s="18">
        <v>-6772131</v>
      </c>
      <c r="D5" s="3">
        <f t="shared" si="0"/>
        <v>-1227869</v>
      </c>
      <c r="E5" s="20" t="s">
        <v>973</v>
      </c>
      <c r="F5">
        <v>12</v>
      </c>
      <c r="G5">
        <f t="shared" si="1"/>
        <v>-96000000</v>
      </c>
      <c r="H5">
        <f t="shared" si="2"/>
        <v>-81265572</v>
      </c>
      <c r="I5">
        <f t="shared" si="3"/>
        <v>-14734428</v>
      </c>
      <c r="O5">
        <v>2</v>
      </c>
      <c r="P5">
        <v>29</v>
      </c>
      <c r="Q5">
        <v>30</v>
      </c>
    </row>
    <row r="6" spans="1:17">
      <c r="A6" s="17" t="s">
        <v>1081</v>
      </c>
      <c r="B6" s="18">
        <v>-31230</v>
      </c>
      <c r="C6" s="18">
        <v>0</v>
      </c>
      <c r="D6" s="3">
        <f t="shared" si="0"/>
        <v>-31230</v>
      </c>
      <c r="E6" s="19" t="s">
        <v>1082</v>
      </c>
      <c r="F6">
        <v>12</v>
      </c>
      <c r="G6">
        <f t="shared" si="1"/>
        <v>-374760</v>
      </c>
      <c r="H6">
        <f t="shared" si="2"/>
        <v>0</v>
      </c>
      <c r="I6">
        <f t="shared" si="3"/>
        <v>-374760</v>
      </c>
      <c r="O6">
        <v>3</v>
      </c>
      <c r="P6">
        <v>28</v>
      </c>
      <c r="Q6">
        <v>29</v>
      </c>
    </row>
    <row r="7" spans="1:17">
      <c r="A7" s="89" t="s">
        <v>1107</v>
      </c>
      <c r="B7" s="34">
        <v>135087</v>
      </c>
      <c r="C7" s="34">
        <v>41130</v>
      </c>
      <c r="D7" s="31">
        <f t="shared" si="0"/>
        <v>93957</v>
      </c>
      <c r="E7" s="5" t="s">
        <v>1116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7056922</v>
      </c>
      <c r="E30" s="36" t="s">
        <v>95</v>
      </c>
      <c r="G30" s="18">
        <v>135087</v>
      </c>
      <c r="H30" s="18">
        <f>G30*H25/G25</f>
        <v>41129.928259687927</v>
      </c>
      <c r="I30" s="18">
        <f>G30*I25/G25</f>
        <v>93957.07174031208</v>
      </c>
      <c r="O30">
        <v>27</v>
      </c>
      <c r="P30">
        <v>4</v>
      </c>
      <c r="Q30">
        <v>5</v>
      </c>
    </row>
    <row r="31" spans="1:17">
      <c r="D31" s="25">
        <v>-200000</v>
      </c>
      <c r="E31" s="45" t="s">
        <v>1039</v>
      </c>
      <c r="G31" s="9" t="s">
        <v>1000</v>
      </c>
      <c r="H31" s="9" t="s">
        <v>38</v>
      </c>
      <c r="I31" s="9" t="s">
        <v>39</v>
      </c>
      <c r="O31">
        <v>28</v>
      </c>
      <c r="P31">
        <v>3</v>
      </c>
      <c r="Q31">
        <v>4</v>
      </c>
    </row>
    <row r="32" spans="1:17">
      <c r="B32" s="7"/>
      <c r="D32" s="25">
        <v>-25500</v>
      </c>
      <c r="E32" s="36" t="s">
        <v>1015</v>
      </c>
      <c r="O32">
        <v>29</v>
      </c>
      <c r="P32">
        <v>2</v>
      </c>
      <c r="Q32">
        <v>3</v>
      </c>
    </row>
    <row r="33" spans="4:17">
      <c r="D33" s="25">
        <v>-200000</v>
      </c>
      <c r="E33" s="36" t="s">
        <v>1038</v>
      </c>
      <c r="O33">
        <v>30</v>
      </c>
      <c r="P33">
        <v>1</v>
      </c>
      <c r="Q33">
        <v>2</v>
      </c>
    </row>
    <row r="34" spans="4:17">
      <c r="D34" s="25">
        <v>100000</v>
      </c>
      <c r="E34" s="36" t="s">
        <v>1062</v>
      </c>
      <c r="O34">
        <v>31</v>
      </c>
      <c r="P34">
        <v>0</v>
      </c>
      <c r="Q34">
        <v>1</v>
      </c>
    </row>
    <row r="35" spans="4:17">
      <c r="D35" s="25">
        <v>500000</v>
      </c>
      <c r="E35" s="36" t="s">
        <v>1089</v>
      </c>
      <c r="P35" t="s">
        <v>60</v>
      </c>
      <c r="Q35" t="s">
        <v>61</v>
      </c>
    </row>
    <row r="36" spans="4:17">
      <c r="D36" s="25">
        <v>79552</v>
      </c>
      <c r="E36" s="36" t="s">
        <v>1090</v>
      </c>
    </row>
    <row r="37" spans="4:17">
      <c r="D37" s="7">
        <v>-65500</v>
      </c>
      <c r="E37" s="36" t="s">
        <v>1092</v>
      </c>
    </row>
    <row r="38" spans="4:17">
      <c r="D38" s="7">
        <v>0</v>
      </c>
      <c r="E38" s="36"/>
    </row>
    <row r="39" spans="4:17">
      <c r="D39" s="7">
        <v>0</v>
      </c>
      <c r="E39" s="36"/>
    </row>
    <row r="40" spans="4:17">
      <c r="D40" s="7"/>
      <c r="E40" s="36"/>
    </row>
    <row r="41" spans="4:17">
      <c r="D41" s="7"/>
      <c r="E41" s="36"/>
    </row>
    <row r="42" spans="4:17">
      <c r="D42" s="7">
        <f>SUM(D30:D39)</f>
        <v>7245474</v>
      </c>
      <c r="E42" t="s">
        <v>6</v>
      </c>
    </row>
    <row r="43" spans="4:17">
      <c r="D43" s="7"/>
      <c r="E43" s="3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1107</v>
      </c>
      <c r="B2" s="3">
        <f>'فروردین 97'!B24</f>
        <v>914280</v>
      </c>
      <c r="C2" s="1">
        <f>'فروردین 97'!C24</f>
        <v>820323</v>
      </c>
      <c r="D2" s="3">
        <f>B2-C2</f>
        <v>93957</v>
      </c>
      <c r="E2" s="2" t="s">
        <v>59</v>
      </c>
      <c r="F2">
        <v>30</v>
      </c>
      <c r="G2">
        <f>B2*F2</f>
        <v>27428400</v>
      </c>
      <c r="H2">
        <f>C2*F2</f>
        <v>24609690</v>
      </c>
      <c r="I2">
        <f>D2*F2</f>
        <v>2818710</v>
      </c>
    </row>
    <row r="3" spans="1:17">
      <c r="A3" s="20" t="s">
        <v>1118</v>
      </c>
      <c r="B3" s="18">
        <v>6824082</v>
      </c>
      <c r="C3" s="18">
        <v>6824082</v>
      </c>
      <c r="D3" s="37">
        <f t="shared" ref="D3:D22" si="0">B3-C3</f>
        <v>0</v>
      </c>
      <c r="E3" s="20" t="s">
        <v>1037</v>
      </c>
      <c r="F3">
        <v>28</v>
      </c>
      <c r="G3">
        <f t="shared" ref="G3:G23" si="1">B3*F3</f>
        <v>191074296</v>
      </c>
      <c r="H3">
        <f t="shared" ref="H3:H23" si="2">C3*F3</f>
        <v>191074296</v>
      </c>
      <c r="I3">
        <f t="shared" ref="I3:I23" si="3">D3*F3</f>
        <v>0</v>
      </c>
    </row>
    <row r="4" spans="1:17">
      <c r="A4" s="20" t="s">
        <v>1137</v>
      </c>
      <c r="B4" s="18">
        <v>-200000</v>
      </c>
      <c r="C4" s="18">
        <v>0</v>
      </c>
      <c r="D4" s="3">
        <f t="shared" si="0"/>
        <v>-200000</v>
      </c>
      <c r="E4" s="11" t="s">
        <v>730</v>
      </c>
      <c r="F4">
        <v>24</v>
      </c>
      <c r="G4">
        <f t="shared" si="1"/>
        <v>-4800000</v>
      </c>
      <c r="H4">
        <f t="shared" si="2"/>
        <v>0</v>
      </c>
      <c r="I4">
        <f t="shared" si="3"/>
        <v>-4800000</v>
      </c>
      <c r="O4">
        <v>1</v>
      </c>
      <c r="P4">
        <v>30</v>
      </c>
      <c r="Q4">
        <v>31</v>
      </c>
    </row>
    <row r="5" spans="1:17">
      <c r="A5" s="27" t="s">
        <v>1137</v>
      </c>
      <c r="B5" s="18">
        <v>-247840</v>
      </c>
      <c r="C5" s="18">
        <v>0</v>
      </c>
      <c r="D5" s="3">
        <f t="shared" si="0"/>
        <v>-247840</v>
      </c>
      <c r="E5" s="20" t="s">
        <v>1140</v>
      </c>
      <c r="F5">
        <v>24</v>
      </c>
      <c r="G5">
        <f t="shared" si="1"/>
        <v>-5948160</v>
      </c>
      <c r="H5">
        <f t="shared" si="2"/>
        <v>0</v>
      </c>
      <c r="I5">
        <f t="shared" si="3"/>
        <v>-5948160</v>
      </c>
      <c r="O5">
        <v>2</v>
      </c>
      <c r="P5">
        <v>29</v>
      </c>
      <c r="Q5">
        <v>30</v>
      </c>
    </row>
    <row r="6" spans="1:17">
      <c r="A6" s="17" t="s">
        <v>1143</v>
      </c>
      <c r="B6" s="18">
        <v>-162340</v>
      </c>
      <c r="C6" s="18">
        <v>0</v>
      </c>
      <c r="D6" s="3">
        <f t="shared" si="0"/>
        <v>-162340</v>
      </c>
      <c r="E6" s="19" t="s">
        <v>1146</v>
      </c>
      <c r="F6">
        <v>23</v>
      </c>
      <c r="G6">
        <f t="shared" si="1"/>
        <v>-3733820</v>
      </c>
      <c r="H6">
        <f t="shared" si="2"/>
        <v>0</v>
      </c>
      <c r="I6">
        <f t="shared" si="3"/>
        <v>-3733820</v>
      </c>
      <c r="O6">
        <v>3</v>
      </c>
      <c r="P6">
        <v>28</v>
      </c>
      <c r="Q6">
        <v>29</v>
      </c>
    </row>
    <row r="7" spans="1:17">
      <c r="A7" s="17" t="s">
        <v>1143</v>
      </c>
      <c r="B7" s="18">
        <v>-3000900</v>
      </c>
      <c r="C7" s="18">
        <v>0</v>
      </c>
      <c r="D7" s="3">
        <f t="shared" si="0"/>
        <v>-3000900</v>
      </c>
      <c r="E7" s="19" t="s">
        <v>1147</v>
      </c>
      <c r="F7">
        <v>23</v>
      </c>
      <c r="G7">
        <f t="shared" si="1"/>
        <v>-69020700</v>
      </c>
      <c r="H7">
        <f t="shared" si="2"/>
        <v>0</v>
      </c>
      <c r="I7">
        <f t="shared" si="3"/>
        <v>-69020700</v>
      </c>
      <c r="O7">
        <v>4</v>
      </c>
      <c r="P7">
        <v>27</v>
      </c>
      <c r="Q7">
        <v>28</v>
      </c>
    </row>
    <row r="8" spans="1:17">
      <c r="A8" s="17" t="s">
        <v>1159</v>
      </c>
      <c r="B8" s="18">
        <v>-1000500</v>
      </c>
      <c r="C8" s="18">
        <v>0</v>
      </c>
      <c r="D8" s="3">
        <f t="shared" si="0"/>
        <v>-1000500</v>
      </c>
      <c r="E8" s="19" t="s">
        <v>1161</v>
      </c>
      <c r="F8">
        <v>21</v>
      </c>
      <c r="G8">
        <f t="shared" si="1"/>
        <v>-21010500</v>
      </c>
      <c r="H8">
        <f t="shared" si="2"/>
        <v>0</v>
      </c>
      <c r="I8">
        <f t="shared" si="3"/>
        <v>-21010500</v>
      </c>
      <c r="O8">
        <v>5</v>
      </c>
      <c r="P8">
        <v>26</v>
      </c>
      <c r="Q8">
        <v>27</v>
      </c>
    </row>
    <row r="9" spans="1:17">
      <c r="A9" s="17" t="s">
        <v>1171</v>
      </c>
      <c r="B9" s="18">
        <v>-100000</v>
      </c>
      <c r="C9" s="18">
        <v>0</v>
      </c>
      <c r="D9" s="3">
        <f t="shared" si="0"/>
        <v>-100000</v>
      </c>
      <c r="E9" s="21" t="s">
        <v>1172</v>
      </c>
      <c r="F9">
        <v>17</v>
      </c>
      <c r="G9">
        <f t="shared" si="1"/>
        <v>-1700000</v>
      </c>
      <c r="H9">
        <f t="shared" si="2"/>
        <v>0</v>
      </c>
      <c r="I9">
        <f t="shared" si="3"/>
        <v>-1700000</v>
      </c>
      <c r="O9">
        <v>6</v>
      </c>
      <c r="P9">
        <v>25</v>
      </c>
      <c r="Q9">
        <v>26</v>
      </c>
    </row>
    <row r="10" spans="1:17">
      <c r="A10" s="17" t="s">
        <v>1175</v>
      </c>
      <c r="B10" s="18">
        <v>-2000000</v>
      </c>
      <c r="C10" s="18">
        <v>0</v>
      </c>
      <c r="D10" s="3">
        <f t="shared" si="0"/>
        <v>-2000000</v>
      </c>
      <c r="E10" s="19" t="s">
        <v>1071</v>
      </c>
      <c r="F10">
        <v>16</v>
      </c>
      <c r="G10">
        <f t="shared" si="1"/>
        <v>-32000000</v>
      </c>
      <c r="H10">
        <f t="shared" si="2"/>
        <v>0</v>
      </c>
      <c r="I10">
        <f t="shared" si="3"/>
        <v>-32000000</v>
      </c>
      <c r="O10">
        <v>7</v>
      </c>
      <c r="P10">
        <v>24</v>
      </c>
      <c r="Q10">
        <v>25</v>
      </c>
    </row>
    <row r="11" spans="1:17">
      <c r="A11" s="17" t="s">
        <v>1175</v>
      </c>
      <c r="B11" s="18">
        <v>-1000500</v>
      </c>
      <c r="C11" s="18">
        <v>0</v>
      </c>
      <c r="D11" s="3">
        <f t="shared" si="0"/>
        <v>-1000500</v>
      </c>
      <c r="E11" s="19" t="s">
        <v>1182</v>
      </c>
      <c r="F11">
        <v>16</v>
      </c>
      <c r="G11">
        <f t="shared" si="1"/>
        <v>-16008000</v>
      </c>
      <c r="H11">
        <f t="shared" si="2"/>
        <v>0</v>
      </c>
      <c r="I11">
        <f t="shared" si="3"/>
        <v>-16008000</v>
      </c>
      <c r="O11">
        <v>8</v>
      </c>
      <c r="P11">
        <v>23</v>
      </c>
      <c r="Q11">
        <v>24</v>
      </c>
    </row>
    <row r="12" spans="1:17">
      <c r="A12" s="20" t="s">
        <v>1185</v>
      </c>
      <c r="B12" s="18">
        <v>-5000</v>
      </c>
      <c r="C12" s="18">
        <v>0</v>
      </c>
      <c r="D12" s="3">
        <f t="shared" si="0"/>
        <v>-5000</v>
      </c>
      <c r="E12" s="20" t="s">
        <v>1172</v>
      </c>
      <c r="F12">
        <v>13</v>
      </c>
      <c r="G12">
        <f t="shared" si="1"/>
        <v>-65000</v>
      </c>
      <c r="H12">
        <f t="shared" si="2"/>
        <v>0</v>
      </c>
      <c r="I12">
        <f t="shared" si="3"/>
        <v>-65000</v>
      </c>
      <c r="O12">
        <v>9</v>
      </c>
      <c r="P12">
        <v>22</v>
      </c>
      <c r="Q12">
        <v>23</v>
      </c>
    </row>
    <row r="13" spans="1:17">
      <c r="A13" s="20" t="s">
        <v>3628</v>
      </c>
      <c r="B13" s="18">
        <v>3000000</v>
      </c>
      <c r="C13" s="18">
        <v>0</v>
      </c>
      <c r="D13" s="3">
        <f t="shared" si="0"/>
        <v>3000000</v>
      </c>
      <c r="E13" s="20" t="s">
        <v>3631</v>
      </c>
      <c r="F13">
        <v>2</v>
      </c>
      <c r="G13">
        <f>B13*F13</f>
        <v>6000000</v>
      </c>
      <c r="H13">
        <f t="shared" si="2"/>
        <v>0</v>
      </c>
      <c r="I13">
        <f t="shared" si="3"/>
        <v>6000000</v>
      </c>
      <c r="O13">
        <v>10</v>
      </c>
      <c r="P13">
        <v>21</v>
      </c>
      <c r="Q13">
        <v>22</v>
      </c>
    </row>
    <row r="14" spans="1:17">
      <c r="A14" s="20" t="s">
        <v>3632</v>
      </c>
      <c r="B14" s="18">
        <v>3000000</v>
      </c>
      <c r="C14" s="18">
        <v>0</v>
      </c>
      <c r="D14" s="3">
        <f t="shared" si="0"/>
        <v>3000000</v>
      </c>
      <c r="E14" s="20" t="s">
        <v>3631</v>
      </c>
      <c r="F14">
        <v>1</v>
      </c>
      <c r="G14">
        <f t="shared" si="1"/>
        <v>3000000</v>
      </c>
      <c r="H14">
        <f t="shared" si="2"/>
        <v>0</v>
      </c>
      <c r="I14">
        <f t="shared" si="3"/>
        <v>3000000</v>
      </c>
      <c r="O14">
        <v>11</v>
      </c>
      <c r="P14">
        <v>20</v>
      </c>
      <c r="Q14">
        <v>21</v>
      </c>
    </row>
    <row r="15" spans="1:17">
      <c r="A15" s="23" t="s">
        <v>3634</v>
      </c>
      <c r="B15" s="34">
        <v>20314</v>
      </c>
      <c r="C15" s="34">
        <v>59842</v>
      </c>
      <c r="D15" s="31">
        <f t="shared" si="0"/>
        <v>-39528</v>
      </c>
      <c r="E15" s="23" t="s">
        <v>3637</v>
      </c>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6041596</v>
      </c>
      <c r="C24" s="3">
        <f>SUM(C2:C22)</f>
        <v>7704247</v>
      </c>
      <c r="D24" s="3">
        <f>SUM(D2:D22)</f>
        <v>-1662651</v>
      </c>
      <c r="E24" s="2"/>
      <c r="O24">
        <v>21</v>
      </c>
      <c r="P24">
        <v>10</v>
      </c>
      <c r="Q24">
        <v>11</v>
      </c>
    </row>
    <row r="25" spans="1:17">
      <c r="G25" s="18">
        <f>SUM(G2:G23)</f>
        <v>73216516</v>
      </c>
      <c r="H25" s="18">
        <f>SUM(H2:H23)</f>
        <v>215683986</v>
      </c>
      <c r="I25" s="18">
        <f>SUM(I2:I23)</f>
        <v>-142467470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7245474</v>
      </c>
      <c r="E30" s="36" t="s">
        <v>95</v>
      </c>
      <c r="G30" s="18">
        <v>20314</v>
      </c>
      <c r="H30" s="18">
        <f>G30*H25/G25</f>
        <v>59841.750618180195</v>
      </c>
      <c r="I30" s="18">
        <f>G30*I25/G25</f>
        <v>-39527.750618180195</v>
      </c>
      <c r="O30">
        <v>27</v>
      </c>
      <c r="P30">
        <v>4</v>
      </c>
      <c r="Q30">
        <v>5</v>
      </c>
    </row>
    <row r="31" spans="1:17">
      <c r="D31" s="25">
        <v>3200900</v>
      </c>
      <c r="E31" s="45" t="s">
        <v>1112</v>
      </c>
      <c r="G31" s="9" t="s">
        <v>1000</v>
      </c>
      <c r="H31" s="9" t="s">
        <v>38</v>
      </c>
      <c r="I31" s="9" t="s">
        <v>39</v>
      </c>
      <c r="O31">
        <v>28</v>
      </c>
      <c r="P31">
        <v>3</v>
      </c>
      <c r="Q31">
        <v>4</v>
      </c>
    </row>
    <row r="32" spans="1:17">
      <c r="B32" s="7"/>
      <c r="D32" s="25">
        <v>2400000</v>
      </c>
      <c r="E32" s="36" t="s">
        <v>1113</v>
      </c>
      <c r="O32">
        <v>29</v>
      </c>
      <c r="P32">
        <v>2</v>
      </c>
      <c r="Q32">
        <v>3</v>
      </c>
    </row>
    <row r="33" spans="4:17">
      <c r="D33" s="25">
        <v>5559526</v>
      </c>
      <c r="E33" s="36" t="s">
        <v>1121</v>
      </c>
      <c r="O33">
        <v>30</v>
      </c>
      <c r="P33">
        <v>1</v>
      </c>
      <c r="Q33">
        <v>2</v>
      </c>
    </row>
    <row r="34" spans="4:17">
      <c r="D34" s="25">
        <v>-3000000</v>
      </c>
      <c r="E34" s="36" t="s">
        <v>1131</v>
      </c>
      <c r="O34">
        <v>31</v>
      </c>
      <c r="P34">
        <v>0</v>
      </c>
      <c r="Q34">
        <v>1</v>
      </c>
    </row>
    <row r="35" spans="4:17">
      <c r="D35" s="25">
        <v>-4975000</v>
      </c>
      <c r="E35" s="36" t="s">
        <v>1132</v>
      </c>
      <c r="P35" t="s">
        <v>60</v>
      </c>
      <c r="Q35" t="s">
        <v>61</v>
      </c>
    </row>
    <row r="36" spans="4:17">
      <c r="D36" s="25">
        <v>-241000</v>
      </c>
      <c r="E36" s="36" t="s">
        <v>1136</v>
      </c>
    </row>
    <row r="37" spans="4:17">
      <c r="D37" s="7">
        <v>200000</v>
      </c>
      <c r="E37" s="36" t="s">
        <v>1138</v>
      </c>
    </row>
    <row r="38" spans="4:17">
      <c r="D38" s="7">
        <v>247840</v>
      </c>
      <c r="E38" s="36" t="s">
        <v>1141</v>
      </c>
    </row>
    <row r="39" spans="4:17">
      <c r="D39" s="7">
        <v>162340</v>
      </c>
      <c r="E39" s="36" t="s">
        <v>1148</v>
      </c>
    </row>
    <row r="40" spans="4:17">
      <c r="D40" s="7">
        <v>-2500000</v>
      </c>
      <c r="E40" s="36" t="s">
        <v>1153</v>
      </c>
    </row>
    <row r="41" spans="4:17">
      <c r="D41" s="7">
        <v>500000</v>
      </c>
      <c r="E41" s="36" t="s">
        <v>1156</v>
      </c>
    </row>
    <row r="42" spans="4:17">
      <c r="D42" s="7">
        <v>-10000</v>
      </c>
      <c r="E42" s="36" t="s">
        <v>1157</v>
      </c>
    </row>
    <row r="43" spans="4:17">
      <c r="D43" s="7">
        <v>-13000</v>
      </c>
      <c r="E43" s="36" t="s">
        <v>1158</v>
      </c>
    </row>
    <row r="44" spans="4:17">
      <c r="D44" s="7">
        <v>1000000</v>
      </c>
      <c r="E44" s="36" t="s">
        <v>1162</v>
      </c>
      <c r="F44" s="7" t="s">
        <v>25</v>
      </c>
      <c r="G44" s="36" t="s">
        <v>25</v>
      </c>
    </row>
    <row r="45" spans="4:17">
      <c r="D45" s="7">
        <v>3000000</v>
      </c>
      <c r="E45" s="36" t="s">
        <v>1163</v>
      </c>
      <c r="F45" s="7"/>
      <c r="G45" s="36"/>
    </row>
    <row r="46" spans="4:17">
      <c r="D46" s="7">
        <v>1000000</v>
      </c>
      <c r="E46" s="36" t="s">
        <v>1163</v>
      </c>
      <c r="F46" s="7"/>
      <c r="G46" s="36"/>
    </row>
    <row r="47" spans="4:17">
      <c r="D47" s="7">
        <v>560000</v>
      </c>
      <c r="E47" s="36" t="s">
        <v>1170</v>
      </c>
      <c r="F47" s="7"/>
      <c r="G47" s="36"/>
    </row>
    <row r="48" spans="4:17">
      <c r="D48" s="7">
        <v>300000</v>
      </c>
      <c r="E48" s="36" t="s">
        <v>1173</v>
      </c>
    </row>
    <row r="49" spans="4:5">
      <c r="D49" s="7">
        <v>2200000</v>
      </c>
      <c r="E49" s="36" t="s">
        <v>1180</v>
      </c>
    </row>
    <row r="50" spans="4:5">
      <c r="D50" s="7">
        <v>2000000</v>
      </c>
      <c r="E50" s="36" t="s">
        <v>1181</v>
      </c>
    </row>
    <row r="51" spans="4:5">
      <c r="D51" s="7">
        <v>1000000</v>
      </c>
      <c r="E51" s="36" t="s">
        <v>1183</v>
      </c>
    </row>
    <row r="52" spans="4:5">
      <c r="D52" s="7">
        <v>910500</v>
      </c>
      <c r="E52" s="36" t="s">
        <v>1190</v>
      </c>
    </row>
    <row r="53" spans="4:5">
      <c r="D53" s="7">
        <v>-300000</v>
      </c>
      <c r="E53" s="36" t="s">
        <v>1193</v>
      </c>
    </row>
    <row r="54" spans="4:5">
      <c r="D54" s="7">
        <v>-58500</v>
      </c>
      <c r="E54" s="36" t="s">
        <v>1194</v>
      </c>
    </row>
    <row r="55" spans="4:5">
      <c r="D55" s="7">
        <v>-1500000</v>
      </c>
      <c r="E55" s="36" t="s">
        <v>1197</v>
      </c>
    </row>
    <row r="56" spans="4:5">
      <c r="D56" s="7">
        <v>-61000</v>
      </c>
      <c r="E56" s="36" t="s">
        <v>1201</v>
      </c>
    </row>
    <row r="57" spans="4:5">
      <c r="D57" s="7">
        <v>1000000</v>
      </c>
      <c r="E57" s="36" t="s">
        <v>3620</v>
      </c>
    </row>
    <row r="58" spans="4:5">
      <c r="D58" s="7">
        <v>200000</v>
      </c>
      <c r="E58" s="36" t="s">
        <v>3630</v>
      </c>
    </row>
    <row r="59" spans="4:5">
      <c r="D59" s="7">
        <v>3000000</v>
      </c>
      <c r="E59" s="36" t="s">
        <v>3635</v>
      </c>
    </row>
    <row r="60" spans="4:5">
      <c r="D60" s="7"/>
    </row>
    <row r="61" spans="4:5">
      <c r="D61" s="7"/>
    </row>
    <row r="62" spans="4:5">
      <c r="D62" s="7">
        <f>SUM(D30:D60)</f>
        <v>23028080</v>
      </c>
      <c r="E62" t="s">
        <v>6</v>
      </c>
    </row>
    <row r="63" spans="4:5">
      <c r="D63" s="7"/>
      <c r="E63" s="36"/>
    </row>
    <row r="66" spans="5:5">
      <c r="E66" t="s">
        <v>25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3634</v>
      </c>
      <c r="B2" s="3">
        <f>'اردیبهشت 97'!B24</f>
        <v>6041596</v>
      </c>
      <c r="C2" s="1">
        <f>'اردیبهشت 97'!C24</f>
        <v>7704247</v>
      </c>
      <c r="D2" s="3">
        <f>B2-C2</f>
        <v>-1662651</v>
      </c>
      <c r="E2" s="2" t="s">
        <v>59</v>
      </c>
      <c r="F2">
        <v>30</v>
      </c>
      <c r="G2">
        <f>B2*F2</f>
        <v>181247880</v>
      </c>
      <c r="H2">
        <f>C2*F2</f>
        <v>231127410</v>
      </c>
      <c r="I2">
        <f>D2*F2</f>
        <v>-49879530</v>
      </c>
    </row>
    <row r="3" spans="1:17">
      <c r="A3" s="20" t="s">
        <v>3657</v>
      </c>
      <c r="B3" s="18">
        <v>-3000900</v>
      </c>
      <c r="C3" s="18">
        <v>0</v>
      </c>
      <c r="D3" s="37">
        <f t="shared" ref="D3:D22" si="0">B3-C3</f>
        <v>-3000900</v>
      </c>
      <c r="E3" s="20" t="s">
        <v>3658</v>
      </c>
      <c r="F3">
        <v>27</v>
      </c>
      <c r="G3">
        <f t="shared" ref="G3:G23" si="1">B3*F3</f>
        <v>-81024300</v>
      </c>
      <c r="H3">
        <f t="shared" ref="H3:H23" si="2">C3*F3</f>
        <v>0</v>
      </c>
      <c r="I3">
        <f t="shared" ref="I3:I23" si="3">D3*F3</f>
        <v>-81024300</v>
      </c>
    </row>
    <row r="4" spans="1:17">
      <c r="A4" s="20" t="s">
        <v>3734</v>
      </c>
      <c r="B4" s="18">
        <v>-3000900</v>
      </c>
      <c r="C4" s="18">
        <v>0</v>
      </c>
      <c r="D4" s="3">
        <f t="shared" si="0"/>
        <v>-3000900</v>
      </c>
      <c r="E4" s="11" t="s">
        <v>3736</v>
      </c>
      <c r="F4">
        <v>9</v>
      </c>
      <c r="G4">
        <f t="shared" si="1"/>
        <v>-27008100</v>
      </c>
      <c r="H4">
        <f t="shared" si="2"/>
        <v>0</v>
      </c>
      <c r="I4">
        <f t="shared" si="3"/>
        <v>-27008100</v>
      </c>
      <c r="O4">
        <v>1</v>
      </c>
      <c r="P4">
        <v>30</v>
      </c>
      <c r="Q4">
        <v>31</v>
      </c>
    </row>
    <row r="5" spans="1:17">
      <c r="A5" s="27" t="s">
        <v>3754</v>
      </c>
      <c r="B5" s="18">
        <v>21705</v>
      </c>
      <c r="C5" s="18">
        <v>68515</v>
      </c>
      <c r="D5" s="3">
        <f t="shared" si="0"/>
        <v>-46810</v>
      </c>
      <c r="E5" s="20" t="s">
        <v>559</v>
      </c>
      <c r="F5">
        <v>24</v>
      </c>
      <c r="G5">
        <f t="shared" si="1"/>
        <v>520920</v>
      </c>
      <c r="H5">
        <f t="shared" si="2"/>
        <v>1644360</v>
      </c>
      <c r="I5">
        <f t="shared" si="3"/>
        <v>-1123440</v>
      </c>
      <c r="O5">
        <v>2</v>
      </c>
      <c r="P5">
        <v>29</v>
      </c>
      <c r="Q5">
        <v>30</v>
      </c>
    </row>
    <row r="6" spans="1:17">
      <c r="A6" s="17" t="s">
        <v>1143</v>
      </c>
      <c r="B6" s="18">
        <v>0</v>
      </c>
      <c r="C6" s="18">
        <v>0</v>
      </c>
      <c r="D6" s="3">
        <f t="shared" si="0"/>
        <v>0</v>
      </c>
      <c r="E6" s="19"/>
      <c r="F6">
        <v>23</v>
      </c>
      <c r="G6">
        <f t="shared" si="1"/>
        <v>0</v>
      </c>
      <c r="H6">
        <f t="shared" si="2"/>
        <v>0</v>
      </c>
      <c r="I6">
        <f t="shared" si="3"/>
        <v>0</v>
      </c>
      <c r="O6">
        <v>3</v>
      </c>
      <c r="P6">
        <v>28</v>
      </c>
      <c r="Q6">
        <v>29</v>
      </c>
    </row>
    <row r="7" spans="1:17">
      <c r="A7" s="17" t="s">
        <v>1143</v>
      </c>
      <c r="B7" s="18">
        <v>0</v>
      </c>
      <c r="C7" s="18">
        <v>0</v>
      </c>
      <c r="D7" s="3">
        <f t="shared" si="0"/>
        <v>0</v>
      </c>
      <c r="E7" s="19"/>
      <c r="F7">
        <v>23</v>
      </c>
      <c r="G7">
        <f t="shared" si="1"/>
        <v>0</v>
      </c>
      <c r="H7">
        <f t="shared" si="2"/>
        <v>0</v>
      </c>
      <c r="I7">
        <f t="shared" si="3"/>
        <v>0</v>
      </c>
      <c r="O7">
        <v>4</v>
      </c>
      <c r="P7">
        <v>27</v>
      </c>
      <c r="Q7">
        <v>28</v>
      </c>
    </row>
    <row r="8" spans="1:17">
      <c r="A8" s="17" t="s">
        <v>1159</v>
      </c>
      <c r="B8" s="18">
        <v>0</v>
      </c>
      <c r="C8" s="18">
        <v>0</v>
      </c>
      <c r="D8" s="3">
        <f t="shared" si="0"/>
        <v>0</v>
      </c>
      <c r="E8" s="19"/>
      <c r="F8">
        <v>21</v>
      </c>
      <c r="G8">
        <f t="shared" si="1"/>
        <v>0</v>
      </c>
      <c r="H8">
        <f t="shared" si="2"/>
        <v>0</v>
      </c>
      <c r="I8">
        <f t="shared" si="3"/>
        <v>0</v>
      </c>
      <c r="O8">
        <v>5</v>
      </c>
      <c r="P8">
        <v>26</v>
      </c>
      <c r="Q8">
        <v>27</v>
      </c>
    </row>
    <row r="9" spans="1:17">
      <c r="A9" s="17" t="s">
        <v>1171</v>
      </c>
      <c r="B9" s="18">
        <v>0</v>
      </c>
      <c r="C9" s="18">
        <v>0</v>
      </c>
      <c r="D9" s="3">
        <f t="shared" si="0"/>
        <v>0</v>
      </c>
      <c r="E9" s="21"/>
      <c r="F9">
        <v>17</v>
      </c>
      <c r="G9">
        <f t="shared" si="1"/>
        <v>0</v>
      </c>
      <c r="H9">
        <f t="shared" si="2"/>
        <v>0</v>
      </c>
      <c r="I9">
        <f t="shared" si="3"/>
        <v>0</v>
      </c>
      <c r="O9">
        <v>6</v>
      </c>
      <c r="P9">
        <v>25</v>
      </c>
      <c r="Q9">
        <v>26</v>
      </c>
    </row>
    <row r="10" spans="1:17">
      <c r="A10" s="17" t="s">
        <v>1175</v>
      </c>
      <c r="B10" s="18">
        <v>0</v>
      </c>
      <c r="C10" s="18">
        <v>0</v>
      </c>
      <c r="D10" s="3">
        <f t="shared" si="0"/>
        <v>0</v>
      </c>
      <c r="E10" s="19"/>
      <c r="F10">
        <v>16</v>
      </c>
      <c r="G10">
        <f t="shared" si="1"/>
        <v>0</v>
      </c>
      <c r="H10">
        <f t="shared" si="2"/>
        <v>0</v>
      </c>
      <c r="I10">
        <f t="shared" si="3"/>
        <v>0</v>
      </c>
      <c r="O10">
        <v>7</v>
      </c>
      <c r="P10">
        <v>24</v>
      </c>
      <c r="Q10">
        <v>25</v>
      </c>
    </row>
    <row r="11" spans="1:17">
      <c r="A11" s="17" t="s">
        <v>1175</v>
      </c>
      <c r="B11" s="18">
        <v>0</v>
      </c>
      <c r="C11" s="18">
        <v>0</v>
      </c>
      <c r="D11" s="3">
        <f t="shared" si="0"/>
        <v>0</v>
      </c>
      <c r="E11" s="19"/>
      <c r="F11">
        <v>16</v>
      </c>
      <c r="G11">
        <f t="shared" si="1"/>
        <v>0</v>
      </c>
      <c r="H11">
        <f t="shared" si="2"/>
        <v>0</v>
      </c>
      <c r="I11">
        <f t="shared" si="3"/>
        <v>0</v>
      </c>
      <c r="O11">
        <v>8</v>
      </c>
      <c r="P11">
        <v>23</v>
      </c>
      <c r="Q11">
        <v>24</v>
      </c>
    </row>
    <row r="12" spans="1:17">
      <c r="A12" s="20" t="s">
        <v>1185</v>
      </c>
      <c r="B12" s="18">
        <v>0</v>
      </c>
      <c r="C12" s="18">
        <v>0</v>
      </c>
      <c r="D12" s="3">
        <f t="shared" si="0"/>
        <v>0</v>
      </c>
      <c r="E12" s="20"/>
      <c r="F12">
        <v>13</v>
      </c>
      <c r="G12">
        <f t="shared" si="1"/>
        <v>0</v>
      </c>
      <c r="H12">
        <f t="shared" si="2"/>
        <v>0</v>
      </c>
      <c r="I12">
        <f t="shared" si="3"/>
        <v>0</v>
      </c>
      <c r="O12">
        <v>9</v>
      </c>
      <c r="P12">
        <v>22</v>
      </c>
      <c r="Q12">
        <v>23</v>
      </c>
    </row>
    <row r="13" spans="1:17">
      <c r="A13" s="20" t="s">
        <v>3628</v>
      </c>
      <c r="B13" s="18">
        <v>0</v>
      </c>
      <c r="C13" s="18">
        <v>0</v>
      </c>
      <c r="D13" s="3">
        <f t="shared" si="0"/>
        <v>0</v>
      </c>
      <c r="E13" s="20"/>
      <c r="F13">
        <v>2</v>
      </c>
      <c r="G13">
        <f>B13*F13</f>
        <v>0</v>
      </c>
      <c r="H13">
        <f t="shared" si="2"/>
        <v>0</v>
      </c>
      <c r="I13">
        <f t="shared" si="3"/>
        <v>0</v>
      </c>
      <c r="O13">
        <v>10</v>
      </c>
      <c r="P13">
        <v>21</v>
      </c>
      <c r="Q13">
        <v>22</v>
      </c>
    </row>
    <row r="14" spans="1:17">
      <c r="A14" s="20" t="s">
        <v>3632</v>
      </c>
      <c r="B14" s="18">
        <v>0</v>
      </c>
      <c r="C14" s="18">
        <v>0</v>
      </c>
      <c r="D14" s="3">
        <f t="shared" si="0"/>
        <v>0</v>
      </c>
      <c r="E14" s="20"/>
      <c r="F14">
        <v>1</v>
      </c>
      <c r="G14">
        <f t="shared" si="1"/>
        <v>0</v>
      </c>
      <c r="H14">
        <f t="shared" si="2"/>
        <v>0</v>
      </c>
      <c r="I14">
        <f t="shared" si="3"/>
        <v>0</v>
      </c>
      <c r="O14">
        <v>11</v>
      </c>
      <c r="P14">
        <v>20</v>
      </c>
      <c r="Q14">
        <v>21</v>
      </c>
    </row>
    <row r="15" spans="1:17">
      <c r="A15" s="23" t="s">
        <v>3634</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61501</v>
      </c>
      <c r="C24" s="3">
        <f>SUM(C2:C22)</f>
        <v>7772762</v>
      </c>
      <c r="D24" s="3">
        <f>SUM(D2:D22)</f>
        <v>-7711261</v>
      </c>
      <c r="E24" s="2"/>
      <c r="O24">
        <v>21</v>
      </c>
      <c r="P24">
        <v>10</v>
      </c>
      <c r="Q24">
        <v>11</v>
      </c>
    </row>
    <row r="25" spans="1:17">
      <c r="G25" s="18">
        <f>SUM(G2:G23)</f>
        <v>73736400</v>
      </c>
      <c r="H25" s="18">
        <f>SUM(H2:H23)</f>
        <v>232771770</v>
      </c>
      <c r="I25" s="18">
        <f>SUM(I2:I23)</f>
        <v>-159035370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23028080</v>
      </c>
      <c r="E30" s="36" t="s">
        <v>95</v>
      </c>
      <c r="G30" s="18">
        <v>21705</v>
      </c>
      <c r="H30" s="18">
        <f>G30*H25/G25</f>
        <v>68518.550781567857</v>
      </c>
      <c r="I30" s="18">
        <f>G30*I25/G25</f>
        <v>-46813.550781567857</v>
      </c>
      <c r="O30">
        <v>27</v>
      </c>
      <c r="P30">
        <v>4</v>
      </c>
      <c r="Q30">
        <v>5</v>
      </c>
    </row>
    <row r="31" spans="1:17" ht="25.5" customHeight="1">
      <c r="D31" s="25">
        <v>-50000</v>
      </c>
      <c r="E31" s="45" t="s">
        <v>94</v>
      </c>
      <c r="G31" s="9" t="s">
        <v>1000</v>
      </c>
      <c r="H31" s="9" t="s">
        <v>38</v>
      </c>
      <c r="I31" s="9" t="s">
        <v>39</v>
      </c>
      <c r="O31">
        <v>28</v>
      </c>
      <c r="P31">
        <v>3</v>
      </c>
      <c r="Q31">
        <v>4</v>
      </c>
    </row>
    <row r="32" spans="1:17">
      <c r="B32" s="7"/>
      <c r="D32" s="25">
        <v>3000000</v>
      </c>
      <c r="E32" s="36" t="s">
        <v>1163</v>
      </c>
      <c r="O32">
        <v>29</v>
      </c>
      <c r="P32">
        <v>2</v>
      </c>
      <c r="Q32">
        <v>3</v>
      </c>
    </row>
    <row r="33" spans="4:17">
      <c r="D33" s="25">
        <v>6000000</v>
      </c>
      <c r="E33" s="36" t="s">
        <v>3660</v>
      </c>
      <c r="O33">
        <v>30</v>
      </c>
      <c r="P33">
        <v>1</v>
      </c>
      <c r="Q33">
        <v>2</v>
      </c>
    </row>
    <row r="34" spans="4:17">
      <c r="D34" s="25">
        <v>216910</v>
      </c>
      <c r="E34" s="36" t="s">
        <v>3661</v>
      </c>
      <c r="O34">
        <v>31</v>
      </c>
      <c r="P34">
        <v>0</v>
      </c>
      <c r="Q34">
        <v>1</v>
      </c>
    </row>
    <row r="35" spans="4:17">
      <c r="D35" s="25">
        <v>3000000</v>
      </c>
      <c r="E35" s="36" t="s">
        <v>3665</v>
      </c>
      <c r="P35" t="s">
        <v>60</v>
      </c>
      <c r="Q35" t="s">
        <v>61</v>
      </c>
    </row>
    <row r="36" spans="4:17">
      <c r="D36" s="25">
        <v>-50000</v>
      </c>
      <c r="E36" s="36" t="s">
        <v>3666</v>
      </c>
    </row>
    <row r="37" spans="4:17">
      <c r="D37" s="7">
        <v>-180000</v>
      </c>
      <c r="E37" s="36" t="s">
        <v>3673</v>
      </c>
    </row>
    <row r="38" spans="4:17">
      <c r="D38" s="7">
        <v>-20017400</v>
      </c>
      <c r="E38" s="36" t="s">
        <v>3669</v>
      </c>
    </row>
    <row r="39" spans="4:17">
      <c r="D39" s="7">
        <v>-1000000</v>
      </c>
      <c r="E39" s="36" t="s">
        <v>3669</v>
      </c>
    </row>
    <row r="40" spans="4:17">
      <c r="D40" s="7">
        <v>-14466</v>
      </c>
      <c r="E40" s="36" t="s">
        <v>3672</v>
      </c>
    </row>
    <row r="41" spans="4:17">
      <c r="D41" s="7">
        <v>-5900000</v>
      </c>
      <c r="E41" s="36" t="s">
        <v>3675</v>
      </c>
    </row>
    <row r="42" spans="4:17">
      <c r="D42" s="7">
        <v>-360000</v>
      </c>
      <c r="E42" s="36" t="s">
        <v>3722</v>
      </c>
    </row>
    <row r="43" spans="4:17">
      <c r="D43" s="7">
        <v>339000</v>
      </c>
      <c r="E43" s="36" t="s">
        <v>3724</v>
      </c>
    </row>
    <row r="44" spans="4:17">
      <c r="D44" s="7">
        <v>-19400</v>
      </c>
      <c r="E44" s="36" t="s">
        <v>3725</v>
      </c>
      <c r="F44" s="7" t="s">
        <v>25</v>
      </c>
      <c r="G44" s="36" t="s">
        <v>25</v>
      </c>
    </row>
    <row r="45" spans="4:17">
      <c r="D45" s="7">
        <v>11500</v>
      </c>
      <c r="E45" s="36" t="s">
        <v>3733</v>
      </c>
      <c r="F45" s="7"/>
      <c r="G45" s="36"/>
    </row>
    <row r="46" spans="4:17">
      <c r="D46" s="7">
        <v>5000</v>
      </c>
      <c r="E46" s="36" t="s">
        <v>3741</v>
      </c>
      <c r="F46" s="7"/>
      <c r="G46" s="36"/>
    </row>
    <row r="47" spans="4:17">
      <c r="D47" s="7">
        <v>-336000</v>
      </c>
      <c r="E47" s="36" t="s">
        <v>3753</v>
      </c>
      <c r="F47" s="7"/>
      <c r="G47" s="36"/>
    </row>
    <row r="48" spans="4:17">
      <c r="D48" s="7">
        <v>-80000</v>
      </c>
      <c r="E48" s="36" t="s">
        <v>3752</v>
      </c>
    </row>
    <row r="49" spans="4:5">
      <c r="D49" s="7">
        <v>-1187603</v>
      </c>
      <c r="E49" s="36" t="s">
        <v>3758</v>
      </c>
    </row>
    <row r="50" spans="4:5">
      <c r="D50" s="7">
        <v>313000</v>
      </c>
      <c r="E50" s="36" t="s">
        <v>3759</v>
      </c>
    </row>
    <row r="51" spans="4:5">
      <c r="D51" s="7">
        <v>53946</v>
      </c>
      <c r="E51" s="36" t="s">
        <v>3760</v>
      </c>
    </row>
    <row r="52" spans="4:5">
      <c r="D52" s="7">
        <v>-53946</v>
      </c>
      <c r="E52" s="36" t="s">
        <v>3761</v>
      </c>
    </row>
    <row r="53" spans="4:5">
      <c r="D53" s="7">
        <v>-1451738</v>
      </c>
      <c r="E53" s="36" t="s">
        <v>3762</v>
      </c>
    </row>
    <row r="54" spans="4:5">
      <c r="D54" s="7">
        <v>-380000</v>
      </c>
      <c r="E54" s="36" t="s">
        <v>3764</v>
      </c>
    </row>
    <row r="55" spans="4:5">
      <c r="D55" s="7">
        <v>-8300</v>
      </c>
      <c r="E55" s="36" t="s">
        <v>3765</v>
      </c>
    </row>
    <row r="56" spans="4:5">
      <c r="D56" s="7">
        <v>526350</v>
      </c>
      <c r="E56" s="36" t="s">
        <v>3769</v>
      </c>
    </row>
    <row r="57" spans="4:5">
      <c r="D57" s="7">
        <v>0</v>
      </c>
      <c r="E57" s="36"/>
    </row>
    <row r="58" spans="4:5">
      <c r="D58" s="7">
        <v>0</v>
      </c>
      <c r="E58" s="36"/>
    </row>
    <row r="59" spans="4:5">
      <c r="D59" s="7">
        <v>0</v>
      </c>
      <c r="E59" s="36"/>
    </row>
    <row r="60" spans="4:5">
      <c r="D60" s="7"/>
    </row>
    <row r="61" spans="4:5">
      <c r="D61" s="7"/>
    </row>
    <row r="62" spans="4:5">
      <c r="D62" s="7">
        <f>SUM(D30:D60)</f>
        <v>5404933</v>
      </c>
      <c r="E62" t="s">
        <v>6</v>
      </c>
    </row>
    <row r="63" spans="4:5">
      <c r="D63" s="7"/>
      <c r="E63" s="36"/>
    </row>
    <row r="66" spans="5:5">
      <c r="E66" t="s">
        <v>25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3754</v>
      </c>
      <c r="B2" s="3">
        <f>'خرداد 97'!B24</f>
        <v>61501</v>
      </c>
      <c r="C2" s="1">
        <f>'خرداد 97'!C24</f>
        <v>7772762</v>
      </c>
      <c r="D2" s="3">
        <f>B2-C2</f>
        <v>-7711261</v>
      </c>
      <c r="E2" s="2" t="s">
        <v>59</v>
      </c>
      <c r="F2">
        <v>30</v>
      </c>
      <c r="G2">
        <f>B2*F2</f>
        <v>1845030</v>
      </c>
      <c r="H2">
        <f>C2*F2</f>
        <v>233182860</v>
      </c>
      <c r="I2">
        <f>D2*F2</f>
        <v>-231337830</v>
      </c>
    </row>
    <row r="3" spans="1:17">
      <c r="A3" s="20" t="s">
        <v>3888</v>
      </c>
      <c r="B3" s="18">
        <v>5000000</v>
      </c>
      <c r="C3" s="18">
        <v>0</v>
      </c>
      <c r="D3" s="37">
        <f t="shared" ref="D3:D22" si="0">B3-C3</f>
        <v>5000000</v>
      </c>
      <c r="E3" s="20" t="s">
        <v>3853</v>
      </c>
      <c r="F3">
        <v>7</v>
      </c>
      <c r="G3">
        <f t="shared" ref="G3:G23" si="1">B3*F3</f>
        <v>35000000</v>
      </c>
      <c r="H3">
        <f t="shared" ref="H3:H23" si="2">C3*F3</f>
        <v>0</v>
      </c>
      <c r="I3">
        <f t="shared" ref="I3:I23" si="3">D3*F3</f>
        <v>35000000</v>
      </c>
    </row>
    <row r="4" spans="1:17">
      <c r="A4" s="20" t="s">
        <v>3893</v>
      </c>
      <c r="B4" s="18">
        <v>-5000000</v>
      </c>
      <c r="C4" s="18">
        <v>0</v>
      </c>
      <c r="D4" s="3">
        <f t="shared" si="0"/>
        <v>-5000000</v>
      </c>
      <c r="E4" s="11" t="s">
        <v>3894</v>
      </c>
      <c r="F4">
        <v>7</v>
      </c>
      <c r="G4">
        <f t="shared" si="1"/>
        <v>-35000000</v>
      </c>
      <c r="H4">
        <f t="shared" si="2"/>
        <v>0</v>
      </c>
      <c r="I4">
        <f t="shared" si="3"/>
        <v>-35000000</v>
      </c>
      <c r="O4">
        <v>1</v>
      </c>
      <c r="P4">
        <v>30</v>
      </c>
      <c r="Q4">
        <v>31</v>
      </c>
    </row>
    <row r="5" spans="1:17">
      <c r="A5" s="27" t="s">
        <v>3916</v>
      </c>
      <c r="B5" s="18">
        <v>496</v>
      </c>
      <c r="C5" s="18">
        <v>62681</v>
      </c>
      <c r="D5" s="3">
        <f t="shared" si="0"/>
        <v>-62185</v>
      </c>
      <c r="E5" s="20" t="s">
        <v>641</v>
      </c>
      <c r="F5">
        <v>0</v>
      </c>
      <c r="G5">
        <f t="shared" si="1"/>
        <v>0</v>
      </c>
      <c r="H5">
        <f t="shared" si="2"/>
        <v>0</v>
      </c>
      <c r="I5">
        <f t="shared" si="3"/>
        <v>0</v>
      </c>
      <c r="O5">
        <v>2</v>
      </c>
      <c r="P5">
        <v>29</v>
      </c>
      <c r="Q5">
        <v>30</v>
      </c>
    </row>
    <row r="6" spans="1:17">
      <c r="A6" s="17" t="s">
        <v>1143</v>
      </c>
      <c r="B6" s="18">
        <v>0</v>
      </c>
      <c r="C6" s="18">
        <v>0</v>
      </c>
      <c r="D6" s="3">
        <f t="shared" si="0"/>
        <v>0</v>
      </c>
      <c r="E6" s="19"/>
      <c r="F6">
        <v>23</v>
      </c>
      <c r="G6">
        <f t="shared" si="1"/>
        <v>0</v>
      </c>
      <c r="H6">
        <f t="shared" si="2"/>
        <v>0</v>
      </c>
      <c r="I6">
        <f t="shared" si="3"/>
        <v>0</v>
      </c>
      <c r="O6">
        <v>3</v>
      </c>
      <c r="P6">
        <v>28</v>
      </c>
      <c r="Q6">
        <v>29</v>
      </c>
    </row>
    <row r="7" spans="1:17">
      <c r="A7" s="17" t="s">
        <v>1143</v>
      </c>
      <c r="B7" s="18">
        <v>0</v>
      </c>
      <c r="C7" s="18">
        <v>0</v>
      </c>
      <c r="D7" s="3">
        <f t="shared" si="0"/>
        <v>0</v>
      </c>
      <c r="E7" s="19"/>
      <c r="F7">
        <v>23</v>
      </c>
      <c r="G7">
        <f t="shared" si="1"/>
        <v>0</v>
      </c>
      <c r="H7">
        <f t="shared" si="2"/>
        <v>0</v>
      </c>
      <c r="I7">
        <f t="shared" si="3"/>
        <v>0</v>
      </c>
      <c r="O7">
        <v>4</v>
      </c>
      <c r="P7">
        <v>27</v>
      </c>
      <c r="Q7">
        <v>28</v>
      </c>
    </row>
    <row r="8" spans="1:17">
      <c r="A8" s="17" t="s">
        <v>1159</v>
      </c>
      <c r="B8" s="18">
        <v>0</v>
      </c>
      <c r="C8" s="18">
        <v>0</v>
      </c>
      <c r="D8" s="3">
        <f t="shared" si="0"/>
        <v>0</v>
      </c>
      <c r="E8" s="19"/>
      <c r="F8">
        <v>21</v>
      </c>
      <c r="G8">
        <f t="shared" si="1"/>
        <v>0</v>
      </c>
      <c r="H8">
        <f t="shared" si="2"/>
        <v>0</v>
      </c>
      <c r="I8">
        <f t="shared" si="3"/>
        <v>0</v>
      </c>
      <c r="O8">
        <v>5</v>
      </c>
      <c r="P8">
        <v>26</v>
      </c>
      <c r="Q8">
        <v>27</v>
      </c>
    </row>
    <row r="9" spans="1:17">
      <c r="A9" s="17" t="s">
        <v>1171</v>
      </c>
      <c r="B9" s="18">
        <v>0</v>
      </c>
      <c r="C9" s="18">
        <v>0</v>
      </c>
      <c r="D9" s="3">
        <f t="shared" si="0"/>
        <v>0</v>
      </c>
      <c r="E9" s="21"/>
      <c r="F9">
        <v>17</v>
      </c>
      <c r="G9">
        <f t="shared" si="1"/>
        <v>0</v>
      </c>
      <c r="H9">
        <f t="shared" si="2"/>
        <v>0</v>
      </c>
      <c r="I9">
        <f t="shared" si="3"/>
        <v>0</v>
      </c>
      <c r="O9">
        <v>6</v>
      </c>
      <c r="P9">
        <v>25</v>
      </c>
      <c r="Q9">
        <v>26</v>
      </c>
    </row>
    <row r="10" spans="1:17">
      <c r="A10" s="17" t="s">
        <v>1175</v>
      </c>
      <c r="B10" s="18">
        <v>0</v>
      </c>
      <c r="C10" s="18">
        <v>0</v>
      </c>
      <c r="D10" s="3">
        <f t="shared" si="0"/>
        <v>0</v>
      </c>
      <c r="E10" s="19"/>
      <c r="F10">
        <v>16</v>
      </c>
      <c r="G10">
        <f t="shared" si="1"/>
        <v>0</v>
      </c>
      <c r="H10">
        <f t="shared" si="2"/>
        <v>0</v>
      </c>
      <c r="I10">
        <f t="shared" si="3"/>
        <v>0</v>
      </c>
      <c r="O10">
        <v>7</v>
      </c>
      <c r="P10">
        <v>24</v>
      </c>
      <c r="Q10">
        <v>25</v>
      </c>
    </row>
    <row r="11" spans="1:17">
      <c r="A11" s="17" t="s">
        <v>1175</v>
      </c>
      <c r="B11" s="18">
        <v>0</v>
      </c>
      <c r="C11" s="18">
        <v>0</v>
      </c>
      <c r="D11" s="3">
        <f t="shared" si="0"/>
        <v>0</v>
      </c>
      <c r="E11" s="19"/>
      <c r="F11">
        <v>16</v>
      </c>
      <c r="G11">
        <f t="shared" si="1"/>
        <v>0</v>
      </c>
      <c r="H11">
        <f t="shared" si="2"/>
        <v>0</v>
      </c>
      <c r="I11">
        <f t="shared" si="3"/>
        <v>0</v>
      </c>
      <c r="O11">
        <v>8</v>
      </c>
      <c r="P11">
        <v>23</v>
      </c>
      <c r="Q11">
        <v>24</v>
      </c>
    </row>
    <row r="12" spans="1:17">
      <c r="A12" s="20" t="s">
        <v>1185</v>
      </c>
      <c r="B12" s="18">
        <v>0</v>
      </c>
      <c r="C12" s="18">
        <v>0</v>
      </c>
      <c r="D12" s="3">
        <f t="shared" si="0"/>
        <v>0</v>
      </c>
      <c r="E12" s="20"/>
      <c r="F12">
        <v>13</v>
      </c>
      <c r="G12">
        <f t="shared" si="1"/>
        <v>0</v>
      </c>
      <c r="H12">
        <f t="shared" si="2"/>
        <v>0</v>
      </c>
      <c r="I12">
        <f t="shared" si="3"/>
        <v>0</v>
      </c>
      <c r="O12">
        <v>9</v>
      </c>
      <c r="P12">
        <v>22</v>
      </c>
      <c r="Q12">
        <v>23</v>
      </c>
    </row>
    <row r="13" spans="1:17">
      <c r="A13" s="20" t="s">
        <v>3628</v>
      </c>
      <c r="B13" s="18">
        <v>0</v>
      </c>
      <c r="C13" s="18">
        <v>0</v>
      </c>
      <c r="D13" s="3">
        <f t="shared" si="0"/>
        <v>0</v>
      </c>
      <c r="E13" s="20"/>
      <c r="F13">
        <v>2</v>
      </c>
      <c r="G13">
        <f>B13*F13</f>
        <v>0</v>
      </c>
      <c r="H13">
        <f t="shared" si="2"/>
        <v>0</v>
      </c>
      <c r="I13">
        <f t="shared" si="3"/>
        <v>0</v>
      </c>
      <c r="O13">
        <v>10</v>
      </c>
      <c r="P13">
        <v>21</v>
      </c>
      <c r="Q13">
        <v>22</v>
      </c>
    </row>
    <row r="14" spans="1:17">
      <c r="A14" s="20" t="s">
        <v>3632</v>
      </c>
      <c r="B14" s="18">
        <v>0</v>
      </c>
      <c r="C14" s="18">
        <v>0</v>
      </c>
      <c r="D14" s="3">
        <f t="shared" si="0"/>
        <v>0</v>
      </c>
      <c r="E14" s="20"/>
      <c r="F14">
        <v>1</v>
      </c>
      <c r="G14">
        <f t="shared" si="1"/>
        <v>0</v>
      </c>
      <c r="H14">
        <f t="shared" si="2"/>
        <v>0</v>
      </c>
      <c r="I14">
        <f t="shared" si="3"/>
        <v>0</v>
      </c>
      <c r="O14">
        <v>11</v>
      </c>
      <c r="P14">
        <v>20</v>
      </c>
      <c r="Q14">
        <v>21</v>
      </c>
    </row>
    <row r="15" spans="1:17">
      <c r="A15" s="23" t="s">
        <v>3634</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61997</v>
      </c>
      <c r="C24" s="3">
        <f>SUM(C2:C22)</f>
        <v>7835443</v>
      </c>
      <c r="D24" s="3">
        <f>SUM(D2:D22)</f>
        <v>-7773446</v>
      </c>
      <c r="E24" s="2"/>
      <c r="O24">
        <v>21</v>
      </c>
      <c r="P24">
        <v>10</v>
      </c>
      <c r="Q24">
        <v>11</v>
      </c>
    </row>
    <row r="25" spans="1:17">
      <c r="G25" s="18">
        <f>SUM(G2:G23)</f>
        <v>1845030</v>
      </c>
      <c r="H25" s="18">
        <f>SUM(H2:H23)</f>
        <v>233182860</v>
      </c>
      <c r="I25" s="18">
        <f>SUM(I2:I23)</f>
        <v>-231337830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5404933</v>
      </c>
      <c r="E30" s="36" t="s">
        <v>95</v>
      </c>
      <c r="G30" s="18">
        <f>G25*8333/31000000</f>
        <v>495.95596741935486</v>
      </c>
      <c r="H30" s="18">
        <f>G30*H25/G25</f>
        <v>62681.05717354839</v>
      </c>
      <c r="I30" s="18">
        <f>G30*I25/G25</f>
        <v>-62185.101206129038</v>
      </c>
      <c r="O30">
        <v>27</v>
      </c>
      <c r="P30">
        <v>4</v>
      </c>
      <c r="Q30">
        <v>5</v>
      </c>
    </row>
    <row r="31" spans="1:17">
      <c r="D31" s="25">
        <v>-20000</v>
      </c>
      <c r="E31" s="45" t="s">
        <v>3842</v>
      </c>
      <c r="G31" s="9" t="s">
        <v>1000</v>
      </c>
      <c r="H31" s="9" t="s">
        <v>38</v>
      </c>
      <c r="I31" s="9" t="s">
        <v>39</v>
      </c>
      <c r="O31">
        <v>28</v>
      </c>
      <c r="P31">
        <v>3</v>
      </c>
      <c r="Q31">
        <v>4</v>
      </c>
    </row>
    <row r="32" spans="1:17">
      <c r="B32" s="7"/>
      <c r="D32" s="25">
        <v>-47798</v>
      </c>
      <c r="E32" s="36" t="s">
        <v>3846</v>
      </c>
      <c r="O32">
        <v>29</v>
      </c>
      <c r="P32">
        <v>2</v>
      </c>
      <c r="Q32">
        <v>3</v>
      </c>
    </row>
    <row r="33" spans="4:17">
      <c r="D33" s="25">
        <v>-969461</v>
      </c>
      <c r="E33" s="36" t="s">
        <v>3847</v>
      </c>
      <c r="O33">
        <v>30</v>
      </c>
      <c r="P33">
        <v>1</v>
      </c>
      <c r="Q33">
        <v>2</v>
      </c>
    </row>
    <row r="34" spans="4:17">
      <c r="D34" s="25">
        <v>200000</v>
      </c>
      <c r="E34" s="36" t="s">
        <v>3850</v>
      </c>
      <c r="O34">
        <v>31</v>
      </c>
      <c r="P34">
        <v>0</v>
      </c>
      <c r="Q34">
        <v>1</v>
      </c>
    </row>
    <row r="35" spans="4:17">
      <c r="D35" s="25">
        <v>-3000000</v>
      </c>
      <c r="E35" s="36" t="s">
        <v>3852</v>
      </c>
      <c r="P35" t="s">
        <v>60</v>
      </c>
      <c r="Q35" t="s">
        <v>61</v>
      </c>
    </row>
    <row r="36" spans="4:17">
      <c r="D36" s="25">
        <v>-20000</v>
      </c>
      <c r="E36" s="36" t="s">
        <v>3854</v>
      </c>
    </row>
    <row r="37" spans="4:17">
      <c r="D37" s="7">
        <v>35000</v>
      </c>
      <c r="E37" s="36" t="s">
        <v>3855</v>
      </c>
    </row>
    <row r="38" spans="4:17">
      <c r="D38" s="7">
        <v>-2500000</v>
      </c>
      <c r="E38" s="36" t="s">
        <v>3858</v>
      </c>
    </row>
    <row r="39" spans="4:17">
      <c r="D39" s="7">
        <v>-131500</v>
      </c>
      <c r="E39" s="36" t="s">
        <v>3859</v>
      </c>
    </row>
    <row r="40" spans="4:17">
      <c r="D40" s="7">
        <v>130640</v>
      </c>
      <c r="E40" s="36" t="s">
        <v>3860</v>
      </c>
    </row>
    <row r="41" spans="4:17">
      <c r="D41" s="7">
        <v>479761</v>
      </c>
      <c r="E41" s="36" t="s">
        <v>3863</v>
      </c>
    </row>
    <row r="42" spans="4:17">
      <c r="D42" s="7">
        <v>-50500</v>
      </c>
      <c r="E42" s="36" t="s">
        <v>3864</v>
      </c>
    </row>
    <row r="43" spans="4:17">
      <c r="D43" s="7">
        <v>-18000</v>
      </c>
      <c r="E43" s="36" t="s">
        <v>3869</v>
      </c>
    </row>
    <row r="44" spans="4:17">
      <c r="D44" s="7">
        <v>-100000</v>
      </c>
      <c r="E44" s="36" t="s">
        <v>3870</v>
      </c>
      <c r="F44" s="7" t="s">
        <v>25</v>
      </c>
      <c r="G44" s="36" t="s">
        <v>25</v>
      </c>
    </row>
    <row r="45" spans="4:17">
      <c r="D45" s="7">
        <v>-482507</v>
      </c>
      <c r="E45" s="36" t="s">
        <v>3871</v>
      </c>
      <c r="F45" s="7"/>
      <c r="G45" s="36"/>
    </row>
    <row r="46" spans="4:17">
      <c r="D46" s="7">
        <v>-10295</v>
      </c>
      <c r="E46" s="36" t="s">
        <v>3872</v>
      </c>
      <c r="F46" s="7"/>
      <c r="G46" s="36"/>
    </row>
    <row r="47" spans="4:17">
      <c r="D47" s="7">
        <v>493437</v>
      </c>
      <c r="E47" s="36" t="s">
        <v>3877</v>
      </c>
      <c r="F47" s="7"/>
      <c r="G47" s="36"/>
    </row>
    <row r="48" spans="4:17">
      <c r="D48" s="7">
        <v>-39156</v>
      </c>
      <c r="E48" s="36" t="s">
        <v>3882</v>
      </c>
    </row>
    <row r="49" spans="4:5" ht="30">
      <c r="D49" s="7">
        <v>8205299</v>
      </c>
      <c r="E49" s="45" t="s">
        <v>3883</v>
      </c>
    </row>
    <row r="50" spans="4:5">
      <c r="D50" s="7">
        <v>-6000000</v>
      </c>
      <c r="E50" s="36" t="s">
        <v>3887</v>
      </c>
    </row>
    <row r="51" spans="4:5">
      <c r="D51" s="7">
        <v>-1519000</v>
      </c>
      <c r="E51" s="36" t="s">
        <v>3890</v>
      </c>
    </row>
    <row r="52" spans="4:5">
      <c r="D52" s="7">
        <v>-32000</v>
      </c>
      <c r="E52" s="36" t="s">
        <v>3892</v>
      </c>
    </row>
    <row r="53" spans="4:5">
      <c r="D53" s="7">
        <v>-44280</v>
      </c>
      <c r="E53" s="36" t="s">
        <v>3895</v>
      </c>
    </row>
    <row r="54" spans="4:5">
      <c r="D54" s="7">
        <v>-8215</v>
      </c>
      <c r="E54" s="36" t="s">
        <v>3900</v>
      </c>
    </row>
    <row r="55" spans="4:5">
      <c r="D55" s="7">
        <v>49139</v>
      </c>
      <c r="E55" s="36" t="s">
        <v>3902</v>
      </c>
    </row>
    <row r="56" spans="4:5">
      <c r="D56" s="7">
        <v>-149500</v>
      </c>
      <c r="E56" s="36" t="s">
        <v>3904</v>
      </c>
    </row>
    <row r="57" spans="4:5">
      <c r="D57" s="7">
        <v>568682</v>
      </c>
      <c r="E57" s="36" t="s">
        <v>3908</v>
      </c>
    </row>
    <row r="58" spans="4:5">
      <c r="D58" s="7">
        <v>3800000</v>
      </c>
      <c r="E58" s="36" t="s">
        <v>3909</v>
      </c>
    </row>
    <row r="59" spans="4:5">
      <c r="D59" s="7">
        <v>-3000900</v>
      </c>
      <c r="E59" s="36" t="s">
        <v>3910</v>
      </c>
    </row>
    <row r="60" spans="4:5">
      <c r="D60" s="7">
        <v>80000</v>
      </c>
      <c r="E60" s="36" t="s">
        <v>3630</v>
      </c>
    </row>
    <row r="61" spans="4:5">
      <c r="D61" s="7">
        <v>3094183</v>
      </c>
      <c r="E61" s="36" t="s">
        <v>3913</v>
      </c>
    </row>
    <row r="62" spans="4:5">
      <c r="D62" s="7">
        <v>-1861938</v>
      </c>
      <c r="E62" s="36" t="s">
        <v>3914</v>
      </c>
    </row>
    <row r="63" spans="4:5">
      <c r="D63" s="7"/>
    </row>
    <row r="64" spans="4:5">
      <c r="D64" s="7">
        <f>SUM(D30:D62)</f>
        <v>2536024</v>
      </c>
      <c r="E64" t="s">
        <v>6</v>
      </c>
    </row>
    <row r="65" spans="4:5">
      <c r="D65" s="7"/>
      <c r="E65" s="36"/>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3754</v>
      </c>
      <c r="B2" s="3">
        <f>تیر97!B24</f>
        <v>61997</v>
      </c>
      <c r="C2" s="1">
        <f>تیر97!C24</f>
        <v>7835443</v>
      </c>
      <c r="D2" s="3">
        <f>B2-C2</f>
        <v>-7773446</v>
      </c>
      <c r="E2" s="2" t="s">
        <v>59</v>
      </c>
      <c r="F2">
        <v>31</v>
      </c>
      <c r="G2">
        <f>B2*F2</f>
        <v>1921907</v>
      </c>
      <c r="H2">
        <f>C2*F2</f>
        <v>242898733</v>
      </c>
      <c r="I2">
        <f>D2*F2</f>
        <v>-240976826</v>
      </c>
    </row>
    <row r="3" spans="1:17">
      <c r="A3" s="20" t="s">
        <v>3941</v>
      </c>
      <c r="B3" s="18">
        <v>785000</v>
      </c>
      <c r="C3" s="18">
        <v>0</v>
      </c>
      <c r="D3" s="37">
        <f t="shared" ref="D3:D22" si="0">B3-C3</f>
        <v>785000</v>
      </c>
      <c r="E3" s="20" t="s">
        <v>990</v>
      </c>
      <c r="F3">
        <v>20</v>
      </c>
      <c r="G3">
        <f t="shared" ref="G3:G23" si="1">B3*F3</f>
        <v>15700000</v>
      </c>
      <c r="H3">
        <f t="shared" ref="H3:H23" si="2">C3*F3</f>
        <v>0</v>
      </c>
      <c r="I3">
        <f t="shared" ref="I3:I23" si="3">D3*F3</f>
        <v>15700000</v>
      </c>
    </row>
    <row r="4" spans="1:17">
      <c r="A4" s="20" t="s">
        <v>3941</v>
      </c>
      <c r="B4" s="18">
        <v>-32000</v>
      </c>
      <c r="C4" s="18">
        <v>0</v>
      </c>
      <c r="D4" s="3">
        <f t="shared" si="0"/>
        <v>-32000</v>
      </c>
      <c r="E4" s="11" t="s">
        <v>3924</v>
      </c>
      <c r="F4">
        <v>20</v>
      </c>
      <c r="G4">
        <f t="shared" si="1"/>
        <v>-640000</v>
      </c>
      <c r="H4">
        <f t="shared" si="2"/>
        <v>0</v>
      </c>
      <c r="I4">
        <f t="shared" si="3"/>
        <v>-640000</v>
      </c>
      <c r="O4">
        <v>1</v>
      </c>
      <c r="P4">
        <v>30</v>
      </c>
      <c r="Q4">
        <v>31</v>
      </c>
    </row>
    <row r="5" spans="1:17">
      <c r="A5" s="27" t="s">
        <v>3943</v>
      </c>
      <c r="B5" s="18">
        <v>-750000</v>
      </c>
      <c r="C5" s="18">
        <v>0</v>
      </c>
      <c r="D5" s="3">
        <f t="shared" si="0"/>
        <v>-750000</v>
      </c>
      <c r="E5" s="20" t="s">
        <v>3732</v>
      </c>
      <c r="F5">
        <v>19</v>
      </c>
      <c r="G5">
        <f t="shared" si="1"/>
        <v>-14250000</v>
      </c>
      <c r="H5">
        <f t="shared" si="2"/>
        <v>0</v>
      </c>
      <c r="I5">
        <f t="shared" si="3"/>
        <v>-14250000</v>
      </c>
      <c r="O5">
        <v>2</v>
      </c>
      <c r="P5">
        <v>29</v>
      </c>
      <c r="Q5">
        <v>30</v>
      </c>
    </row>
    <row r="6" spans="1:17">
      <c r="A6" s="17" t="s">
        <v>3975</v>
      </c>
      <c r="B6" s="18">
        <v>-9396</v>
      </c>
      <c r="C6" s="18">
        <v>0</v>
      </c>
      <c r="D6" s="3">
        <f t="shared" si="0"/>
        <v>-9396</v>
      </c>
      <c r="E6" s="19" t="s">
        <v>3978</v>
      </c>
      <c r="F6">
        <v>8</v>
      </c>
      <c r="G6">
        <f t="shared" si="1"/>
        <v>-75168</v>
      </c>
      <c r="H6">
        <f t="shared" si="2"/>
        <v>0</v>
      </c>
      <c r="I6">
        <f t="shared" si="3"/>
        <v>-75168</v>
      </c>
      <c r="O6">
        <v>3</v>
      </c>
      <c r="P6">
        <v>28</v>
      </c>
      <c r="Q6">
        <v>29</v>
      </c>
    </row>
    <row r="7" spans="1:17">
      <c r="A7" s="17" t="s">
        <v>3979</v>
      </c>
      <c r="B7" s="18">
        <v>-43300</v>
      </c>
      <c r="C7" s="18">
        <v>0</v>
      </c>
      <c r="D7" s="3">
        <f t="shared" si="0"/>
        <v>-43300</v>
      </c>
      <c r="E7" s="19" t="s">
        <v>3978</v>
      </c>
      <c r="F7">
        <v>7</v>
      </c>
      <c r="G7">
        <f t="shared" si="1"/>
        <v>-303100</v>
      </c>
      <c r="H7">
        <f t="shared" si="2"/>
        <v>0</v>
      </c>
      <c r="I7">
        <f t="shared" si="3"/>
        <v>-303100</v>
      </c>
      <c r="O7">
        <v>4</v>
      </c>
      <c r="P7">
        <v>27</v>
      </c>
      <c r="Q7">
        <v>28</v>
      </c>
    </row>
    <row r="8" spans="1:17">
      <c r="A8" s="17" t="s">
        <v>3649</v>
      </c>
      <c r="B8" s="18">
        <v>360000</v>
      </c>
      <c r="C8" s="18">
        <v>0</v>
      </c>
      <c r="D8" s="3">
        <f t="shared" si="0"/>
        <v>360000</v>
      </c>
      <c r="E8" s="19" t="s">
        <v>3992</v>
      </c>
      <c r="F8">
        <v>3</v>
      </c>
      <c r="G8">
        <f t="shared" si="1"/>
        <v>1080000</v>
      </c>
      <c r="H8">
        <f t="shared" si="2"/>
        <v>0</v>
      </c>
      <c r="I8">
        <f t="shared" si="3"/>
        <v>1080000</v>
      </c>
      <c r="O8">
        <v>5</v>
      </c>
      <c r="P8">
        <v>26</v>
      </c>
      <c r="Q8">
        <v>27</v>
      </c>
    </row>
    <row r="9" spans="1:17">
      <c r="A9" s="17" t="s">
        <v>3996</v>
      </c>
      <c r="B9" s="18">
        <v>3000000</v>
      </c>
      <c r="C9" s="18">
        <v>0</v>
      </c>
      <c r="D9" s="3">
        <f t="shared" si="0"/>
        <v>3000000</v>
      </c>
      <c r="E9" s="21" t="s">
        <v>3995</v>
      </c>
      <c r="F9">
        <v>1</v>
      </c>
      <c r="G9">
        <f t="shared" si="1"/>
        <v>3000000</v>
      </c>
      <c r="H9">
        <f t="shared" si="2"/>
        <v>0</v>
      </c>
      <c r="I9">
        <f t="shared" si="3"/>
        <v>3000000</v>
      </c>
      <c r="O9">
        <v>6</v>
      </c>
      <c r="P9">
        <v>25</v>
      </c>
      <c r="Q9">
        <v>26</v>
      </c>
    </row>
    <row r="10" spans="1:17">
      <c r="A10" s="17" t="s">
        <v>3994</v>
      </c>
      <c r="B10" s="18">
        <v>-12050</v>
      </c>
      <c r="C10" s="18">
        <v>0</v>
      </c>
      <c r="D10" s="3">
        <f t="shared" si="0"/>
        <v>-12050</v>
      </c>
      <c r="E10" s="19"/>
      <c r="F10">
        <v>1</v>
      </c>
      <c r="G10">
        <f t="shared" si="1"/>
        <v>-12050</v>
      </c>
      <c r="H10">
        <f t="shared" si="2"/>
        <v>0</v>
      </c>
      <c r="I10">
        <f t="shared" si="3"/>
        <v>-12050</v>
      </c>
      <c r="O10">
        <v>7</v>
      </c>
      <c r="P10">
        <v>24</v>
      </c>
      <c r="Q10">
        <v>25</v>
      </c>
    </row>
    <row r="11" spans="1:17">
      <c r="A11" s="17" t="s">
        <v>1175</v>
      </c>
      <c r="B11" s="18">
        <v>0</v>
      </c>
      <c r="C11" s="18">
        <v>0</v>
      </c>
      <c r="D11" s="3">
        <f t="shared" si="0"/>
        <v>0</v>
      </c>
      <c r="E11" s="19"/>
      <c r="F11">
        <v>16</v>
      </c>
      <c r="G11">
        <f t="shared" si="1"/>
        <v>0</v>
      </c>
      <c r="H11">
        <f t="shared" si="2"/>
        <v>0</v>
      </c>
      <c r="I11">
        <f t="shared" si="3"/>
        <v>0</v>
      </c>
      <c r="O11">
        <v>8</v>
      </c>
      <c r="P11">
        <v>23</v>
      </c>
      <c r="Q11">
        <v>24</v>
      </c>
    </row>
    <row r="12" spans="1:17">
      <c r="A12" s="20" t="s">
        <v>1185</v>
      </c>
      <c r="B12" s="18">
        <v>0</v>
      </c>
      <c r="C12" s="18">
        <v>0</v>
      </c>
      <c r="D12" s="3">
        <f t="shared" si="0"/>
        <v>0</v>
      </c>
      <c r="E12" s="20"/>
      <c r="F12">
        <v>13</v>
      </c>
      <c r="G12">
        <f t="shared" si="1"/>
        <v>0</v>
      </c>
      <c r="H12">
        <f t="shared" si="2"/>
        <v>0</v>
      </c>
      <c r="I12">
        <f t="shared" si="3"/>
        <v>0</v>
      </c>
      <c r="O12">
        <v>9</v>
      </c>
      <c r="P12">
        <v>22</v>
      </c>
      <c r="Q12">
        <v>23</v>
      </c>
    </row>
    <row r="13" spans="1:17">
      <c r="A13" s="20" t="s">
        <v>3628</v>
      </c>
      <c r="B13" s="18">
        <v>0</v>
      </c>
      <c r="C13" s="18">
        <v>0</v>
      </c>
      <c r="D13" s="3">
        <f t="shared" si="0"/>
        <v>0</v>
      </c>
      <c r="E13" s="20"/>
      <c r="F13">
        <v>2</v>
      </c>
      <c r="G13">
        <f>B13*F13</f>
        <v>0</v>
      </c>
      <c r="H13">
        <f t="shared" si="2"/>
        <v>0</v>
      </c>
      <c r="I13">
        <f t="shared" si="3"/>
        <v>0</v>
      </c>
      <c r="O13">
        <v>10</v>
      </c>
      <c r="P13">
        <v>21</v>
      </c>
      <c r="Q13">
        <v>22</v>
      </c>
    </row>
    <row r="14" spans="1:17">
      <c r="A14" s="20" t="s">
        <v>3632</v>
      </c>
      <c r="B14" s="18">
        <v>0</v>
      </c>
      <c r="C14" s="18">
        <v>0</v>
      </c>
      <c r="D14" s="3">
        <f t="shared" si="0"/>
        <v>0</v>
      </c>
      <c r="E14" s="20"/>
      <c r="F14">
        <v>1</v>
      </c>
      <c r="G14">
        <f t="shared" si="1"/>
        <v>0</v>
      </c>
      <c r="H14">
        <f t="shared" si="2"/>
        <v>0</v>
      </c>
      <c r="I14">
        <f t="shared" si="3"/>
        <v>0</v>
      </c>
      <c r="O14">
        <v>11</v>
      </c>
      <c r="P14">
        <v>20</v>
      </c>
      <c r="Q14">
        <v>21</v>
      </c>
    </row>
    <row r="15" spans="1:17">
      <c r="A15" s="23" t="s">
        <v>3634</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3360251</v>
      </c>
      <c r="C24" s="3">
        <f>SUM(C2:C22)</f>
        <v>7835443</v>
      </c>
      <c r="D24" s="3">
        <f>SUM(D2:D22)</f>
        <v>-4475192</v>
      </c>
      <c r="E24" s="2"/>
      <c r="O24">
        <v>21</v>
      </c>
      <c r="P24">
        <v>10</v>
      </c>
      <c r="Q24">
        <v>11</v>
      </c>
    </row>
    <row r="25" spans="1:17">
      <c r="G25" s="18">
        <f>SUM(G2:G23)</f>
        <v>6421589</v>
      </c>
      <c r="H25" s="18">
        <f>SUM(H2:H23)</f>
        <v>242898733</v>
      </c>
      <c r="I25" s="18">
        <f>SUM(I2:I23)</f>
        <v>-236477144</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2536024</v>
      </c>
      <c r="E30" s="36" t="s">
        <v>95</v>
      </c>
      <c r="G30" s="18">
        <v>600</v>
      </c>
      <c r="H30" s="18">
        <f>G30*H25/G25</f>
        <v>22695.198929735303</v>
      </c>
      <c r="I30" s="18">
        <f>G30*I25/G25</f>
        <v>-22095.198929735303</v>
      </c>
      <c r="O30">
        <v>27</v>
      </c>
      <c r="P30">
        <v>4</v>
      </c>
      <c r="Q30">
        <v>5</v>
      </c>
    </row>
    <row r="31" spans="1:17" ht="32.25" customHeight="1">
      <c r="D31" s="25">
        <v>39030</v>
      </c>
      <c r="E31" s="45" t="s">
        <v>3923</v>
      </c>
      <c r="G31" s="9" t="s">
        <v>1000</v>
      </c>
      <c r="H31" s="9" t="s">
        <v>38</v>
      </c>
      <c r="I31" s="9" t="s">
        <v>39</v>
      </c>
      <c r="O31">
        <v>28</v>
      </c>
      <c r="P31">
        <v>3</v>
      </c>
      <c r="Q31">
        <v>4</v>
      </c>
    </row>
    <row r="32" spans="1:17">
      <c r="B32" s="7"/>
      <c r="D32" s="25">
        <v>32000</v>
      </c>
      <c r="E32" s="36" t="s">
        <v>3924</v>
      </c>
      <c r="O32">
        <v>29</v>
      </c>
      <c r="P32">
        <v>2</v>
      </c>
      <c r="Q32">
        <v>3</v>
      </c>
    </row>
    <row r="33" spans="4:17">
      <c r="D33" s="25">
        <v>-8208</v>
      </c>
      <c r="E33" s="36" t="s">
        <v>3927</v>
      </c>
      <c r="O33">
        <v>30</v>
      </c>
      <c r="P33">
        <v>1</v>
      </c>
      <c r="Q33">
        <v>2</v>
      </c>
    </row>
    <row r="34" spans="4:17">
      <c r="D34" s="25">
        <v>100000</v>
      </c>
      <c r="E34" s="36" t="s">
        <v>3928</v>
      </c>
      <c r="O34">
        <v>31</v>
      </c>
      <c r="P34">
        <v>0</v>
      </c>
      <c r="Q34">
        <v>1</v>
      </c>
    </row>
    <row r="35" spans="4:17">
      <c r="D35" s="25">
        <v>90000</v>
      </c>
      <c r="E35" s="36" t="s">
        <v>3930</v>
      </c>
      <c r="P35" t="s">
        <v>60</v>
      </c>
      <c r="Q35" t="s">
        <v>61</v>
      </c>
    </row>
    <row r="36" spans="4:17">
      <c r="D36" s="25">
        <v>10000</v>
      </c>
      <c r="E36" s="36" t="s">
        <v>3933</v>
      </c>
    </row>
    <row r="37" spans="4:17">
      <c r="D37" s="7">
        <v>8185</v>
      </c>
      <c r="E37" s="36" t="s">
        <v>3934</v>
      </c>
    </row>
    <row r="38" spans="4:17">
      <c r="D38" s="7">
        <v>-5600000</v>
      </c>
      <c r="E38" s="36" t="s">
        <v>3936</v>
      </c>
    </row>
    <row r="39" spans="4:17">
      <c r="D39" s="7">
        <v>59600</v>
      </c>
      <c r="E39" s="36" t="s">
        <v>3937</v>
      </c>
    </row>
    <row r="40" spans="4:17">
      <c r="D40" s="7">
        <v>32300</v>
      </c>
      <c r="E40" s="36" t="s">
        <v>3938</v>
      </c>
    </row>
    <row r="41" spans="4:17">
      <c r="D41" s="7">
        <v>32000</v>
      </c>
      <c r="E41" s="36" t="s">
        <v>3944</v>
      </c>
    </row>
    <row r="42" spans="4:17">
      <c r="D42" s="7">
        <v>9997</v>
      </c>
      <c r="E42" s="36" t="s">
        <v>3945</v>
      </c>
    </row>
    <row r="43" spans="4:17">
      <c r="D43" s="7">
        <v>39927</v>
      </c>
      <c r="E43" s="36" t="s">
        <v>3946</v>
      </c>
    </row>
    <row r="44" spans="4:17">
      <c r="D44" s="7">
        <v>306673</v>
      </c>
      <c r="E44" s="36" t="s">
        <v>3947</v>
      </c>
      <c r="F44" s="7" t="s">
        <v>25</v>
      </c>
      <c r="G44" s="36" t="s">
        <v>25</v>
      </c>
    </row>
    <row r="45" spans="4:17">
      <c r="D45" s="7">
        <v>-2765</v>
      </c>
      <c r="E45" s="36" t="s">
        <v>3948</v>
      </c>
      <c r="F45" s="7"/>
      <c r="G45" s="36"/>
    </row>
    <row r="46" spans="4:17">
      <c r="D46" s="7">
        <v>206986</v>
      </c>
      <c r="E46" s="36" t="s">
        <v>3949</v>
      </c>
      <c r="F46" s="7"/>
      <c r="G46" s="36"/>
    </row>
    <row r="47" spans="4:17">
      <c r="D47" s="7">
        <v>-251451</v>
      </c>
      <c r="E47" s="36" t="s">
        <v>3950</v>
      </c>
      <c r="F47" s="7"/>
      <c r="G47" s="36"/>
    </row>
    <row r="48" spans="4:17">
      <c r="D48" s="7">
        <v>-7467154</v>
      </c>
      <c r="E48" s="36" t="s">
        <v>3951</v>
      </c>
    </row>
    <row r="49" spans="4:5" ht="23.25" customHeight="1">
      <c r="D49" s="7">
        <v>-1249833</v>
      </c>
      <c r="E49" s="45" t="s">
        <v>3952</v>
      </c>
    </row>
    <row r="50" spans="4:5">
      <c r="D50" s="7">
        <v>142700</v>
      </c>
      <c r="E50" s="36" t="s">
        <v>3954</v>
      </c>
    </row>
    <row r="51" spans="4:5">
      <c r="D51" s="7">
        <v>32725</v>
      </c>
      <c r="E51" s="36" t="s">
        <v>3956</v>
      </c>
    </row>
    <row r="52" spans="4:5">
      <c r="D52" s="7">
        <v>-149348</v>
      </c>
      <c r="E52" s="36" t="s">
        <v>3957</v>
      </c>
    </row>
    <row r="53" spans="4:5">
      <c r="D53" s="7">
        <v>147067</v>
      </c>
      <c r="E53" s="36" t="s">
        <v>3958</v>
      </c>
    </row>
    <row r="54" spans="4:5">
      <c r="D54" s="7">
        <v>-1100000</v>
      </c>
      <c r="E54" s="36" t="s">
        <v>3960</v>
      </c>
    </row>
    <row r="55" spans="4:5">
      <c r="D55" s="7">
        <v>-790000</v>
      </c>
      <c r="E55" s="36" t="s">
        <v>3961</v>
      </c>
    </row>
    <row r="56" spans="4:5">
      <c r="D56" s="7">
        <v>-3320</v>
      </c>
      <c r="E56" s="36" t="s">
        <v>3962</v>
      </c>
    </row>
    <row r="57" spans="4:5">
      <c r="D57" s="7">
        <v>16000</v>
      </c>
      <c r="E57" s="36" t="s">
        <v>3963</v>
      </c>
    </row>
    <row r="58" spans="4:5">
      <c r="D58" s="7">
        <v>450500</v>
      </c>
      <c r="E58" s="36" t="s">
        <v>3966</v>
      </c>
    </row>
    <row r="59" spans="4:5">
      <c r="D59" s="7">
        <v>16931</v>
      </c>
      <c r="E59" s="36" t="s">
        <v>3969</v>
      </c>
    </row>
    <row r="60" spans="4:5">
      <c r="D60" s="7">
        <v>-10000</v>
      </c>
      <c r="E60" s="36" t="s">
        <v>3970</v>
      </c>
    </row>
    <row r="61" spans="4:5">
      <c r="D61" s="7">
        <v>-15000</v>
      </c>
      <c r="E61" s="36" t="s">
        <v>3971</v>
      </c>
    </row>
    <row r="62" spans="4:5">
      <c r="D62" s="7">
        <v>10350</v>
      </c>
      <c r="E62" s="36" t="s">
        <v>3972</v>
      </c>
    </row>
    <row r="63" spans="4:5">
      <c r="D63" s="7">
        <v>9396</v>
      </c>
      <c r="E63" s="36" t="s">
        <v>3977</v>
      </c>
    </row>
    <row r="64" spans="4:5">
      <c r="D64" s="7">
        <v>43300</v>
      </c>
      <c r="E64" s="36" t="s">
        <v>3980</v>
      </c>
    </row>
    <row r="65" spans="4:5">
      <c r="D65" s="7">
        <v>315101</v>
      </c>
      <c r="E65" s="36" t="s">
        <v>3982</v>
      </c>
    </row>
    <row r="66" spans="4:5">
      <c r="D66" s="7">
        <v>-5000</v>
      </c>
      <c r="E66" s="36" t="s">
        <v>560</v>
      </c>
    </row>
    <row r="67" spans="4:5">
      <c r="D67" s="7">
        <v>12050</v>
      </c>
      <c r="E67" s="36" t="s">
        <v>3998</v>
      </c>
    </row>
    <row r="68" spans="4:5">
      <c r="D68" s="7"/>
      <c r="E68" s="36"/>
    </row>
    <row r="69" spans="4:5">
      <c r="D69" s="7" t="s">
        <v>25</v>
      </c>
      <c r="E69" s="36"/>
    </row>
    <row r="70" spans="4:5">
      <c r="D70" s="7"/>
      <c r="E70" s="36"/>
    </row>
    <row r="71" spans="4:5">
      <c r="D71" s="7"/>
      <c r="E71" s="36"/>
    </row>
    <row r="72" spans="4:5">
      <c r="D72" s="7"/>
    </row>
    <row r="73" spans="4:5">
      <c r="D73" s="7">
        <f>SUM(D30:D70)</f>
        <v>-11953237</v>
      </c>
      <c r="E73" t="s">
        <v>6</v>
      </c>
    </row>
    <row r="74" spans="4:5">
      <c r="D74" s="7"/>
      <c r="E74" s="36"/>
    </row>
    <row r="76" spans="4:5">
      <c r="E76"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4002</v>
      </c>
      <c r="B2" s="3">
        <f>مرداد97!B24</f>
        <v>3360251</v>
      </c>
      <c r="C2" s="1">
        <f>مرداد97!C24</f>
        <v>7835443</v>
      </c>
      <c r="D2" s="3">
        <f>B2-C2</f>
        <v>-4475192</v>
      </c>
      <c r="E2" s="2" t="s">
        <v>59</v>
      </c>
      <c r="F2">
        <v>31</v>
      </c>
      <c r="G2">
        <f>B2*F2</f>
        <v>104167781</v>
      </c>
      <c r="H2">
        <f>C2*F2</f>
        <v>242898733</v>
      </c>
      <c r="I2">
        <f>D2*F2</f>
        <v>-138730952</v>
      </c>
    </row>
    <row r="3" spans="1:17">
      <c r="A3" s="20" t="s">
        <v>3999</v>
      </c>
      <c r="B3" s="18">
        <v>3000000</v>
      </c>
      <c r="C3" s="18">
        <v>0</v>
      </c>
      <c r="D3" s="37">
        <f t="shared" ref="D3:D28" si="0">B3-C3</f>
        <v>3000000</v>
      </c>
      <c r="E3" s="20" t="s">
        <v>4001</v>
      </c>
      <c r="F3">
        <v>30</v>
      </c>
      <c r="G3">
        <f t="shared" ref="G3:G27" si="1">B3*F3</f>
        <v>90000000</v>
      </c>
      <c r="H3">
        <f t="shared" ref="H3:H27" si="2">C3*F3</f>
        <v>0</v>
      </c>
      <c r="I3">
        <f t="shared" ref="I3:I27" si="3">D3*F3</f>
        <v>90000000</v>
      </c>
    </row>
    <row r="4" spans="1:17">
      <c r="A4" s="20" t="s">
        <v>4007</v>
      </c>
      <c r="B4" s="18">
        <v>-35800</v>
      </c>
      <c r="C4" s="18">
        <v>0</v>
      </c>
      <c r="D4" s="3">
        <f t="shared" si="0"/>
        <v>-35800</v>
      </c>
      <c r="E4" s="11" t="s">
        <v>3924</v>
      </c>
      <c r="F4">
        <v>29</v>
      </c>
      <c r="G4">
        <f t="shared" si="1"/>
        <v>-1038200</v>
      </c>
      <c r="H4">
        <f t="shared" si="2"/>
        <v>0</v>
      </c>
      <c r="I4">
        <f t="shared" si="3"/>
        <v>-1038200</v>
      </c>
      <c r="O4">
        <v>1</v>
      </c>
      <c r="P4">
        <v>30</v>
      </c>
      <c r="Q4">
        <v>31</v>
      </c>
    </row>
    <row r="5" spans="1:17">
      <c r="A5" s="27" t="s">
        <v>4006</v>
      </c>
      <c r="B5" s="18">
        <v>3600000</v>
      </c>
      <c r="C5" s="18">
        <v>0</v>
      </c>
      <c r="D5" s="3">
        <f t="shared" si="0"/>
        <v>3600000</v>
      </c>
      <c r="E5" s="20" t="s">
        <v>3853</v>
      </c>
      <c r="F5">
        <v>27</v>
      </c>
      <c r="G5">
        <f t="shared" si="1"/>
        <v>97200000</v>
      </c>
      <c r="H5">
        <f t="shared" si="2"/>
        <v>0</v>
      </c>
      <c r="I5">
        <f t="shared" si="3"/>
        <v>97200000</v>
      </c>
      <c r="O5">
        <v>2</v>
      </c>
      <c r="P5">
        <v>29</v>
      </c>
      <c r="Q5">
        <v>30</v>
      </c>
    </row>
    <row r="6" spans="1:17">
      <c r="A6" s="17" t="s">
        <v>4006</v>
      </c>
      <c r="B6" s="18">
        <v>-33377</v>
      </c>
      <c r="C6" s="18">
        <v>0</v>
      </c>
      <c r="D6" s="3">
        <f t="shared" si="0"/>
        <v>-33377</v>
      </c>
      <c r="E6" s="19" t="s">
        <v>4010</v>
      </c>
      <c r="F6">
        <v>27</v>
      </c>
      <c r="G6">
        <f t="shared" si="1"/>
        <v>-901179</v>
      </c>
      <c r="H6">
        <f t="shared" si="2"/>
        <v>0</v>
      </c>
      <c r="I6">
        <f t="shared" si="3"/>
        <v>-901179</v>
      </c>
      <c r="O6">
        <v>3</v>
      </c>
      <c r="P6">
        <v>28</v>
      </c>
      <c r="Q6">
        <v>29</v>
      </c>
    </row>
    <row r="7" spans="1:17">
      <c r="A7" s="17" t="s">
        <v>4029</v>
      </c>
      <c r="B7" s="18">
        <v>-9800000</v>
      </c>
      <c r="C7" s="18">
        <v>0</v>
      </c>
      <c r="D7" s="3">
        <f t="shared" si="0"/>
        <v>-9800000</v>
      </c>
      <c r="E7" s="19" t="s">
        <v>1179</v>
      </c>
      <c r="F7">
        <v>25</v>
      </c>
      <c r="G7">
        <f t="shared" si="1"/>
        <v>-245000000</v>
      </c>
      <c r="H7">
        <f t="shared" si="2"/>
        <v>0</v>
      </c>
      <c r="I7">
        <f t="shared" si="3"/>
        <v>-245000000</v>
      </c>
      <c r="O7">
        <v>4</v>
      </c>
      <c r="P7">
        <v>27</v>
      </c>
      <c r="Q7">
        <v>28</v>
      </c>
    </row>
    <row r="8" spans="1:17">
      <c r="A8" s="17" t="s">
        <v>4029</v>
      </c>
      <c r="B8" s="18">
        <v>18000000</v>
      </c>
      <c r="C8" s="18">
        <v>0</v>
      </c>
      <c r="D8" s="3">
        <f t="shared" si="0"/>
        <v>18000000</v>
      </c>
      <c r="E8" s="19" t="s">
        <v>4030</v>
      </c>
      <c r="F8">
        <v>24</v>
      </c>
      <c r="G8">
        <f t="shared" si="1"/>
        <v>432000000</v>
      </c>
      <c r="H8">
        <f t="shared" si="2"/>
        <v>0</v>
      </c>
      <c r="I8">
        <f t="shared" si="3"/>
        <v>432000000</v>
      </c>
      <c r="O8">
        <v>5</v>
      </c>
      <c r="P8">
        <v>26</v>
      </c>
      <c r="Q8">
        <v>27</v>
      </c>
    </row>
    <row r="9" spans="1:17">
      <c r="A9" s="17" t="s">
        <v>4029</v>
      </c>
      <c r="B9" s="18">
        <v>-9000000</v>
      </c>
      <c r="C9" s="18">
        <v>0</v>
      </c>
      <c r="D9" s="3">
        <f t="shared" si="0"/>
        <v>-9000000</v>
      </c>
      <c r="E9" s="21" t="s">
        <v>1179</v>
      </c>
      <c r="F9">
        <v>24</v>
      </c>
      <c r="G9">
        <f t="shared" si="1"/>
        <v>-216000000</v>
      </c>
      <c r="H9">
        <f t="shared" si="2"/>
        <v>0</v>
      </c>
      <c r="I9">
        <f t="shared" si="3"/>
        <v>-216000000</v>
      </c>
      <c r="O9">
        <v>6</v>
      </c>
      <c r="P9">
        <v>25</v>
      </c>
      <c r="Q9">
        <v>26</v>
      </c>
    </row>
    <row r="10" spans="1:17">
      <c r="A10" s="17" t="s">
        <v>4029</v>
      </c>
      <c r="B10" s="18">
        <v>-11600</v>
      </c>
      <c r="C10" s="18">
        <v>0</v>
      </c>
      <c r="D10" s="3">
        <f t="shared" si="0"/>
        <v>-11600</v>
      </c>
      <c r="E10" s="19" t="s">
        <v>4033</v>
      </c>
      <c r="F10">
        <v>24</v>
      </c>
      <c r="G10">
        <f t="shared" si="1"/>
        <v>-278400</v>
      </c>
      <c r="H10">
        <f t="shared" si="2"/>
        <v>0</v>
      </c>
      <c r="I10">
        <f t="shared" si="3"/>
        <v>-278400</v>
      </c>
      <c r="O10">
        <v>7</v>
      </c>
      <c r="P10">
        <v>24</v>
      </c>
      <c r="Q10">
        <v>25</v>
      </c>
    </row>
    <row r="11" spans="1:17">
      <c r="A11" s="17" t="s">
        <v>4029</v>
      </c>
      <c r="B11" s="18">
        <v>-3304327</v>
      </c>
      <c r="C11" s="18">
        <v>0</v>
      </c>
      <c r="D11" s="3">
        <f t="shared" si="0"/>
        <v>-3304327</v>
      </c>
      <c r="E11" s="19" t="s">
        <v>4034</v>
      </c>
      <c r="F11">
        <v>24</v>
      </c>
      <c r="G11">
        <f t="shared" si="1"/>
        <v>-79303848</v>
      </c>
      <c r="H11">
        <f t="shared" si="2"/>
        <v>0</v>
      </c>
      <c r="I11">
        <f t="shared" si="3"/>
        <v>-79303848</v>
      </c>
      <c r="O11">
        <v>8</v>
      </c>
      <c r="P11">
        <v>23</v>
      </c>
      <c r="Q11">
        <v>24</v>
      </c>
    </row>
    <row r="12" spans="1:17">
      <c r="A12" s="20" t="s">
        <v>4038</v>
      </c>
      <c r="B12" s="18">
        <v>-3000900</v>
      </c>
      <c r="C12" s="18">
        <v>0</v>
      </c>
      <c r="D12" s="3">
        <f t="shared" si="0"/>
        <v>-3000900</v>
      </c>
      <c r="E12" s="20" t="s">
        <v>4039</v>
      </c>
      <c r="F12">
        <v>24</v>
      </c>
      <c r="G12">
        <f t="shared" si="1"/>
        <v>-72021600</v>
      </c>
      <c r="H12">
        <f t="shared" si="2"/>
        <v>0</v>
      </c>
      <c r="I12">
        <f t="shared" si="3"/>
        <v>-72021600</v>
      </c>
      <c r="O12">
        <v>9</v>
      </c>
      <c r="P12">
        <v>22</v>
      </c>
      <c r="Q12">
        <v>23</v>
      </c>
    </row>
    <row r="13" spans="1:17">
      <c r="A13" s="20" t="s">
        <v>4042</v>
      </c>
      <c r="B13" s="18">
        <v>-2760900</v>
      </c>
      <c r="C13" s="18">
        <v>0</v>
      </c>
      <c r="D13" s="3">
        <f t="shared" si="0"/>
        <v>-2760900</v>
      </c>
      <c r="E13" s="20" t="s">
        <v>4043</v>
      </c>
      <c r="F13">
        <v>23</v>
      </c>
      <c r="G13">
        <f>B13*F13</f>
        <v>-63500700</v>
      </c>
      <c r="H13">
        <f t="shared" si="2"/>
        <v>0</v>
      </c>
      <c r="I13">
        <f t="shared" si="3"/>
        <v>-63500700</v>
      </c>
      <c r="O13">
        <v>10</v>
      </c>
      <c r="P13">
        <v>21</v>
      </c>
      <c r="Q13">
        <v>22</v>
      </c>
    </row>
    <row r="14" spans="1:17">
      <c r="A14" s="20" t="s">
        <v>4056</v>
      </c>
      <c r="B14" s="18">
        <v>1000000</v>
      </c>
      <c r="C14" s="18">
        <v>0</v>
      </c>
      <c r="D14" s="3">
        <f t="shared" si="0"/>
        <v>1000000</v>
      </c>
      <c r="E14" s="20" t="s">
        <v>4036</v>
      </c>
      <c r="F14">
        <v>17</v>
      </c>
      <c r="G14">
        <f t="shared" si="1"/>
        <v>17000000</v>
      </c>
      <c r="H14">
        <f t="shared" si="2"/>
        <v>0</v>
      </c>
      <c r="I14">
        <f t="shared" si="3"/>
        <v>17000000</v>
      </c>
      <c r="O14">
        <v>11</v>
      </c>
      <c r="P14">
        <v>20</v>
      </c>
      <c r="Q14">
        <v>21</v>
      </c>
    </row>
    <row r="15" spans="1:17">
      <c r="A15" s="23" t="s">
        <v>4067</v>
      </c>
      <c r="B15" s="34">
        <v>-15000</v>
      </c>
      <c r="C15" s="34">
        <v>0</v>
      </c>
      <c r="D15" s="31">
        <f t="shared" si="0"/>
        <v>-15000</v>
      </c>
      <c r="E15" s="23" t="s">
        <v>47</v>
      </c>
      <c r="F15">
        <v>17</v>
      </c>
      <c r="G15">
        <f t="shared" si="1"/>
        <v>-255000</v>
      </c>
      <c r="H15">
        <f t="shared" si="2"/>
        <v>0</v>
      </c>
      <c r="I15">
        <f t="shared" si="3"/>
        <v>-255000</v>
      </c>
      <c r="O15">
        <v>12</v>
      </c>
      <c r="P15">
        <v>19</v>
      </c>
      <c r="Q15">
        <v>20</v>
      </c>
    </row>
    <row r="16" spans="1:17">
      <c r="A16" s="20" t="s">
        <v>4064</v>
      </c>
      <c r="B16" s="18">
        <v>-990000</v>
      </c>
      <c r="C16" s="18">
        <v>0</v>
      </c>
      <c r="D16" s="3">
        <f t="shared" si="0"/>
        <v>-990000</v>
      </c>
      <c r="E16" s="20" t="s">
        <v>3732</v>
      </c>
      <c r="F16">
        <v>15</v>
      </c>
      <c r="G16">
        <f t="shared" si="1"/>
        <v>-14850000</v>
      </c>
      <c r="H16">
        <f t="shared" si="2"/>
        <v>0</v>
      </c>
      <c r="I16">
        <f t="shared" si="3"/>
        <v>-14850000</v>
      </c>
      <c r="O16">
        <v>13</v>
      </c>
      <c r="P16">
        <v>18</v>
      </c>
      <c r="Q16">
        <v>19</v>
      </c>
    </row>
    <row r="17" spans="1:24">
      <c r="A17" s="20" t="s">
        <v>4064</v>
      </c>
      <c r="B17" s="18">
        <v>783000</v>
      </c>
      <c r="C17" s="18">
        <v>0</v>
      </c>
      <c r="D17" s="3">
        <f t="shared" si="0"/>
        <v>783000</v>
      </c>
      <c r="E17" s="20" t="s">
        <v>4070</v>
      </c>
      <c r="F17">
        <v>14</v>
      </c>
      <c r="G17">
        <f t="shared" si="1"/>
        <v>10962000</v>
      </c>
      <c r="H17">
        <f t="shared" si="2"/>
        <v>0</v>
      </c>
      <c r="I17">
        <f t="shared" si="3"/>
        <v>10962000</v>
      </c>
      <c r="O17">
        <v>14</v>
      </c>
      <c r="P17">
        <v>17</v>
      </c>
      <c r="Q17">
        <v>18</v>
      </c>
    </row>
    <row r="18" spans="1:24">
      <c r="A18" s="20" t="s">
        <v>4073</v>
      </c>
      <c r="B18" s="18">
        <v>-750500</v>
      </c>
      <c r="C18" s="18">
        <v>0</v>
      </c>
      <c r="D18" s="3">
        <f t="shared" si="0"/>
        <v>-750500</v>
      </c>
      <c r="E18" s="20" t="s">
        <v>4074</v>
      </c>
      <c r="F18">
        <v>13</v>
      </c>
      <c r="G18">
        <f t="shared" si="1"/>
        <v>-9756500</v>
      </c>
      <c r="H18">
        <f t="shared" si="2"/>
        <v>0</v>
      </c>
      <c r="I18">
        <f t="shared" si="3"/>
        <v>-9756500</v>
      </c>
      <c r="O18">
        <v>15</v>
      </c>
      <c r="P18">
        <v>16</v>
      </c>
      <c r="Q18">
        <v>17</v>
      </c>
      <c r="X18" t="s">
        <v>25</v>
      </c>
    </row>
    <row r="19" spans="1:24">
      <c r="A19" s="20" t="s">
        <v>4086</v>
      </c>
      <c r="B19" s="18">
        <v>700000</v>
      </c>
      <c r="C19" s="18">
        <v>0</v>
      </c>
      <c r="D19" s="3">
        <f t="shared" si="0"/>
        <v>700000</v>
      </c>
      <c r="E19" s="20" t="s">
        <v>3853</v>
      </c>
      <c r="F19">
        <v>10</v>
      </c>
      <c r="G19">
        <f t="shared" si="1"/>
        <v>7000000</v>
      </c>
      <c r="H19">
        <f t="shared" si="2"/>
        <v>0</v>
      </c>
      <c r="I19">
        <f t="shared" si="3"/>
        <v>7000000</v>
      </c>
      <c r="O19">
        <v>16</v>
      </c>
      <c r="P19">
        <v>15</v>
      </c>
      <c r="Q19">
        <v>16</v>
      </c>
    </row>
    <row r="20" spans="1:24">
      <c r="A20" s="19" t="s">
        <v>4086</v>
      </c>
      <c r="B20" s="18">
        <v>-99000</v>
      </c>
      <c r="C20" s="18">
        <v>0</v>
      </c>
      <c r="D20" s="3">
        <f t="shared" si="0"/>
        <v>-99000</v>
      </c>
      <c r="E20" s="19" t="s">
        <v>4088</v>
      </c>
      <c r="F20">
        <v>10</v>
      </c>
      <c r="G20">
        <f t="shared" si="1"/>
        <v>-990000</v>
      </c>
      <c r="H20">
        <f t="shared" si="2"/>
        <v>0</v>
      </c>
      <c r="I20">
        <f t="shared" si="3"/>
        <v>-990000</v>
      </c>
      <c r="O20">
        <v>17</v>
      </c>
      <c r="P20">
        <v>14</v>
      </c>
      <c r="Q20">
        <v>15</v>
      </c>
    </row>
    <row r="21" spans="1:24">
      <c r="A21" s="19" t="s">
        <v>4089</v>
      </c>
      <c r="B21" s="18">
        <v>-205750</v>
      </c>
      <c r="C21" s="18">
        <v>0</v>
      </c>
      <c r="D21" s="3">
        <f t="shared" si="0"/>
        <v>-205750</v>
      </c>
      <c r="E21" s="19" t="s">
        <v>4090</v>
      </c>
      <c r="F21">
        <v>10</v>
      </c>
      <c r="G21">
        <f t="shared" si="1"/>
        <v>-2057500</v>
      </c>
      <c r="H21">
        <f t="shared" si="2"/>
        <v>0</v>
      </c>
      <c r="I21">
        <f t="shared" si="3"/>
        <v>-2057500</v>
      </c>
      <c r="O21">
        <v>18</v>
      </c>
      <c r="P21">
        <v>13</v>
      </c>
      <c r="Q21">
        <v>14</v>
      </c>
    </row>
    <row r="22" spans="1:24">
      <c r="A22" s="19" t="s">
        <v>4089</v>
      </c>
      <c r="B22" s="18">
        <v>-95000</v>
      </c>
      <c r="C22" s="18">
        <v>0</v>
      </c>
      <c r="D22" s="3">
        <f t="shared" si="0"/>
        <v>-95000</v>
      </c>
      <c r="E22" s="19" t="s">
        <v>4091</v>
      </c>
      <c r="F22">
        <v>10</v>
      </c>
      <c r="G22">
        <f t="shared" si="1"/>
        <v>-950000</v>
      </c>
      <c r="H22">
        <f t="shared" si="2"/>
        <v>0</v>
      </c>
      <c r="I22">
        <f t="shared" si="3"/>
        <v>-950000</v>
      </c>
      <c r="O22">
        <v>19</v>
      </c>
      <c r="P22">
        <v>12</v>
      </c>
      <c r="Q22">
        <v>13</v>
      </c>
    </row>
    <row r="23" spans="1:24">
      <c r="A23" s="19" t="s">
        <v>4105</v>
      </c>
      <c r="B23" s="18">
        <v>48650000</v>
      </c>
      <c r="C23" s="18">
        <v>0</v>
      </c>
      <c r="D23" s="3">
        <f t="shared" si="0"/>
        <v>48650000</v>
      </c>
      <c r="E23" s="19" t="s">
        <v>4106</v>
      </c>
      <c r="F23">
        <v>6</v>
      </c>
      <c r="G23">
        <f t="shared" si="1"/>
        <v>291900000</v>
      </c>
      <c r="H23">
        <f t="shared" si="2"/>
        <v>0</v>
      </c>
      <c r="I23">
        <f t="shared" si="3"/>
        <v>291900000</v>
      </c>
      <c r="O23">
        <v>20</v>
      </c>
      <c r="P23">
        <v>11</v>
      </c>
      <c r="Q23">
        <v>12</v>
      </c>
    </row>
    <row r="24" spans="1:24">
      <c r="A24" s="19" t="s">
        <v>4105</v>
      </c>
      <c r="B24" s="18">
        <v>-3005900</v>
      </c>
      <c r="C24" s="18">
        <v>0</v>
      </c>
      <c r="D24" s="3">
        <f t="shared" si="0"/>
        <v>-3005900</v>
      </c>
      <c r="E24" s="19" t="s">
        <v>4108</v>
      </c>
      <c r="F24">
        <v>6</v>
      </c>
      <c r="G24">
        <f t="shared" si="1"/>
        <v>-18035400</v>
      </c>
      <c r="H24">
        <f t="shared" si="2"/>
        <v>0</v>
      </c>
      <c r="I24">
        <f t="shared" si="3"/>
        <v>-18035400</v>
      </c>
      <c r="O24">
        <v>21</v>
      </c>
      <c r="P24">
        <v>10</v>
      </c>
      <c r="Q24">
        <v>11</v>
      </c>
    </row>
    <row r="25" spans="1:24">
      <c r="A25" s="19" t="s">
        <v>4110</v>
      </c>
      <c r="B25" s="18">
        <v>-33500000</v>
      </c>
      <c r="C25" s="18">
        <v>0</v>
      </c>
      <c r="D25" s="3">
        <f t="shared" si="0"/>
        <v>-33500000</v>
      </c>
      <c r="E25" s="19" t="s">
        <v>3732</v>
      </c>
      <c r="F25">
        <v>6</v>
      </c>
      <c r="G25">
        <f t="shared" si="1"/>
        <v>-201000000</v>
      </c>
      <c r="H25">
        <f t="shared" si="2"/>
        <v>0</v>
      </c>
      <c r="I25">
        <f t="shared" si="3"/>
        <v>-201000000</v>
      </c>
      <c r="O25">
        <v>22</v>
      </c>
      <c r="P25">
        <v>9</v>
      </c>
      <c r="Q25">
        <v>10</v>
      </c>
    </row>
    <row r="26" spans="1:24">
      <c r="A26" s="19" t="s">
        <v>4110</v>
      </c>
      <c r="B26" s="18">
        <v>-12435000</v>
      </c>
      <c r="C26" s="18">
        <v>0</v>
      </c>
      <c r="D26" s="3">
        <f t="shared" si="0"/>
        <v>-12435000</v>
      </c>
      <c r="E26" s="19" t="s">
        <v>3732</v>
      </c>
      <c r="F26">
        <v>6</v>
      </c>
      <c r="G26">
        <f t="shared" si="1"/>
        <v>-74610000</v>
      </c>
      <c r="H26">
        <f t="shared" si="2"/>
        <v>0</v>
      </c>
      <c r="I26">
        <f t="shared" si="3"/>
        <v>-74610000</v>
      </c>
      <c r="O26">
        <v>23</v>
      </c>
      <c r="P26">
        <v>8</v>
      </c>
      <c r="Q26">
        <v>9</v>
      </c>
    </row>
    <row r="27" spans="1:24">
      <c r="A27" s="2" t="s">
        <v>4122</v>
      </c>
      <c r="B27" s="18">
        <v>-18500</v>
      </c>
      <c r="C27" s="18">
        <v>0</v>
      </c>
      <c r="D27" s="18">
        <f>B27-C27</f>
        <v>-18500</v>
      </c>
      <c r="E27" s="2" t="s">
        <v>4123</v>
      </c>
      <c r="F27">
        <v>3</v>
      </c>
      <c r="G27">
        <f t="shared" si="1"/>
        <v>-55500</v>
      </c>
      <c r="H27">
        <f t="shared" si="2"/>
        <v>0</v>
      </c>
      <c r="I27">
        <f t="shared" si="3"/>
        <v>-55500</v>
      </c>
      <c r="O27">
        <v>24</v>
      </c>
      <c r="P27">
        <v>7</v>
      </c>
      <c r="Q27">
        <v>8</v>
      </c>
    </row>
    <row r="28" spans="1:24">
      <c r="A28" s="2" t="s">
        <v>4119</v>
      </c>
      <c r="B28" s="18">
        <v>14480</v>
      </c>
      <c r="C28" s="18">
        <v>70874</v>
      </c>
      <c r="D28" s="18">
        <f t="shared" si="0"/>
        <v>-56394</v>
      </c>
      <c r="E28" s="2" t="s">
        <v>667</v>
      </c>
      <c r="F28">
        <v>0</v>
      </c>
      <c r="G28">
        <f>B28*F28</f>
        <v>0</v>
      </c>
      <c r="H28">
        <f>C28*F28</f>
        <v>0</v>
      </c>
      <c r="I28">
        <f>D28*F28</f>
        <v>0</v>
      </c>
      <c r="O28">
        <v>25</v>
      </c>
      <c r="P28">
        <v>6</v>
      </c>
      <c r="Q28">
        <v>7</v>
      </c>
    </row>
    <row r="29" spans="1:24">
      <c r="A29" s="2" t="s">
        <v>6</v>
      </c>
      <c r="B29" s="3">
        <f>SUM(B2:B28)</f>
        <v>46177</v>
      </c>
      <c r="C29" s="3">
        <f>SUM(C2:C28)</f>
        <v>7906317</v>
      </c>
      <c r="D29" s="3">
        <f>SUM(D2:D28)</f>
        <v>-7860140</v>
      </c>
      <c r="E29" s="2"/>
      <c r="O29">
        <v>26</v>
      </c>
      <c r="P29">
        <v>5</v>
      </c>
      <c r="Q29">
        <v>6</v>
      </c>
    </row>
    <row r="30" spans="1:24">
      <c r="G30" s="18">
        <f>SUM(G2:G28)</f>
        <v>49625954</v>
      </c>
      <c r="H30" s="18">
        <f>SUM(H2:H28)</f>
        <v>242898733</v>
      </c>
      <c r="I30" s="18">
        <f>SUM(I2:I28)</f>
        <v>-193272779</v>
      </c>
      <c r="O30">
        <v>27</v>
      </c>
      <c r="P30">
        <v>4</v>
      </c>
      <c r="Q30">
        <v>5</v>
      </c>
    </row>
    <row r="31" spans="1:24">
      <c r="B31" t="s">
        <v>25</v>
      </c>
      <c r="G31" t="s">
        <v>62</v>
      </c>
      <c r="H31" t="s">
        <v>36</v>
      </c>
      <c r="I31" t="s">
        <v>37</v>
      </c>
      <c r="O31">
        <v>28</v>
      </c>
      <c r="P31">
        <v>3</v>
      </c>
      <c r="Q31">
        <v>4</v>
      </c>
    </row>
    <row r="32" spans="1:24">
      <c r="O32">
        <v>29</v>
      </c>
      <c r="P32">
        <v>2</v>
      </c>
      <c r="Q32">
        <v>3</v>
      </c>
    </row>
    <row r="33" spans="2:17">
      <c r="F33" t="s">
        <v>25</v>
      </c>
      <c r="L33" t="s">
        <v>25</v>
      </c>
      <c r="O33">
        <v>30</v>
      </c>
      <c r="P33">
        <v>1</v>
      </c>
      <c r="Q33">
        <v>2</v>
      </c>
    </row>
    <row r="34" spans="2:17">
      <c r="C34" t="s">
        <v>25</v>
      </c>
      <c r="D34" s="36"/>
      <c r="E34" s="36" t="s">
        <v>85</v>
      </c>
      <c r="O34">
        <v>31</v>
      </c>
      <c r="P34">
        <v>0</v>
      </c>
      <c r="Q34">
        <v>1</v>
      </c>
    </row>
    <row r="35" spans="2:17">
      <c r="D35" s="25">
        <v>-11953237</v>
      </c>
      <c r="E35" s="36" t="s">
        <v>95</v>
      </c>
      <c r="G35" s="18">
        <v>14480</v>
      </c>
      <c r="H35" s="18">
        <f>G35*H30/G30</f>
        <v>70873.673357292035</v>
      </c>
      <c r="I35" s="18">
        <f>G35*I30/G30</f>
        <v>-56393.673357292035</v>
      </c>
      <c r="P35" t="s">
        <v>60</v>
      </c>
      <c r="Q35" t="s">
        <v>61</v>
      </c>
    </row>
    <row r="36" spans="2:17">
      <c r="D36" s="25">
        <v>814100</v>
      </c>
      <c r="E36" s="45" t="s">
        <v>4003</v>
      </c>
      <c r="G36" s="9" t="s">
        <v>1000</v>
      </c>
      <c r="H36" s="9" t="s">
        <v>38</v>
      </c>
      <c r="I36" s="9" t="s">
        <v>39</v>
      </c>
    </row>
    <row r="37" spans="2:17">
      <c r="B37" s="7"/>
      <c r="D37" s="25">
        <v>-80000</v>
      </c>
      <c r="E37" s="36" t="s">
        <v>4004</v>
      </c>
    </row>
    <row r="38" spans="2:17">
      <c r="D38" s="25">
        <v>-3600000</v>
      </c>
      <c r="E38" s="36" t="s">
        <v>4005</v>
      </c>
    </row>
    <row r="39" spans="2:17">
      <c r="B39" t="s">
        <v>25</v>
      </c>
      <c r="D39" s="25">
        <v>33377</v>
      </c>
      <c r="E39" s="36" t="s">
        <v>4011</v>
      </c>
    </row>
    <row r="40" spans="2:17" ht="30">
      <c r="D40" s="7">
        <v>-2495233</v>
      </c>
      <c r="E40" s="45" t="s">
        <v>4028</v>
      </c>
    </row>
    <row r="41" spans="2:17">
      <c r="D41" s="7">
        <v>3304327</v>
      </c>
      <c r="E41" s="36" t="s">
        <v>4035</v>
      </c>
    </row>
    <row r="42" spans="2:17">
      <c r="D42" s="7">
        <v>10000</v>
      </c>
      <c r="E42" s="36" t="s">
        <v>4036</v>
      </c>
    </row>
    <row r="43" spans="2:17">
      <c r="D43" s="7">
        <v>3000900</v>
      </c>
      <c r="E43" s="36" t="s">
        <v>4037</v>
      </c>
    </row>
    <row r="44" spans="2:17">
      <c r="D44" s="7">
        <v>2760900</v>
      </c>
      <c r="E44" s="36" t="s">
        <v>4044</v>
      </c>
    </row>
    <row r="45" spans="2:17">
      <c r="D45" s="7">
        <v>-500000</v>
      </c>
      <c r="E45" s="36" t="s">
        <v>4046</v>
      </c>
    </row>
    <row r="46" spans="2:17">
      <c r="D46" s="7">
        <v>-200000</v>
      </c>
      <c r="E46" s="36" t="s">
        <v>1178</v>
      </c>
    </row>
    <row r="47" spans="2:17">
      <c r="D47" s="7">
        <v>642064</v>
      </c>
      <c r="E47" s="36" t="s">
        <v>4055</v>
      </c>
    </row>
    <row r="48" spans="2:17">
      <c r="D48" s="7">
        <v>-1000000</v>
      </c>
      <c r="E48" s="36" t="s">
        <v>4057</v>
      </c>
    </row>
    <row r="49" spans="4:7">
      <c r="D49" s="7">
        <v>200000</v>
      </c>
      <c r="E49" s="36" t="s">
        <v>4058</v>
      </c>
      <c r="F49" s="7" t="s">
        <v>25</v>
      </c>
      <c r="G49" s="36" t="s">
        <v>25</v>
      </c>
    </row>
    <row r="50" spans="4:7">
      <c r="D50" s="7">
        <v>-110000</v>
      </c>
      <c r="E50" s="36" t="s">
        <v>755</v>
      </c>
      <c r="F50" s="7"/>
      <c r="G50" s="36"/>
    </row>
    <row r="51" spans="4:7">
      <c r="D51" s="7">
        <v>-1300000</v>
      </c>
      <c r="E51" s="36" t="s">
        <v>4065</v>
      </c>
      <c r="F51" s="7"/>
      <c r="G51" s="36"/>
    </row>
    <row r="52" spans="4:7">
      <c r="D52" s="7">
        <v>-5000</v>
      </c>
      <c r="E52" s="36" t="s">
        <v>4065</v>
      </c>
      <c r="F52" s="7"/>
      <c r="G52" s="36"/>
    </row>
    <row r="53" spans="4:7">
      <c r="D53" s="7">
        <v>-50000</v>
      </c>
      <c r="E53" s="36" t="s">
        <v>4068</v>
      </c>
    </row>
    <row r="54" spans="4:7">
      <c r="D54" s="7">
        <v>-5000</v>
      </c>
      <c r="E54" s="36" t="s">
        <v>4069</v>
      </c>
    </row>
    <row r="55" spans="4:7">
      <c r="D55" s="7">
        <v>-94056</v>
      </c>
      <c r="E55" s="36" t="s">
        <v>4071</v>
      </c>
    </row>
    <row r="56" spans="4:7">
      <c r="D56" s="7">
        <v>37083</v>
      </c>
      <c r="E56" s="36" t="s">
        <v>4072</v>
      </c>
    </row>
    <row r="57" spans="4:7">
      <c r="D57" s="7">
        <v>-2000000</v>
      </c>
      <c r="E57" s="36" t="s">
        <v>4080</v>
      </c>
    </row>
    <row r="58" spans="4:7">
      <c r="D58" s="7">
        <v>50000</v>
      </c>
      <c r="E58" s="36" t="s">
        <v>4078</v>
      </c>
    </row>
    <row r="59" spans="4:7">
      <c r="D59" s="7"/>
      <c r="E59" s="36"/>
    </row>
    <row r="60" spans="4:7">
      <c r="D60" s="7">
        <v>1223</v>
      </c>
      <c r="E60" s="36" t="s">
        <v>4075</v>
      </c>
    </row>
    <row r="61" spans="4:7">
      <c r="D61" s="7">
        <v>-604742</v>
      </c>
      <c r="E61" s="36" t="s">
        <v>4076</v>
      </c>
    </row>
    <row r="62" spans="4:7">
      <c r="D62" s="7">
        <v>3405686</v>
      </c>
      <c r="E62" s="36" t="s">
        <v>4077</v>
      </c>
    </row>
    <row r="63" spans="4:7">
      <c r="D63" s="7">
        <v>-33237</v>
      </c>
      <c r="E63" s="36" t="s">
        <v>4081</v>
      </c>
    </row>
    <row r="64" spans="4:7">
      <c r="D64" s="7">
        <v>1660000</v>
      </c>
      <c r="E64" s="36" t="s">
        <v>4079</v>
      </c>
    </row>
    <row r="65" spans="4:7">
      <c r="D65" s="7">
        <v>80000</v>
      </c>
      <c r="E65" s="36" t="s">
        <v>4082</v>
      </c>
    </row>
    <row r="66" spans="4:7">
      <c r="D66" s="7">
        <v>3100000</v>
      </c>
      <c r="E66" s="36" t="s">
        <v>4083</v>
      </c>
    </row>
    <row r="67" spans="4:7">
      <c r="D67" s="7">
        <v>-435500</v>
      </c>
      <c r="E67" s="36" t="s">
        <v>4084</v>
      </c>
    </row>
    <row r="68" spans="4:7">
      <c r="D68" s="7">
        <v>-700000</v>
      </c>
      <c r="E68" s="36" t="s">
        <v>4085</v>
      </c>
    </row>
    <row r="69" spans="4:7">
      <c r="D69" s="7">
        <v>5000000</v>
      </c>
      <c r="E69" s="36" t="s">
        <v>4087</v>
      </c>
    </row>
    <row r="70" spans="4:7">
      <c r="D70" s="7">
        <v>99000</v>
      </c>
      <c r="E70" s="36" t="s">
        <v>4088</v>
      </c>
    </row>
    <row r="71" spans="4:7">
      <c r="D71" s="7">
        <v>-403089</v>
      </c>
      <c r="E71" s="36" t="s">
        <v>4099</v>
      </c>
    </row>
    <row r="72" spans="4:7">
      <c r="D72" s="7">
        <v>-119170</v>
      </c>
      <c r="E72" s="36" t="s">
        <v>4100</v>
      </c>
    </row>
    <row r="73" spans="4:7">
      <c r="D73" s="7">
        <v>-3000000</v>
      </c>
      <c r="E73" s="36" t="s">
        <v>4102</v>
      </c>
    </row>
    <row r="74" spans="4:7">
      <c r="D74" s="7">
        <v>73355</v>
      </c>
      <c r="E74" s="36" t="s">
        <v>4103</v>
      </c>
    </row>
    <row r="75" spans="4:7">
      <c r="D75" s="7">
        <v>-45640000</v>
      </c>
      <c r="E75" s="36" t="s">
        <v>4104</v>
      </c>
    </row>
    <row r="76" spans="4:7">
      <c r="D76" s="7">
        <v>5000</v>
      </c>
      <c r="E76" s="36" t="s">
        <v>4109</v>
      </c>
    </row>
    <row r="77" spans="4:7">
      <c r="D77" s="7">
        <v>1405883</v>
      </c>
      <c r="E77" s="36" t="s">
        <v>4111</v>
      </c>
      <c r="G77" t="s">
        <v>25</v>
      </c>
    </row>
    <row r="78" spans="4:7">
      <c r="D78" s="7">
        <v>938574</v>
      </c>
      <c r="E78" s="36" t="s">
        <v>4112</v>
      </c>
    </row>
    <row r="79" spans="4:7">
      <c r="D79" s="7">
        <v>-420825</v>
      </c>
      <c r="E79" s="36" t="s">
        <v>4113</v>
      </c>
    </row>
    <row r="80" spans="4:7">
      <c r="D80" s="7">
        <v>-160000</v>
      </c>
      <c r="E80" s="36" t="s">
        <v>4114</v>
      </c>
    </row>
    <row r="81" spans="4:5">
      <c r="D81" s="7">
        <v>2260000</v>
      </c>
      <c r="E81" s="36" t="s">
        <v>4116</v>
      </c>
    </row>
    <row r="82" spans="4:5">
      <c r="D82" s="7">
        <v>-150000</v>
      </c>
      <c r="E82" s="36" t="s">
        <v>4120</v>
      </c>
    </row>
    <row r="83" spans="4:5">
      <c r="D83" s="7">
        <v>-150000</v>
      </c>
      <c r="E83" s="36" t="s">
        <v>4121</v>
      </c>
    </row>
    <row r="84" spans="4:5">
      <c r="D84" s="7">
        <v>-150000</v>
      </c>
      <c r="E84" s="36" t="s">
        <v>1179</v>
      </c>
    </row>
    <row r="85" spans="4:5">
      <c r="D85" s="7">
        <v>43500</v>
      </c>
      <c r="E85" s="36" t="s">
        <v>4124</v>
      </c>
    </row>
    <row r="86" spans="4:5">
      <c r="D86" s="7"/>
      <c r="E86" s="36" t="s">
        <v>25</v>
      </c>
    </row>
    <row r="87" spans="4:5">
      <c r="D87" s="7"/>
    </row>
    <row r="88" spans="4:5">
      <c r="D88" s="7">
        <f>SUM(D35:D87)</f>
        <v>-46434117</v>
      </c>
      <c r="E88" t="s">
        <v>6</v>
      </c>
    </row>
    <row r="89" spans="4:5">
      <c r="D89" s="7"/>
      <c r="E89" s="36"/>
    </row>
    <row r="91" spans="4:5">
      <c r="E91" t="s">
        <v>25</v>
      </c>
    </row>
    <row r="92" spans="4:5">
      <c r="E92" t="s">
        <v>25</v>
      </c>
    </row>
    <row r="94" spans="4:5">
      <c r="E94" t="s">
        <v>25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4119</v>
      </c>
      <c r="B2" s="3">
        <f>شهریور97!B29</f>
        <v>46177</v>
      </c>
      <c r="C2" s="1">
        <f>شهریور97!C29</f>
        <v>7906317</v>
      </c>
      <c r="D2" s="3">
        <f>B2-C2</f>
        <v>-7860140</v>
      </c>
      <c r="E2" s="2" t="s">
        <v>59</v>
      </c>
      <c r="F2">
        <v>30</v>
      </c>
      <c r="G2">
        <f>B2*F2</f>
        <v>1385310</v>
      </c>
      <c r="H2">
        <f>C2*F2</f>
        <v>237189510</v>
      </c>
      <c r="I2">
        <f>D2*F2</f>
        <v>-235804200</v>
      </c>
    </row>
    <row r="3" spans="1:17">
      <c r="A3" s="20" t="s">
        <v>4125</v>
      </c>
      <c r="B3" s="18">
        <v>830000</v>
      </c>
      <c r="C3" s="18">
        <v>0</v>
      </c>
      <c r="D3" s="37">
        <f t="shared" ref="D3:D26" si="0">B3-C3</f>
        <v>830000</v>
      </c>
      <c r="E3" s="20" t="s">
        <v>4127</v>
      </c>
      <c r="F3">
        <v>30</v>
      </c>
      <c r="G3">
        <f t="shared" ref="G3:G25" si="1">B3*F3</f>
        <v>24900000</v>
      </c>
      <c r="H3">
        <f t="shared" ref="H3:H25" si="2">C3*F3</f>
        <v>0</v>
      </c>
      <c r="I3">
        <f t="shared" ref="I3:I25" si="3">D3*F3</f>
        <v>24900000</v>
      </c>
    </row>
    <row r="4" spans="1:17">
      <c r="A4" s="20" t="s">
        <v>4138</v>
      </c>
      <c r="B4" s="18">
        <v>-52440</v>
      </c>
      <c r="C4" s="18">
        <v>0</v>
      </c>
      <c r="D4" s="3">
        <f t="shared" si="0"/>
        <v>-52440</v>
      </c>
      <c r="E4" s="11" t="s">
        <v>4140</v>
      </c>
      <c r="F4">
        <v>28</v>
      </c>
      <c r="G4">
        <f t="shared" si="1"/>
        <v>-1468320</v>
      </c>
      <c r="H4">
        <f t="shared" si="2"/>
        <v>0</v>
      </c>
      <c r="I4">
        <f t="shared" si="3"/>
        <v>-1468320</v>
      </c>
    </row>
    <row r="5" spans="1:17">
      <c r="A5" s="27" t="s">
        <v>4141</v>
      </c>
      <c r="B5" s="18">
        <v>-51100</v>
      </c>
      <c r="C5" s="18">
        <v>0</v>
      </c>
      <c r="D5" s="3">
        <f t="shared" si="0"/>
        <v>-51100</v>
      </c>
      <c r="E5" s="20" t="s">
        <v>433</v>
      </c>
      <c r="F5">
        <v>27</v>
      </c>
      <c r="G5">
        <f t="shared" si="1"/>
        <v>-1379700</v>
      </c>
      <c r="H5">
        <f t="shared" si="2"/>
        <v>0</v>
      </c>
      <c r="I5">
        <f t="shared" si="3"/>
        <v>-1379700</v>
      </c>
      <c r="O5">
        <v>1</v>
      </c>
      <c r="P5">
        <v>29</v>
      </c>
      <c r="Q5">
        <v>30</v>
      </c>
    </row>
    <row r="6" spans="1:17">
      <c r="A6" s="17" t="s">
        <v>4142</v>
      </c>
      <c r="B6" s="18">
        <v>-200000</v>
      </c>
      <c r="C6" s="18">
        <v>0</v>
      </c>
      <c r="D6" s="3">
        <f t="shared" si="0"/>
        <v>-200000</v>
      </c>
      <c r="E6" s="19" t="s">
        <v>4143</v>
      </c>
      <c r="F6">
        <v>26</v>
      </c>
      <c r="G6">
        <f t="shared" si="1"/>
        <v>-5200000</v>
      </c>
      <c r="H6">
        <f t="shared" si="2"/>
        <v>0</v>
      </c>
      <c r="I6">
        <f t="shared" si="3"/>
        <v>-5200000</v>
      </c>
      <c r="O6">
        <v>2</v>
      </c>
      <c r="P6">
        <v>28</v>
      </c>
      <c r="Q6">
        <v>29</v>
      </c>
    </row>
    <row r="7" spans="1:17">
      <c r="A7" s="17" t="s">
        <v>4144</v>
      </c>
      <c r="B7" s="18">
        <v>-28000</v>
      </c>
      <c r="C7" s="18">
        <v>0</v>
      </c>
      <c r="D7" s="3">
        <f t="shared" si="0"/>
        <v>-28000</v>
      </c>
      <c r="E7" s="19" t="s">
        <v>1002</v>
      </c>
      <c r="F7">
        <v>25</v>
      </c>
      <c r="G7">
        <f t="shared" si="1"/>
        <v>-700000</v>
      </c>
      <c r="H7">
        <f t="shared" si="2"/>
        <v>0</v>
      </c>
      <c r="I7">
        <f t="shared" si="3"/>
        <v>-700000</v>
      </c>
      <c r="O7">
        <v>3</v>
      </c>
      <c r="P7">
        <v>27</v>
      </c>
      <c r="Q7">
        <v>28</v>
      </c>
    </row>
    <row r="8" spans="1:17">
      <c r="A8" s="17" t="s">
        <v>4145</v>
      </c>
      <c r="B8" s="18">
        <v>-59100</v>
      </c>
      <c r="C8" s="18">
        <v>0</v>
      </c>
      <c r="D8" s="3">
        <f t="shared" si="0"/>
        <v>-59100</v>
      </c>
      <c r="E8" s="19" t="s">
        <v>433</v>
      </c>
      <c r="F8">
        <v>24</v>
      </c>
      <c r="G8">
        <f t="shared" si="1"/>
        <v>-1418400</v>
      </c>
      <c r="H8">
        <f t="shared" si="2"/>
        <v>0</v>
      </c>
      <c r="I8">
        <f t="shared" si="3"/>
        <v>-1418400</v>
      </c>
      <c r="O8">
        <v>4</v>
      </c>
      <c r="P8">
        <v>26</v>
      </c>
      <c r="Q8">
        <v>27</v>
      </c>
    </row>
    <row r="9" spans="1:17">
      <c r="A9" s="17" t="s">
        <v>4145</v>
      </c>
      <c r="B9" s="18">
        <v>-30000</v>
      </c>
      <c r="C9" s="18">
        <v>0</v>
      </c>
      <c r="D9" s="3">
        <f t="shared" si="0"/>
        <v>-30000</v>
      </c>
      <c r="E9" s="21" t="s">
        <v>4146</v>
      </c>
      <c r="F9">
        <v>24</v>
      </c>
      <c r="G9">
        <f t="shared" si="1"/>
        <v>-720000</v>
      </c>
      <c r="H9">
        <f t="shared" si="2"/>
        <v>0</v>
      </c>
      <c r="I9">
        <f t="shared" si="3"/>
        <v>-720000</v>
      </c>
      <c r="O9">
        <v>5</v>
      </c>
      <c r="P9">
        <v>25</v>
      </c>
      <c r="Q9">
        <v>26</v>
      </c>
    </row>
    <row r="10" spans="1:17">
      <c r="A10" s="17" t="s">
        <v>4029</v>
      </c>
      <c r="B10" s="18">
        <v>-178000</v>
      </c>
      <c r="C10" s="18">
        <v>0</v>
      </c>
      <c r="D10" s="3">
        <f t="shared" si="0"/>
        <v>-178000</v>
      </c>
      <c r="E10" s="19" t="s">
        <v>4149</v>
      </c>
      <c r="F10">
        <v>24</v>
      </c>
      <c r="G10">
        <f t="shared" si="1"/>
        <v>-4272000</v>
      </c>
      <c r="H10">
        <f t="shared" si="2"/>
        <v>0</v>
      </c>
      <c r="I10">
        <f t="shared" si="3"/>
        <v>-4272000</v>
      </c>
      <c r="O10">
        <v>6</v>
      </c>
      <c r="P10">
        <v>24</v>
      </c>
      <c r="Q10">
        <v>25</v>
      </c>
    </row>
    <row r="11" spans="1:17">
      <c r="A11" s="17" t="s">
        <v>4150</v>
      </c>
      <c r="B11" s="18">
        <v>-95610</v>
      </c>
      <c r="C11" s="18">
        <v>0</v>
      </c>
      <c r="D11" s="3">
        <f t="shared" si="0"/>
        <v>-95610</v>
      </c>
      <c r="E11" s="19" t="s">
        <v>433</v>
      </c>
      <c r="F11">
        <v>23</v>
      </c>
      <c r="G11">
        <f t="shared" si="1"/>
        <v>-2199030</v>
      </c>
      <c r="H11">
        <f t="shared" si="2"/>
        <v>0</v>
      </c>
      <c r="I11">
        <f t="shared" si="3"/>
        <v>-2199030</v>
      </c>
      <c r="O11">
        <v>7</v>
      </c>
      <c r="P11">
        <v>23</v>
      </c>
      <c r="Q11">
        <v>24</v>
      </c>
    </row>
    <row r="12" spans="1:17">
      <c r="A12" s="20" t="s">
        <v>4118</v>
      </c>
      <c r="B12" s="18">
        <v>-84000</v>
      </c>
      <c r="C12" s="18">
        <v>0</v>
      </c>
      <c r="D12" s="3">
        <f t="shared" si="0"/>
        <v>-84000</v>
      </c>
      <c r="E12" s="20" t="s">
        <v>433</v>
      </c>
      <c r="F12">
        <v>20</v>
      </c>
      <c r="G12">
        <f t="shared" si="1"/>
        <v>-1680000</v>
      </c>
      <c r="H12">
        <f t="shared" si="2"/>
        <v>0</v>
      </c>
      <c r="I12">
        <f t="shared" si="3"/>
        <v>-1680000</v>
      </c>
      <c r="O12">
        <v>8</v>
      </c>
      <c r="P12">
        <v>22</v>
      </c>
      <c r="Q12">
        <v>23</v>
      </c>
    </row>
    <row r="13" spans="1:17">
      <c r="A13" s="20" t="s">
        <v>4154</v>
      </c>
      <c r="B13" s="18">
        <v>-33000</v>
      </c>
      <c r="C13" s="18">
        <v>0</v>
      </c>
      <c r="D13" s="3">
        <f t="shared" si="0"/>
        <v>-33000</v>
      </c>
      <c r="E13" s="20" t="s">
        <v>433</v>
      </c>
      <c r="F13">
        <v>18</v>
      </c>
      <c r="G13">
        <f>B13*F13</f>
        <v>-594000</v>
      </c>
      <c r="H13">
        <f t="shared" si="2"/>
        <v>0</v>
      </c>
      <c r="I13">
        <f t="shared" si="3"/>
        <v>-594000</v>
      </c>
      <c r="O13">
        <v>9</v>
      </c>
      <c r="P13">
        <v>21</v>
      </c>
      <c r="Q13">
        <v>22</v>
      </c>
    </row>
    <row r="14" spans="1:17">
      <c r="A14" s="20" t="s">
        <v>4159</v>
      </c>
      <c r="B14" s="18">
        <v>1548000</v>
      </c>
      <c r="C14" s="18">
        <v>0</v>
      </c>
      <c r="D14" s="3">
        <f t="shared" si="0"/>
        <v>1548000</v>
      </c>
      <c r="E14" s="20" t="s">
        <v>4195</v>
      </c>
      <c r="F14">
        <v>14</v>
      </c>
      <c r="G14">
        <f t="shared" si="1"/>
        <v>21672000</v>
      </c>
      <c r="H14">
        <f t="shared" si="2"/>
        <v>0</v>
      </c>
      <c r="I14">
        <f t="shared" si="3"/>
        <v>21672000</v>
      </c>
      <c r="O14">
        <v>10</v>
      </c>
      <c r="P14">
        <v>20</v>
      </c>
      <c r="Q14">
        <v>21</v>
      </c>
    </row>
    <row r="15" spans="1:17">
      <c r="A15" s="20" t="s">
        <v>4190</v>
      </c>
      <c r="B15" s="18">
        <v>-1410700</v>
      </c>
      <c r="C15" s="18">
        <v>0</v>
      </c>
      <c r="D15" s="37">
        <f t="shared" si="0"/>
        <v>-1410700</v>
      </c>
      <c r="E15" s="20" t="s">
        <v>433</v>
      </c>
      <c r="F15">
        <v>14</v>
      </c>
      <c r="G15">
        <f t="shared" si="1"/>
        <v>-19749800</v>
      </c>
      <c r="H15">
        <f t="shared" si="2"/>
        <v>0</v>
      </c>
      <c r="I15">
        <f t="shared" si="3"/>
        <v>-19749800</v>
      </c>
      <c r="O15">
        <v>11</v>
      </c>
      <c r="P15">
        <v>19</v>
      </c>
      <c r="Q15">
        <v>20</v>
      </c>
    </row>
    <row r="16" spans="1:17">
      <c r="A16" s="20" t="s">
        <v>4196</v>
      </c>
      <c r="B16" s="18">
        <v>-5000</v>
      </c>
      <c r="C16" s="18">
        <v>-2500</v>
      </c>
      <c r="D16" s="3">
        <f t="shared" si="0"/>
        <v>-2500</v>
      </c>
      <c r="E16" s="20" t="s">
        <v>4197</v>
      </c>
      <c r="F16">
        <v>16</v>
      </c>
      <c r="G16">
        <f t="shared" si="1"/>
        <v>-80000</v>
      </c>
      <c r="H16">
        <f t="shared" si="2"/>
        <v>-40000</v>
      </c>
      <c r="I16">
        <f t="shared" si="3"/>
        <v>-40000</v>
      </c>
      <c r="O16">
        <v>12</v>
      </c>
      <c r="P16">
        <v>18</v>
      </c>
      <c r="Q16">
        <v>19</v>
      </c>
    </row>
    <row r="17" spans="1:17">
      <c r="A17" s="20" t="s">
        <v>4207</v>
      </c>
      <c r="B17" s="18">
        <v>-190000</v>
      </c>
      <c r="C17" s="18">
        <v>0</v>
      </c>
      <c r="D17" s="3">
        <f t="shared" si="0"/>
        <v>-190000</v>
      </c>
      <c r="E17" s="20" t="s">
        <v>4208</v>
      </c>
      <c r="F17">
        <v>8</v>
      </c>
      <c r="G17">
        <f t="shared" si="1"/>
        <v>-1520000</v>
      </c>
      <c r="H17">
        <f t="shared" si="2"/>
        <v>0</v>
      </c>
      <c r="I17">
        <f t="shared" si="3"/>
        <v>-1520000</v>
      </c>
      <c r="O17">
        <v>13</v>
      </c>
      <c r="P17">
        <v>17</v>
      </c>
      <c r="Q17">
        <v>18</v>
      </c>
    </row>
    <row r="18" spans="1:17">
      <c r="A18" s="20" t="s">
        <v>4234</v>
      </c>
      <c r="B18" s="18">
        <v>1911</v>
      </c>
      <c r="C18" s="18">
        <v>64972</v>
      </c>
      <c r="D18" s="3">
        <f t="shared" si="0"/>
        <v>-63061</v>
      </c>
      <c r="E18" s="20" t="s">
        <v>707</v>
      </c>
      <c r="F18">
        <v>0</v>
      </c>
      <c r="G18">
        <f t="shared" si="1"/>
        <v>0</v>
      </c>
      <c r="H18">
        <f t="shared" si="2"/>
        <v>0</v>
      </c>
      <c r="I18">
        <f t="shared" si="3"/>
        <v>0</v>
      </c>
      <c r="O18">
        <v>14</v>
      </c>
      <c r="P18">
        <v>16</v>
      </c>
      <c r="Q18">
        <v>17</v>
      </c>
    </row>
    <row r="19" spans="1:17">
      <c r="A19" s="20" t="s">
        <v>4086</v>
      </c>
      <c r="B19" s="18"/>
      <c r="C19" s="18">
        <v>0</v>
      </c>
      <c r="D19" s="3">
        <f t="shared" si="0"/>
        <v>0</v>
      </c>
      <c r="E19" s="20"/>
      <c r="F19">
        <v>10</v>
      </c>
      <c r="G19">
        <f t="shared" si="1"/>
        <v>0</v>
      </c>
      <c r="H19">
        <f t="shared" si="2"/>
        <v>0</v>
      </c>
      <c r="I19">
        <f t="shared" si="3"/>
        <v>0</v>
      </c>
      <c r="O19">
        <v>15</v>
      </c>
      <c r="P19">
        <v>15</v>
      </c>
      <c r="Q19">
        <v>16</v>
      </c>
    </row>
    <row r="20" spans="1:17">
      <c r="A20" s="19" t="s">
        <v>4086</v>
      </c>
      <c r="B20" s="18"/>
      <c r="C20" s="18">
        <v>0</v>
      </c>
      <c r="D20" s="3">
        <f t="shared" si="0"/>
        <v>0</v>
      </c>
      <c r="E20" s="19"/>
      <c r="F20">
        <v>10</v>
      </c>
      <c r="G20">
        <f t="shared" si="1"/>
        <v>0</v>
      </c>
      <c r="H20">
        <f t="shared" si="2"/>
        <v>0</v>
      </c>
      <c r="I20">
        <f t="shared" si="3"/>
        <v>0</v>
      </c>
      <c r="O20">
        <v>16</v>
      </c>
      <c r="P20">
        <v>14</v>
      </c>
      <c r="Q20">
        <v>15</v>
      </c>
    </row>
    <row r="21" spans="1:17">
      <c r="A21" s="19" t="s">
        <v>4089</v>
      </c>
      <c r="B21" s="18"/>
      <c r="C21" s="18">
        <v>0</v>
      </c>
      <c r="D21" s="3">
        <f t="shared" si="0"/>
        <v>0</v>
      </c>
      <c r="E21" s="19"/>
      <c r="F21">
        <v>10</v>
      </c>
      <c r="G21">
        <f t="shared" si="1"/>
        <v>0</v>
      </c>
      <c r="H21">
        <f t="shared" si="2"/>
        <v>0</v>
      </c>
      <c r="I21">
        <f t="shared" si="3"/>
        <v>0</v>
      </c>
      <c r="O21">
        <v>17</v>
      </c>
      <c r="P21">
        <v>13</v>
      </c>
      <c r="Q21">
        <v>14</v>
      </c>
    </row>
    <row r="22" spans="1:17">
      <c r="A22" s="19" t="s">
        <v>4089</v>
      </c>
      <c r="B22" s="18"/>
      <c r="C22" s="18">
        <v>0</v>
      </c>
      <c r="D22" s="3">
        <f t="shared" si="0"/>
        <v>0</v>
      </c>
      <c r="E22" s="19"/>
      <c r="F22">
        <v>10</v>
      </c>
      <c r="G22">
        <f t="shared" si="1"/>
        <v>0</v>
      </c>
      <c r="H22">
        <f t="shared" si="2"/>
        <v>0</v>
      </c>
      <c r="I22">
        <f t="shared" si="3"/>
        <v>0</v>
      </c>
      <c r="O22">
        <v>18</v>
      </c>
      <c r="P22">
        <v>12</v>
      </c>
      <c r="Q22">
        <v>13</v>
      </c>
    </row>
    <row r="23" spans="1:17">
      <c r="A23" s="19" t="s">
        <v>4105</v>
      </c>
      <c r="B23" s="18"/>
      <c r="C23" s="18">
        <v>0</v>
      </c>
      <c r="D23" s="3">
        <f t="shared" si="0"/>
        <v>0</v>
      </c>
      <c r="E23" s="19"/>
      <c r="F23">
        <v>6</v>
      </c>
      <c r="G23">
        <f t="shared" si="1"/>
        <v>0</v>
      </c>
      <c r="H23">
        <f t="shared" si="2"/>
        <v>0</v>
      </c>
      <c r="I23">
        <f t="shared" si="3"/>
        <v>0</v>
      </c>
      <c r="O23">
        <v>19</v>
      </c>
      <c r="P23">
        <v>11</v>
      </c>
      <c r="Q23">
        <v>12</v>
      </c>
    </row>
    <row r="24" spans="1:17">
      <c r="A24" s="19" t="s">
        <v>4105</v>
      </c>
      <c r="B24" s="18"/>
      <c r="C24" s="18">
        <v>0</v>
      </c>
      <c r="D24" s="3">
        <f t="shared" si="0"/>
        <v>0</v>
      </c>
      <c r="E24" s="19"/>
      <c r="F24">
        <v>6</v>
      </c>
      <c r="G24">
        <f t="shared" si="1"/>
        <v>0</v>
      </c>
      <c r="H24">
        <f t="shared" si="2"/>
        <v>0</v>
      </c>
      <c r="I24">
        <f t="shared" si="3"/>
        <v>0</v>
      </c>
      <c r="O24">
        <v>20</v>
      </c>
      <c r="P24">
        <v>10</v>
      </c>
      <c r="Q24">
        <v>11</v>
      </c>
    </row>
    <row r="25" spans="1:17">
      <c r="A25" s="19" t="s">
        <v>4110</v>
      </c>
      <c r="B25" s="18"/>
      <c r="C25" s="18">
        <v>0</v>
      </c>
      <c r="D25" s="3">
        <f t="shared" si="0"/>
        <v>0</v>
      </c>
      <c r="E25" s="19"/>
      <c r="F25">
        <v>6</v>
      </c>
      <c r="G25">
        <f t="shared" si="1"/>
        <v>0</v>
      </c>
      <c r="H25">
        <f t="shared" si="2"/>
        <v>0</v>
      </c>
      <c r="I25">
        <f t="shared" si="3"/>
        <v>0</v>
      </c>
      <c r="O25">
        <v>21</v>
      </c>
      <c r="P25">
        <v>9</v>
      </c>
      <c r="Q25">
        <v>10</v>
      </c>
    </row>
    <row r="26" spans="1:17">
      <c r="A26" s="2" t="s">
        <v>4122</v>
      </c>
      <c r="B26" s="2"/>
      <c r="C26" s="2">
        <v>0</v>
      </c>
      <c r="D26" s="2">
        <f t="shared" si="0"/>
        <v>0</v>
      </c>
      <c r="E26" s="2"/>
      <c r="G26">
        <f>B26*F26</f>
        <v>0</v>
      </c>
      <c r="H26">
        <f>C26*F26</f>
        <v>0</v>
      </c>
      <c r="I26">
        <f>D26*F26</f>
        <v>0</v>
      </c>
      <c r="O26">
        <v>22</v>
      </c>
      <c r="P26">
        <v>8</v>
      </c>
      <c r="Q26">
        <v>9</v>
      </c>
    </row>
    <row r="27" spans="1:17">
      <c r="A27" s="2" t="s">
        <v>6</v>
      </c>
      <c r="B27" s="3">
        <f>SUM(B2:B26)</f>
        <v>9138</v>
      </c>
      <c r="C27" s="3">
        <f>SUM(C2:C26)</f>
        <v>7968789</v>
      </c>
      <c r="D27" s="3">
        <f>SUM(D2:D26)</f>
        <v>-7959651</v>
      </c>
      <c r="E27" s="2"/>
      <c r="O27">
        <v>23</v>
      </c>
      <c r="P27">
        <v>7</v>
      </c>
      <c r="Q27">
        <v>8</v>
      </c>
    </row>
    <row r="28" spans="1:17">
      <c r="G28" s="18">
        <f>SUM(G2:G26)</f>
        <v>6976060</v>
      </c>
      <c r="H28" s="18">
        <f>SUM(H2:H26)</f>
        <v>237149510</v>
      </c>
      <c r="I28" s="18">
        <f>SUM(I2:I26)</f>
        <v>-230173450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25">
        <v>-46434117</v>
      </c>
      <c r="E33" s="36" t="s">
        <v>95</v>
      </c>
      <c r="G33" s="18">
        <f>10*G28/36500</f>
        <v>1911.2493150684932</v>
      </c>
      <c r="H33" s="18">
        <f>G33*H28/G28</f>
        <v>64972.468493150693</v>
      </c>
      <c r="I33" s="18">
        <f>G33*I28/G28</f>
        <v>-63061.219178082196</v>
      </c>
      <c r="O33">
        <v>29</v>
      </c>
      <c r="P33">
        <v>1</v>
      </c>
      <c r="Q33">
        <v>2</v>
      </c>
    </row>
    <row r="34" spans="2:17">
      <c r="D34" s="25">
        <v>-110000</v>
      </c>
      <c r="E34" s="45" t="s">
        <v>4128</v>
      </c>
      <c r="G34" s="9" t="s">
        <v>1000</v>
      </c>
      <c r="H34" s="9" t="s">
        <v>38</v>
      </c>
      <c r="I34" s="9" t="s">
        <v>39</v>
      </c>
      <c r="O34">
        <v>30</v>
      </c>
      <c r="P34">
        <v>0</v>
      </c>
      <c r="Q34">
        <v>1</v>
      </c>
    </row>
    <row r="35" spans="2:17">
      <c r="B35" s="7"/>
      <c r="D35" s="7">
        <v>-840000</v>
      </c>
      <c r="E35" s="36" t="s">
        <v>4129</v>
      </c>
      <c r="P35" t="s">
        <v>60</v>
      </c>
      <c r="Q35" t="s">
        <v>61</v>
      </c>
    </row>
    <row r="36" spans="2:17">
      <c r="D36" s="7">
        <v>-540000</v>
      </c>
      <c r="E36" s="36" t="s">
        <v>4130</v>
      </c>
    </row>
    <row r="37" spans="2:17">
      <c r="D37" s="7">
        <v>-196956</v>
      </c>
      <c r="E37" s="36" t="s">
        <v>4131</v>
      </c>
    </row>
    <row r="38" spans="2:17">
      <c r="D38" s="7">
        <v>-150000</v>
      </c>
      <c r="E38" s="36" t="s">
        <v>4133</v>
      </c>
    </row>
    <row r="39" spans="2:17">
      <c r="D39" s="7">
        <v>1392908</v>
      </c>
      <c r="E39" s="36" t="s">
        <v>4134</v>
      </c>
    </row>
    <row r="40" spans="2:17">
      <c r="D40" s="7">
        <v>-3600000</v>
      </c>
      <c r="E40" s="36" t="s">
        <v>4139</v>
      </c>
    </row>
    <row r="41" spans="2:17">
      <c r="D41" s="7">
        <v>52440</v>
      </c>
      <c r="E41" s="36" t="s">
        <v>3998</v>
      </c>
    </row>
    <row r="42" spans="2:17">
      <c r="D42" s="7">
        <v>51100</v>
      </c>
      <c r="E42" s="36" t="s">
        <v>3737</v>
      </c>
    </row>
    <row r="43" spans="2:17">
      <c r="D43" s="7">
        <v>117000</v>
      </c>
      <c r="E43" s="36" t="s">
        <v>3998</v>
      </c>
    </row>
    <row r="44" spans="2:17">
      <c r="D44" s="7">
        <v>93000</v>
      </c>
      <c r="E44" s="36" t="s">
        <v>4147</v>
      </c>
    </row>
    <row r="45" spans="2:17">
      <c r="D45" s="7">
        <v>178000</v>
      </c>
      <c r="E45" s="36" t="s">
        <v>4149</v>
      </c>
    </row>
    <row r="46" spans="2:17">
      <c r="D46" s="7">
        <v>45610</v>
      </c>
      <c r="E46" s="36" t="s">
        <v>4151</v>
      </c>
    </row>
    <row r="47" spans="2:17">
      <c r="D47" s="7">
        <v>84000</v>
      </c>
      <c r="E47" s="36" t="s">
        <v>4153</v>
      </c>
      <c r="F47" s="7" t="s">
        <v>25</v>
      </c>
      <c r="G47" s="36" t="s">
        <v>25</v>
      </c>
    </row>
    <row r="48" spans="2:17">
      <c r="D48" s="7">
        <v>33000</v>
      </c>
      <c r="E48" s="36" t="s">
        <v>4153</v>
      </c>
      <c r="F48" s="7"/>
      <c r="G48" s="36"/>
    </row>
    <row r="49" spans="4:8">
      <c r="D49" s="7">
        <v>-64000</v>
      </c>
      <c r="E49" s="36" t="s">
        <v>4155</v>
      </c>
      <c r="F49" s="7"/>
      <c r="G49" s="36"/>
    </row>
    <row r="50" spans="4:8">
      <c r="D50" s="7">
        <v>-50000</v>
      </c>
      <c r="E50" s="36" t="s">
        <v>4157</v>
      </c>
      <c r="F50" s="7"/>
      <c r="G50" s="36"/>
    </row>
    <row r="51" spans="4:8">
      <c r="D51" s="7">
        <v>67000</v>
      </c>
      <c r="E51" s="36" t="s">
        <v>4160</v>
      </c>
    </row>
    <row r="52" spans="4:8">
      <c r="D52" s="7">
        <v>500000</v>
      </c>
      <c r="E52" s="36" t="s">
        <v>4188</v>
      </c>
    </row>
    <row r="53" spans="4:8">
      <c r="D53" s="7">
        <v>-89370</v>
      </c>
      <c r="E53" s="36" t="s">
        <v>4193</v>
      </c>
    </row>
    <row r="54" spans="4:8">
      <c r="D54" s="7">
        <v>-91734</v>
      </c>
      <c r="E54" s="36" t="s">
        <v>4194</v>
      </c>
    </row>
    <row r="55" spans="4:8">
      <c r="D55" s="7">
        <v>-3541</v>
      </c>
      <c r="E55" s="36" t="s">
        <v>4205</v>
      </c>
    </row>
    <row r="56" spans="4:8">
      <c r="D56" s="7">
        <v>-124000</v>
      </c>
      <c r="E56" s="36" t="s">
        <v>4206</v>
      </c>
    </row>
    <row r="57" spans="4:8">
      <c r="D57" s="7">
        <v>793000</v>
      </c>
      <c r="E57" s="36" t="s">
        <v>4210</v>
      </c>
    </row>
    <row r="58" spans="4:8">
      <c r="D58" s="7">
        <v>-150000</v>
      </c>
      <c r="E58" s="36" t="s">
        <v>4211</v>
      </c>
    </row>
    <row r="59" spans="4:8">
      <c r="D59" s="7">
        <v>-164000</v>
      </c>
      <c r="E59" s="36" t="s">
        <v>4212</v>
      </c>
    </row>
    <row r="60" spans="4:8">
      <c r="D60" s="7">
        <v>2574</v>
      </c>
      <c r="E60" s="36" t="s">
        <v>4213</v>
      </c>
    </row>
    <row r="61" spans="4:8">
      <c r="D61" s="7">
        <v>-85000</v>
      </c>
      <c r="E61" s="36" t="s">
        <v>4214</v>
      </c>
    </row>
    <row r="62" spans="4:8">
      <c r="D62" s="7">
        <v>-18500</v>
      </c>
      <c r="E62" s="36" t="s">
        <v>4215</v>
      </c>
    </row>
    <row r="63" spans="4:8">
      <c r="D63" s="7">
        <v>25000</v>
      </c>
      <c r="E63" s="36" t="s">
        <v>4216</v>
      </c>
    </row>
    <row r="64" spans="4:8">
      <c r="D64" s="7">
        <v>170000</v>
      </c>
      <c r="E64" s="36" t="s">
        <v>4218</v>
      </c>
      <c r="H64" t="s">
        <v>25</v>
      </c>
    </row>
    <row r="65" spans="4:7">
      <c r="D65" s="7">
        <v>-45000</v>
      </c>
      <c r="E65" s="36" t="s">
        <v>4219</v>
      </c>
    </row>
    <row r="66" spans="4:7">
      <c r="D66" s="7">
        <v>-89000</v>
      </c>
      <c r="E66" s="36" t="s">
        <v>4220</v>
      </c>
    </row>
    <row r="67" spans="4:7">
      <c r="D67" s="7">
        <v>300000</v>
      </c>
      <c r="E67" s="36" t="s">
        <v>4230</v>
      </c>
    </row>
    <row r="68" spans="4:7">
      <c r="D68" s="7">
        <v>-1690740</v>
      </c>
      <c r="E68" s="36" t="s">
        <v>4232</v>
      </c>
    </row>
    <row r="69" spans="4:7">
      <c r="D69" s="7">
        <v>-226000</v>
      </c>
      <c r="E69" s="36" t="s">
        <v>4233</v>
      </c>
    </row>
    <row r="70" spans="4:7" ht="45">
      <c r="D70" s="7">
        <v>505000</v>
      </c>
      <c r="E70" s="45" t="s">
        <v>4235</v>
      </c>
    </row>
    <row r="71" spans="4:7">
      <c r="D71" s="7"/>
      <c r="E71" s="45" t="s">
        <v>25</v>
      </c>
    </row>
    <row r="72" spans="4:7">
      <c r="D72" s="7"/>
      <c r="E72" s="45" t="s">
        <v>25</v>
      </c>
    </row>
    <row r="73" spans="4:7">
      <c r="D73" s="7">
        <f>SUM(D33:D70)</f>
        <v>-50352326</v>
      </c>
      <c r="E73" t="s">
        <v>6</v>
      </c>
    </row>
    <row r="74" spans="4:7">
      <c r="D74" s="7"/>
      <c r="E74" s="36"/>
    </row>
    <row r="75" spans="4:7">
      <c r="G75" t="s">
        <v>25</v>
      </c>
    </row>
    <row r="76" spans="4:7">
      <c r="E76" t="s">
        <v>25</v>
      </c>
    </row>
    <row r="77" spans="4:7">
      <c r="E77"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4234</v>
      </c>
      <c r="B2" s="3">
        <f>مهر97!B27</f>
        <v>9138</v>
      </c>
      <c r="C2" s="1">
        <f>مهر97!C27</f>
        <v>7968789</v>
      </c>
      <c r="D2" s="3">
        <f>B2-C2</f>
        <v>-7959651</v>
      </c>
      <c r="E2" s="2" t="s">
        <v>59</v>
      </c>
      <c r="F2">
        <v>30</v>
      </c>
      <c r="G2">
        <f>B2*F2</f>
        <v>274140</v>
      </c>
      <c r="H2">
        <f>C2*F2</f>
        <v>239063670</v>
      </c>
      <c r="I2">
        <f>D2*F2</f>
        <v>-238789530</v>
      </c>
    </row>
    <row r="3" spans="1:17">
      <c r="A3" s="20" t="s">
        <v>4251</v>
      </c>
      <c r="B3" s="18">
        <v>5000000</v>
      </c>
      <c r="C3" s="18">
        <v>0</v>
      </c>
      <c r="D3" s="37">
        <f t="shared" ref="D3:D26" si="0">B3-C3</f>
        <v>5000000</v>
      </c>
      <c r="E3" s="20" t="s">
        <v>3853</v>
      </c>
      <c r="F3">
        <v>24</v>
      </c>
      <c r="G3">
        <f t="shared" ref="G3:G25" si="1">B3*F3</f>
        <v>120000000</v>
      </c>
      <c r="H3">
        <f t="shared" ref="H3:H25" si="2">C3*F3</f>
        <v>0</v>
      </c>
      <c r="I3">
        <f t="shared" ref="I3:I25" si="3">D3*F3</f>
        <v>120000000</v>
      </c>
    </row>
    <row r="4" spans="1:17">
      <c r="A4" s="20" t="s">
        <v>4256</v>
      </c>
      <c r="B4" s="18">
        <v>-3200000</v>
      </c>
      <c r="C4" s="18">
        <v>0</v>
      </c>
      <c r="D4" s="3">
        <f t="shared" si="0"/>
        <v>-3200000</v>
      </c>
      <c r="E4" s="11" t="s">
        <v>4264</v>
      </c>
      <c r="F4">
        <v>24</v>
      </c>
      <c r="G4">
        <f t="shared" si="1"/>
        <v>-76800000</v>
      </c>
      <c r="H4">
        <f t="shared" si="2"/>
        <v>0</v>
      </c>
      <c r="I4">
        <f t="shared" si="3"/>
        <v>-76800000</v>
      </c>
    </row>
    <row r="5" spans="1:17">
      <c r="A5" s="27" t="s">
        <v>4256</v>
      </c>
      <c r="B5" s="18">
        <v>2400000</v>
      </c>
      <c r="C5" s="18">
        <v>0</v>
      </c>
      <c r="D5" s="3">
        <f t="shared" si="0"/>
        <v>2400000</v>
      </c>
      <c r="E5" s="20" t="s">
        <v>4266</v>
      </c>
      <c r="F5">
        <v>23</v>
      </c>
      <c r="G5">
        <f t="shared" si="1"/>
        <v>55200000</v>
      </c>
      <c r="H5">
        <f t="shared" si="2"/>
        <v>0</v>
      </c>
      <c r="I5">
        <f t="shared" si="3"/>
        <v>55200000</v>
      </c>
      <c r="O5">
        <v>1</v>
      </c>
      <c r="P5">
        <v>29</v>
      </c>
      <c r="Q5">
        <v>30</v>
      </c>
    </row>
    <row r="6" spans="1:17">
      <c r="A6" s="17" t="s">
        <v>4274</v>
      </c>
      <c r="B6" s="18">
        <v>-2000700</v>
      </c>
      <c r="C6" s="18">
        <v>0</v>
      </c>
      <c r="D6" s="3">
        <f t="shared" si="0"/>
        <v>-2000700</v>
      </c>
      <c r="E6" s="19" t="s">
        <v>4275</v>
      </c>
      <c r="F6">
        <v>21</v>
      </c>
      <c r="G6">
        <f t="shared" si="1"/>
        <v>-42014700</v>
      </c>
      <c r="H6">
        <f t="shared" si="2"/>
        <v>0</v>
      </c>
      <c r="I6">
        <f t="shared" si="3"/>
        <v>-42014700</v>
      </c>
      <c r="O6">
        <v>2</v>
      </c>
      <c r="P6">
        <v>28</v>
      </c>
      <c r="Q6">
        <v>29</v>
      </c>
    </row>
    <row r="7" spans="1:17">
      <c r="A7" s="17" t="s">
        <v>4274</v>
      </c>
      <c r="B7" s="18">
        <v>-200000</v>
      </c>
      <c r="C7" s="18">
        <v>0</v>
      </c>
      <c r="D7" s="3">
        <f t="shared" si="0"/>
        <v>-200000</v>
      </c>
      <c r="E7" s="19" t="s">
        <v>4276</v>
      </c>
      <c r="F7">
        <v>21</v>
      </c>
      <c r="G7">
        <f t="shared" si="1"/>
        <v>-4200000</v>
      </c>
      <c r="H7">
        <f t="shared" si="2"/>
        <v>0</v>
      </c>
      <c r="I7">
        <f t="shared" si="3"/>
        <v>-4200000</v>
      </c>
      <c r="O7">
        <v>3</v>
      </c>
      <c r="P7">
        <v>27</v>
      </c>
      <c r="Q7">
        <v>28</v>
      </c>
    </row>
    <row r="8" spans="1:17">
      <c r="A8" s="17" t="s">
        <v>4274</v>
      </c>
      <c r="B8" s="18">
        <v>-1900000</v>
      </c>
      <c r="C8" s="18">
        <v>0</v>
      </c>
      <c r="D8" s="3">
        <f t="shared" si="0"/>
        <v>-1900000</v>
      </c>
      <c r="E8" s="19" t="s">
        <v>4277</v>
      </c>
      <c r="F8">
        <v>21</v>
      </c>
      <c r="G8">
        <f t="shared" si="1"/>
        <v>-39900000</v>
      </c>
      <c r="H8">
        <f t="shared" si="2"/>
        <v>0</v>
      </c>
      <c r="I8">
        <f t="shared" si="3"/>
        <v>-39900000</v>
      </c>
      <c r="O8">
        <v>4</v>
      </c>
      <c r="P8">
        <v>26</v>
      </c>
      <c r="Q8">
        <v>27</v>
      </c>
    </row>
    <row r="9" spans="1:17">
      <c r="A9" s="17" t="s">
        <v>4280</v>
      </c>
      <c r="B9" s="18">
        <v>-50000</v>
      </c>
      <c r="C9" s="18">
        <v>0</v>
      </c>
      <c r="D9" s="3">
        <f t="shared" si="0"/>
        <v>-50000</v>
      </c>
      <c r="E9" s="21" t="s">
        <v>4281</v>
      </c>
      <c r="F9">
        <v>22</v>
      </c>
      <c r="G9">
        <f t="shared" si="1"/>
        <v>-1100000</v>
      </c>
      <c r="H9">
        <f t="shared" si="2"/>
        <v>0</v>
      </c>
      <c r="I9">
        <f t="shared" si="3"/>
        <v>-1100000</v>
      </c>
      <c r="O9">
        <v>5</v>
      </c>
      <c r="P9">
        <v>25</v>
      </c>
      <c r="Q9">
        <v>26</v>
      </c>
    </row>
    <row r="10" spans="1:17">
      <c r="A10" s="17" t="s">
        <v>4288</v>
      </c>
      <c r="B10" s="18">
        <v>9700000</v>
      </c>
      <c r="C10" s="18">
        <v>0</v>
      </c>
      <c r="D10" s="3">
        <f t="shared" si="0"/>
        <v>9700000</v>
      </c>
      <c r="E10" s="19" t="s">
        <v>3853</v>
      </c>
      <c r="F10">
        <v>16</v>
      </c>
      <c r="G10">
        <f t="shared" si="1"/>
        <v>155200000</v>
      </c>
      <c r="H10">
        <f t="shared" si="2"/>
        <v>0</v>
      </c>
      <c r="I10">
        <f t="shared" si="3"/>
        <v>155200000</v>
      </c>
      <c r="O10">
        <v>6</v>
      </c>
      <c r="P10">
        <v>24</v>
      </c>
      <c r="Q10">
        <v>25</v>
      </c>
    </row>
    <row r="11" spans="1:17">
      <c r="A11" s="17" t="s">
        <v>4288</v>
      </c>
      <c r="B11" s="18">
        <v>-3000900</v>
      </c>
      <c r="C11" s="18">
        <v>0</v>
      </c>
      <c r="D11" s="3">
        <f t="shared" si="0"/>
        <v>-3000900</v>
      </c>
      <c r="E11" s="19" t="s">
        <v>4296</v>
      </c>
      <c r="F11">
        <v>16</v>
      </c>
      <c r="G11">
        <f t="shared" si="1"/>
        <v>-48014400</v>
      </c>
      <c r="H11">
        <f t="shared" si="2"/>
        <v>0</v>
      </c>
      <c r="I11">
        <f t="shared" si="3"/>
        <v>-48014400</v>
      </c>
      <c r="O11">
        <v>7</v>
      </c>
      <c r="P11">
        <v>23</v>
      </c>
      <c r="Q11">
        <v>24</v>
      </c>
    </row>
    <row r="12" spans="1:17">
      <c r="A12" s="20" t="s">
        <v>4289</v>
      </c>
      <c r="B12" s="18">
        <v>-3000900</v>
      </c>
      <c r="C12" s="18">
        <v>0</v>
      </c>
      <c r="D12" s="3">
        <f t="shared" si="0"/>
        <v>-3000900</v>
      </c>
      <c r="E12" s="20" t="s">
        <v>4296</v>
      </c>
      <c r="F12">
        <v>16</v>
      </c>
      <c r="G12">
        <f t="shared" si="1"/>
        <v>-48014400</v>
      </c>
      <c r="H12">
        <f t="shared" si="2"/>
        <v>0</v>
      </c>
      <c r="I12">
        <f t="shared" si="3"/>
        <v>-48014400</v>
      </c>
      <c r="O12">
        <v>8</v>
      </c>
      <c r="P12">
        <v>22</v>
      </c>
      <c r="Q12">
        <v>23</v>
      </c>
    </row>
    <row r="13" spans="1:17">
      <c r="A13" s="20" t="s">
        <v>4289</v>
      </c>
      <c r="B13" s="18">
        <v>-555000</v>
      </c>
      <c r="C13" s="18">
        <v>0</v>
      </c>
      <c r="D13" s="3">
        <f t="shared" si="0"/>
        <v>-555000</v>
      </c>
      <c r="E13" s="20" t="s">
        <v>4208</v>
      </c>
      <c r="F13">
        <v>16</v>
      </c>
      <c r="G13">
        <f>B13*F13</f>
        <v>-8880000</v>
      </c>
      <c r="H13">
        <f t="shared" si="2"/>
        <v>0</v>
      </c>
      <c r="I13">
        <f t="shared" si="3"/>
        <v>-8880000</v>
      </c>
      <c r="O13">
        <v>9</v>
      </c>
      <c r="P13">
        <v>21</v>
      </c>
      <c r="Q13">
        <v>22</v>
      </c>
    </row>
    <row r="14" spans="1:17">
      <c r="A14" s="20" t="s">
        <v>4308</v>
      </c>
      <c r="B14" s="18">
        <v>-138360</v>
      </c>
      <c r="C14" s="18">
        <v>0</v>
      </c>
      <c r="D14" s="3">
        <f t="shared" si="0"/>
        <v>-138360</v>
      </c>
      <c r="E14" s="20" t="s">
        <v>4309</v>
      </c>
      <c r="F14">
        <v>15</v>
      </c>
      <c r="G14">
        <f t="shared" si="1"/>
        <v>-2075400</v>
      </c>
      <c r="H14">
        <f t="shared" si="2"/>
        <v>0</v>
      </c>
      <c r="I14">
        <f t="shared" si="3"/>
        <v>-2075400</v>
      </c>
      <c r="O14">
        <v>10</v>
      </c>
      <c r="P14">
        <v>20</v>
      </c>
      <c r="Q14">
        <v>21</v>
      </c>
    </row>
    <row r="15" spans="1:17">
      <c r="A15" s="20" t="s">
        <v>4311</v>
      </c>
      <c r="B15" s="18">
        <v>-3000900</v>
      </c>
      <c r="C15" s="18">
        <v>0</v>
      </c>
      <c r="D15" s="37">
        <f t="shared" si="0"/>
        <v>-3000900</v>
      </c>
      <c r="E15" s="20" t="s">
        <v>4296</v>
      </c>
      <c r="F15">
        <v>14</v>
      </c>
      <c r="G15">
        <f t="shared" si="1"/>
        <v>-42012600</v>
      </c>
      <c r="H15">
        <f t="shared" si="2"/>
        <v>0</v>
      </c>
      <c r="I15">
        <f t="shared" si="3"/>
        <v>-42012600</v>
      </c>
      <c r="O15">
        <v>11</v>
      </c>
      <c r="P15">
        <v>19</v>
      </c>
      <c r="Q15">
        <v>20</v>
      </c>
    </row>
    <row r="16" spans="1:17">
      <c r="A16" s="20" t="s">
        <v>4317</v>
      </c>
      <c r="B16" s="18">
        <v>-55000</v>
      </c>
      <c r="C16" s="18">
        <v>0</v>
      </c>
      <c r="D16" s="3">
        <f t="shared" si="0"/>
        <v>-55000</v>
      </c>
      <c r="E16" s="20" t="s">
        <v>4107</v>
      </c>
      <c r="F16">
        <v>12</v>
      </c>
      <c r="G16">
        <f t="shared" si="1"/>
        <v>-660000</v>
      </c>
      <c r="H16">
        <f t="shared" si="2"/>
        <v>0</v>
      </c>
      <c r="I16">
        <f t="shared" si="3"/>
        <v>-660000</v>
      </c>
      <c r="O16">
        <v>12</v>
      </c>
      <c r="P16">
        <v>18</v>
      </c>
      <c r="Q16">
        <v>19</v>
      </c>
    </row>
    <row r="17" spans="1:17">
      <c r="A17" s="20" t="s">
        <v>4331</v>
      </c>
      <c r="B17" s="18">
        <v>6035000</v>
      </c>
      <c r="C17" s="18">
        <v>0</v>
      </c>
      <c r="D17" s="3">
        <f t="shared" si="0"/>
        <v>6035000</v>
      </c>
      <c r="E17" s="20" t="s">
        <v>3853</v>
      </c>
      <c r="F17">
        <v>7</v>
      </c>
      <c r="G17">
        <f t="shared" si="1"/>
        <v>42245000</v>
      </c>
      <c r="H17">
        <f t="shared" si="2"/>
        <v>0</v>
      </c>
      <c r="I17">
        <f t="shared" si="3"/>
        <v>42245000</v>
      </c>
      <c r="O17">
        <v>13</v>
      </c>
      <c r="P17">
        <v>17</v>
      </c>
      <c r="Q17">
        <v>18</v>
      </c>
    </row>
    <row r="18" spans="1:17">
      <c r="A18" s="20" t="s">
        <v>4340</v>
      </c>
      <c r="B18" s="18">
        <v>-4098523</v>
      </c>
      <c r="C18" s="18">
        <v>0</v>
      </c>
      <c r="D18" s="3">
        <f t="shared" si="0"/>
        <v>-4098523</v>
      </c>
      <c r="E18" s="20" t="s">
        <v>4339</v>
      </c>
      <c r="F18">
        <v>5</v>
      </c>
      <c r="G18">
        <f t="shared" si="1"/>
        <v>-20492615</v>
      </c>
      <c r="H18">
        <f t="shared" si="2"/>
        <v>0</v>
      </c>
      <c r="I18">
        <f t="shared" si="3"/>
        <v>-20492615</v>
      </c>
      <c r="O18">
        <v>14</v>
      </c>
      <c r="P18">
        <v>16</v>
      </c>
      <c r="Q18">
        <v>17</v>
      </c>
    </row>
    <row r="19" spans="1:17">
      <c r="A19" s="20" t="s">
        <v>4340</v>
      </c>
      <c r="B19" s="18">
        <v>-33225</v>
      </c>
      <c r="C19" s="18">
        <v>0</v>
      </c>
      <c r="D19" s="3">
        <f t="shared" si="0"/>
        <v>-33225</v>
      </c>
      <c r="E19" s="20" t="s">
        <v>4208</v>
      </c>
      <c r="F19">
        <v>5</v>
      </c>
      <c r="G19">
        <f t="shared" si="1"/>
        <v>-166125</v>
      </c>
      <c r="H19">
        <f t="shared" si="2"/>
        <v>0</v>
      </c>
      <c r="I19">
        <f t="shared" si="3"/>
        <v>-166125</v>
      </c>
      <c r="O19">
        <v>15</v>
      </c>
      <c r="P19">
        <v>15</v>
      </c>
      <c r="Q19">
        <v>16</v>
      </c>
    </row>
    <row r="20" spans="1:17">
      <c r="A20" s="19" t="s">
        <v>4340</v>
      </c>
      <c r="B20" s="18">
        <v>-1895000</v>
      </c>
      <c r="C20" s="18">
        <v>0</v>
      </c>
      <c r="D20" s="3">
        <f t="shared" si="0"/>
        <v>-1895000</v>
      </c>
      <c r="E20" s="19" t="s">
        <v>3732</v>
      </c>
      <c r="F20">
        <v>5</v>
      </c>
      <c r="G20">
        <f t="shared" si="1"/>
        <v>-9475000</v>
      </c>
      <c r="H20">
        <f t="shared" si="2"/>
        <v>0</v>
      </c>
      <c r="I20">
        <f t="shared" si="3"/>
        <v>-9475000</v>
      </c>
      <c r="O20">
        <v>16</v>
      </c>
      <c r="P20">
        <v>14</v>
      </c>
      <c r="Q20">
        <v>15</v>
      </c>
    </row>
    <row r="21" spans="1:17">
      <c r="A21" s="19" t="s">
        <v>4336</v>
      </c>
      <c r="B21" s="18">
        <v>-7500</v>
      </c>
      <c r="C21" s="18">
        <v>0</v>
      </c>
      <c r="D21" s="3">
        <f t="shared" si="0"/>
        <v>-7500</v>
      </c>
      <c r="E21" s="19" t="s">
        <v>4337</v>
      </c>
      <c r="F21">
        <v>6</v>
      </c>
      <c r="G21">
        <f t="shared" si="1"/>
        <v>-45000</v>
      </c>
      <c r="H21">
        <f t="shared" si="2"/>
        <v>0</v>
      </c>
      <c r="I21">
        <f t="shared" si="3"/>
        <v>-45000</v>
      </c>
      <c r="O21">
        <v>17</v>
      </c>
      <c r="P21">
        <v>13</v>
      </c>
      <c r="Q21">
        <v>14</v>
      </c>
    </row>
    <row r="22" spans="1:17">
      <c r="A22" s="19" t="s">
        <v>4366</v>
      </c>
      <c r="B22" s="18">
        <v>7964</v>
      </c>
      <c r="C22" s="18">
        <v>65497</v>
      </c>
      <c r="D22" s="3">
        <f t="shared" si="0"/>
        <v>-57533</v>
      </c>
      <c r="E22" s="19" t="s">
        <v>4367</v>
      </c>
      <c r="F22">
        <v>10</v>
      </c>
      <c r="G22">
        <f t="shared" si="1"/>
        <v>79640</v>
      </c>
      <c r="H22">
        <f t="shared" si="2"/>
        <v>654970</v>
      </c>
      <c r="I22">
        <f t="shared" si="3"/>
        <v>-575330</v>
      </c>
      <c r="O22">
        <v>18</v>
      </c>
      <c r="P22">
        <v>12</v>
      </c>
      <c r="Q22">
        <v>13</v>
      </c>
    </row>
    <row r="23" spans="1:17">
      <c r="A23" s="19" t="s">
        <v>4105</v>
      </c>
      <c r="B23" s="18"/>
      <c r="C23" s="18">
        <v>0</v>
      </c>
      <c r="D23" s="3">
        <f t="shared" si="0"/>
        <v>0</v>
      </c>
      <c r="E23" s="19"/>
      <c r="F23">
        <v>6</v>
      </c>
      <c r="G23">
        <f t="shared" si="1"/>
        <v>0</v>
      </c>
      <c r="H23">
        <f t="shared" si="2"/>
        <v>0</v>
      </c>
      <c r="I23">
        <f t="shared" si="3"/>
        <v>0</v>
      </c>
      <c r="O23">
        <v>19</v>
      </c>
      <c r="P23">
        <v>11</v>
      </c>
      <c r="Q23">
        <v>12</v>
      </c>
    </row>
    <row r="24" spans="1:17">
      <c r="A24" s="19" t="s">
        <v>4105</v>
      </c>
      <c r="B24" s="18"/>
      <c r="C24" s="18">
        <v>0</v>
      </c>
      <c r="D24" s="3">
        <f t="shared" si="0"/>
        <v>0</v>
      </c>
      <c r="E24" s="19"/>
      <c r="F24">
        <v>6</v>
      </c>
      <c r="G24">
        <f t="shared" si="1"/>
        <v>0</v>
      </c>
      <c r="H24">
        <f t="shared" si="2"/>
        <v>0</v>
      </c>
      <c r="I24">
        <f t="shared" si="3"/>
        <v>0</v>
      </c>
      <c r="O24">
        <v>20</v>
      </c>
      <c r="P24">
        <v>10</v>
      </c>
      <c r="Q24">
        <v>11</v>
      </c>
    </row>
    <row r="25" spans="1:17">
      <c r="A25" s="19" t="s">
        <v>4110</v>
      </c>
      <c r="B25" s="18"/>
      <c r="C25" s="18">
        <v>0</v>
      </c>
      <c r="D25" s="3">
        <f t="shared" si="0"/>
        <v>0</v>
      </c>
      <c r="E25" s="19"/>
      <c r="F25">
        <v>6</v>
      </c>
      <c r="G25">
        <f t="shared" si="1"/>
        <v>0</v>
      </c>
      <c r="H25">
        <f t="shared" si="2"/>
        <v>0</v>
      </c>
      <c r="I25">
        <f t="shared" si="3"/>
        <v>0</v>
      </c>
      <c r="O25">
        <v>21</v>
      </c>
      <c r="P25">
        <v>9</v>
      </c>
      <c r="Q25">
        <v>10</v>
      </c>
    </row>
    <row r="26" spans="1:17">
      <c r="A26" s="2" t="s">
        <v>4122</v>
      </c>
      <c r="B26" s="2"/>
      <c r="C26" s="2">
        <v>0</v>
      </c>
      <c r="D26" s="2">
        <f t="shared" si="0"/>
        <v>0</v>
      </c>
      <c r="E26" s="2"/>
      <c r="G26">
        <f>B26*F26</f>
        <v>0</v>
      </c>
      <c r="H26">
        <f>C26*F26</f>
        <v>0</v>
      </c>
      <c r="I26">
        <f>D26*F26</f>
        <v>0</v>
      </c>
      <c r="O26">
        <v>22</v>
      </c>
      <c r="P26">
        <v>8</v>
      </c>
      <c r="Q26">
        <v>9</v>
      </c>
    </row>
    <row r="27" spans="1:17">
      <c r="A27" s="2" t="s">
        <v>6</v>
      </c>
      <c r="B27" s="3">
        <f>SUM(B2:B26)</f>
        <v>16094</v>
      </c>
      <c r="C27" s="3">
        <f>SUM(C2:C26)</f>
        <v>8034286</v>
      </c>
      <c r="D27" s="3">
        <f>SUM(D2:D26)</f>
        <v>-8018192</v>
      </c>
      <c r="E27" s="2"/>
      <c r="O27">
        <v>23</v>
      </c>
      <c r="P27">
        <v>7</v>
      </c>
      <c r="Q27">
        <v>8</v>
      </c>
    </row>
    <row r="28" spans="1:17">
      <c r="G28" s="18">
        <f>SUM(G2:G26)</f>
        <v>29148540</v>
      </c>
      <c r="H28" s="18">
        <f>SUM(H2:H26)</f>
        <v>239718640</v>
      </c>
      <c r="I28" s="18">
        <f>SUM(I2:I26)</f>
        <v>-210570100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7">
        <v>-50352326</v>
      </c>
      <c r="E33" s="36" t="s">
        <v>95</v>
      </c>
      <c r="G33" s="18">
        <f>G28*100000/365000000</f>
        <v>7985.9013698630133</v>
      </c>
      <c r="H33" s="18">
        <f>G33*H28/G28</f>
        <v>65676.339726027392</v>
      </c>
      <c r="I33" s="18">
        <f>G33*I28/G28</f>
        <v>-57690.438356164377</v>
      </c>
      <c r="O33">
        <v>29</v>
      </c>
      <c r="P33">
        <v>1</v>
      </c>
      <c r="Q33">
        <v>2</v>
      </c>
    </row>
    <row r="34" spans="2:17">
      <c r="D34" s="7">
        <v>11400000</v>
      </c>
      <c r="E34" s="45" t="s">
        <v>4237</v>
      </c>
      <c r="G34" s="9" t="s">
        <v>1000</v>
      </c>
      <c r="H34" s="9" t="s">
        <v>38</v>
      </c>
      <c r="I34" s="9" t="s">
        <v>39</v>
      </c>
      <c r="O34">
        <v>30</v>
      </c>
      <c r="P34">
        <v>0</v>
      </c>
      <c r="Q34">
        <v>1</v>
      </c>
    </row>
    <row r="35" spans="2:17">
      <c r="B35" s="7"/>
      <c r="D35" s="7">
        <v>-500000</v>
      </c>
      <c r="E35" s="45" t="s">
        <v>4236</v>
      </c>
      <c r="P35" t="s">
        <v>60</v>
      </c>
      <c r="Q35" t="s">
        <v>61</v>
      </c>
    </row>
    <row r="36" spans="2:17">
      <c r="D36" s="7">
        <v>-11316095</v>
      </c>
      <c r="E36" s="45" t="s">
        <v>4238</v>
      </c>
    </row>
    <row r="37" spans="2:17">
      <c r="D37" s="7">
        <v>-137223</v>
      </c>
      <c r="E37" s="45" t="s">
        <v>4239</v>
      </c>
    </row>
    <row r="38" spans="2:17">
      <c r="D38" s="7">
        <v>-234246</v>
      </c>
      <c r="E38" s="45" t="s">
        <v>4242</v>
      </c>
    </row>
    <row r="39" spans="2:17">
      <c r="D39" s="7">
        <v>-22574</v>
      </c>
      <c r="E39" s="45" t="s">
        <v>4244</v>
      </c>
    </row>
    <row r="40" spans="2:17">
      <c r="D40" s="7">
        <v>-48894</v>
      </c>
      <c r="E40" s="45" t="s">
        <v>4245</v>
      </c>
      <c r="G40" t="s">
        <v>25</v>
      </c>
    </row>
    <row r="41" spans="2:17">
      <c r="D41" s="7">
        <v>-25000</v>
      </c>
      <c r="E41" s="45" t="s">
        <v>4248</v>
      </c>
    </row>
    <row r="42" spans="2:17">
      <c r="D42" s="7">
        <v>1000000</v>
      </c>
      <c r="E42" s="45" t="s">
        <v>4249</v>
      </c>
    </row>
    <row r="43" spans="2:17">
      <c r="D43" s="7">
        <v>-5000000</v>
      </c>
      <c r="E43" s="45" t="s">
        <v>4250</v>
      </c>
    </row>
    <row r="44" spans="2:17">
      <c r="D44" s="7">
        <v>-400000</v>
      </c>
      <c r="E44" s="45" t="s">
        <v>4252</v>
      </c>
    </row>
    <row r="45" spans="2:17">
      <c r="D45" s="7">
        <v>-20000</v>
      </c>
      <c r="E45" s="45" t="s">
        <v>4253</v>
      </c>
    </row>
    <row r="46" spans="2:17">
      <c r="D46" s="7">
        <v>-33087</v>
      </c>
      <c r="E46" s="45" t="s">
        <v>4254</v>
      </c>
    </row>
    <row r="47" spans="2:17">
      <c r="D47" s="7">
        <v>-73818</v>
      </c>
      <c r="E47" s="45" t="s">
        <v>4257</v>
      </c>
      <c r="F47" s="7" t="s">
        <v>25</v>
      </c>
      <c r="G47" s="36" t="s">
        <v>25</v>
      </c>
    </row>
    <row r="48" spans="2:17">
      <c r="D48" s="7">
        <v>200000</v>
      </c>
      <c r="E48" s="45" t="s">
        <v>4263</v>
      </c>
      <c r="F48" s="7"/>
      <c r="G48" s="36"/>
    </row>
    <row r="49" spans="4:8">
      <c r="D49" s="7">
        <v>-2400000</v>
      </c>
      <c r="E49" s="45" t="s">
        <v>4267</v>
      </c>
      <c r="F49" s="7"/>
      <c r="G49" s="36"/>
    </row>
    <row r="50" spans="4:8">
      <c r="D50" s="7">
        <v>50000</v>
      </c>
      <c r="E50" s="45" t="s">
        <v>4282</v>
      </c>
      <c r="F50" s="7"/>
      <c r="G50" s="36"/>
    </row>
    <row r="51" spans="4:8">
      <c r="D51" s="7">
        <v>1000000</v>
      </c>
      <c r="E51" s="45" t="s">
        <v>4279</v>
      </c>
    </row>
    <row r="52" spans="4:8">
      <c r="D52" s="7">
        <v>-100000</v>
      </c>
      <c r="E52" s="45" t="s">
        <v>4278</v>
      </c>
    </row>
    <row r="53" spans="4:8">
      <c r="D53" s="7">
        <v>-300699</v>
      </c>
      <c r="E53" s="45" t="s">
        <v>4283</v>
      </c>
    </row>
    <row r="54" spans="4:8">
      <c r="D54" s="7">
        <v>250000</v>
      </c>
      <c r="E54" s="45" t="s">
        <v>4286</v>
      </c>
    </row>
    <row r="55" spans="4:8">
      <c r="D55" s="7">
        <v>-19615</v>
      </c>
      <c r="E55" s="45" t="s">
        <v>4287</v>
      </c>
    </row>
    <row r="56" spans="4:8">
      <c r="D56" s="7">
        <v>10000000</v>
      </c>
      <c r="E56" s="45" t="s">
        <v>4292</v>
      </c>
    </row>
    <row r="57" spans="4:8">
      <c r="D57" s="7">
        <v>-9413000</v>
      </c>
      <c r="E57" s="45" t="s">
        <v>4293</v>
      </c>
    </row>
    <row r="58" spans="4:8">
      <c r="D58" s="7">
        <v>8736514</v>
      </c>
      <c r="E58" s="45" t="s">
        <v>4294</v>
      </c>
    </row>
    <row r="59" spans="4:8">
      <c r="D59" s="7">
        <v>-9700000</v>
      </c>
      <c r="E59" s="45" t="s">
        <v>4295</v>
      </c>
    </row>
    <row r="60" spans="4:8">
      <c r="D60" s="7">
        <v>2450000</v>
      </c>
      <c r="E60" s="45" t="s">
        <v>4292</v>
      </c>
      <c r="H60" t="s">
        <v>25</v>
      </c>
    </row>
    <row r="61" spans="4:8">
      <c r="D61" s="7">
        <v>-250000</v>
      </c>
      <c r="E61" s="45" t="s">
        <v>4297</v>
      </c>
    </row>
    <row r="62" spans="4:8">
      <c r="D62" s="7">
        <v>-2000000</v>
      </c>
      <c r="E62" s="45" t="s">
        <v>4302</v>
      </c>
    </row>
    <row r="63" spans="4:8">
      <c r="D63" s="7">
        <v>-25000</v>
      </c>
      <c r="E63" s="45" t="s">
        <v>4303</v>
      </c>
    </row>
    <row r="64" spans="4:8">
      <c r="D64" s="7">
        <v>138360</v>
      </c>
      <c r="E64" s="45" t="s">
        <v>4307</v>
      </c>
      <c r="H64" t="s">
        <v>25</v>
      </c>
    </row>
    <row r="65" spans="4:7">
      <c r="D65" s="7">
        <v>-69003</v>
      </c>
      <c r="E65" s="45" t="s">
        <v>4312</v>
      </c>
    </row>
    <row r="66" spans="4:7">
      <c r="D66" s="7">
        <v>456081</v>
      </c>
      <c r="E66" s="45" t="s">
        <v>4314</v>
      </c>
    </row>
    <row r="67" spans="4:7">
      <c r="D67" s="7">
        <v>500000</v>
      </c>
      <c r="E67" s="45" t="s">
        <v>4316</v>
      </c>
    </row>
    <row r="68" spans="4:7">
      <c r="D68" s="7">
        <v>-65500</v>
      </c>
      <c r="E68" s="45" t="s">
        <v>4318</v>
      </c>
      <c r="F68" s="7"/>
      <c r="G68" s="45"/>
    </row>
    <row r="69" spans="4:7">
      <c r="D69" s="7">
        <v>-65000</v>
      </c>
      <c r="E69" s="45" t="s">
        <v>4319</v>
      </c>
      <c r="F69" s="7"/>
      <c r="G69" s="45" t="s">
        <v>25</v>
      </c>
    </row>
    <row r="70" spans="4:7">
      <c r="D70" s="7">
        <v>55000</v>
      </c>
      <c r="E70" s="45" t="s">
        <v>4320</v>
      </c>
      <c r="F70" s="7"/>
      <c r="G70" s="45" t="s">
        <v>25</v>
      </c>
    </row>
    <row r="71" spans="4:7">
      <c r="D71" s="7">
        <v>-3718</v>
      </c>
      <c r="E71" s="45" t="s">
        <v>4321</v>
      </c>
      <c r="F71" s="7"/>
      <c r="G71" s="45" t="s">
        <v>25</v>
      </c>
    </row>
    <row r="72" spans="4:7">
      <c r="D72" s="7">
        <v>7990</v>
      </c>
      <c r="E72" s="36" t="s">
        <v>4322</v>
      </c>
    </row>
    <row r="73" spans="4:7">
      <c r="D73" s="7">
        <v>-6701</v>
      </c>
      <c r="E73" s="45" t="s">
        <v>4321</v>
      </c>
    </row>
    <row r="74" spans="4:7">
      <c r="D74" s="7">
        <v>-8929</v>
      </c>
      <c r="E74" s="45" t="s">
        <v>4323</v>
      </c>
    </row>
    <row r="75" spans="4:7">
      <c r="D75" s="7">
        <v>448308</v>
      </c>
      <c r="E75" s="45" t="s">
        <v>4324</v>
      </c>
      <c r="G75" t="s">
        <v>25</v>
      </c>
    </row>
    <row r="76" spans="4:7">
      <c r="D76" s="7">
        <v>-904500</v>
      </c>
      <c r="E76" s="45" t="s">
        <v>4325</v>
      </c>
    </row>
    <row r="77" spans="4:7">
      <c r="D77" s="7">
        <v>-180000</v>
      </c>
      <c r="E77" s="45" t="s">
        <v>4326</v>
      </c>
    </row>
    <row r="78" spans="4:7">
      <c r="D78" s="7">
        <v>-13583</v>
      </c>
      <c r="E78" s="45" t="s">
        <v>4327</v>
      </c>
    </row>
    <row r="79" spans="4:7">
      <c r="D79" s="7">
        <v>-52388</v>
      </c>
      <c r="E79" s="45" t="s">
        <v>4328</v>
      </c>
    </row>
    <row r="80" spans="4:7">
      <c r="D80" s="7">
        <v>-133838</v>
      </c>
      <c r="E80" s="45" t="s">
        <v>4330</v>
      </c>
    </row>
    <row r="81" spans="4:5">
      <c r="D81" s="7">
        <v>6234370</v>
      </c>
      <c r="E81" s="45" t="s">
        <v>4332</v>
      </c>
    </row>
    <row r="82" spans="4:5">
      <c r="D82" s="7">
        <v>-142143</v>
      </c>
      <c r="E82" s="45" t="s">
        <v>4335</v>
      </c>
    </row>
    <row r="83" spans="4:5">
      <c r="D83" s="7">
        <v>-128352</v>
      </c>
      <c r="E83" s="45" t="s">
        <v>4334</v>
      </c>
    </row>
    <row r="84" spans="4:5">
      <c r="D84" s="7">
        <v>-6035000</v>
      </c>
      <c r="E84" s="45" t="s">
        <v>4343</v>
      </c>
    </row>
    <row r="85" spans="4:5">
      <c r="D85" s="7">
        <v>-55957</v>
      </c>
      <c r="E85" s="45" t="s">
        <v>4342</v>
      </c>
    </row>
    <row r="86" spans="4:5">
      <c r="D86" s="7">
        <v>7500</v>
      </c>
      <c r="E86" s="45" t="s">
        <v>4341</v>
      </c>
    </row>
    <row r="87" spans="4:5">
      <c r="D87" s="7">
        <v>1700000</v>
      </c>
      <c r="E87" s="45" t="s">
        <v>4344</v>
      </c>
    </row>
    <row r="88" spans="4:5">
      <c r="D88" s="7">
        <v>129648</v>
      </c>
      <c r="E88" s="45" t="s">
        <v>4345</v>
      </c>
    </row>
    <row r="89" spans="4:5">
      <c r="D89" s="7">
        <v>1000000</v>
      </c>
      <c r="E89" s="45" t="s">
        <v>4347</v>
      </c>
    </row>
    <row r="90" spans="4:5">
      <c r="D90" s="7">
        <v>-53003</v>
      </c>
      <c r="E90" s="45" t="s">
        <v>4348</v>
      </c>
    </row>
    <row r="91" spans="4:5">
      <c r="D91" s="7">
        <v>-23690</v>
      </c>
      <c r="E91" s="45" t="s">
        <v>4348</v>
      </c>
    </row>
    <row r="92" spans="4:5">
      <c r="D92" s="7">
        <v>-216910</v>
      </c>
      <c r="E92" s="45" t="s">
        <v>4349</v>
      </c>
    </row>
    <row r="93" spans="4:5">
      <c r="D93" s="7">
        <v>-30304</v>
      </c>
      <c r="E93" s="45" t="s">
        <v>4351</v>
      </c>
    </row>
    <row r="94" spans="4:5">
      <c r="D94" s="7">
        <v>-10067</v>
      </c>
      <c r="E94" s="45" t="s">
        <v>4352</v>
      </c>
    </row>
    <row r="95" spans="4:5">
      <c r="D95" s="7">
        <v>-16248</v>
      </c>
      <c r="E95" s="45" t="s">
        <v>4353</v>
      </c>
    </row>
    <row r="96" spans="4:5">
      <c r="D96" s="7">
        <v>-87695</v>
      </c>
      <c r="E96" s="45" t="s">
        <v>4354</v>
      </c>
    </row>
    <row r="97" spans="4:7">
      <c r="D97" s="7">
        <v>-29231</v>
      </c>
      <c r="E97" s="45" t="s">
        <v>4355</v>
      </c>
    </row>
    <row r="98" spans="4:7">
      <c r="D98" s="7">
        <v>1000000</v>
      </c>
      <c r="E98" s="45" t="s">
        <v>4356</v>
      </c>
    </row>
    <row r="99" spans="4:7">
      <c r="D99" s="7">
        <v>-35250</v>
      </c>
      <c r="E99" s="45" t="s">
        <v>4357</v>
      </c>
    </row>
    <row r="100" spans="4:7">
      <c r="D100" s="7">
        <v>-57477</v>
      </c>
      <c r="E100" s="45" t="s">
        <v>4358</v>
      </c>
    </row>
    <row r="101" spans="4:7">
      <c r="D101" s="7">
        <v>-13565</v>
      </c>
      <c r="E101" s="45" t="s">
        <v>4359</v>
      </c>
    </row>
    <row r="102" spans="4:7">
      <c r="D102" s="7">
        <v>-9429</v>
      </c>
      <c r="E102" s="45" t="s">
        <v>4360</v>
      </c>
    </row>
    <row r="103" spans="4:7">
      <c r="D103" s="7">
        <v>-600000</v>
      </c>
      <c r="E103" s="45" t="s">
        <v>4361</v>
      </c>
    </row>
    <row r="104" spans="4:7">
      <c r="D104" s="7">
        <v>335</v>
      </c>
      <c r="E104" s="45" t="s">
        <v>4363</v>
      </c>
    </row>
    <row r="105" spans="4:7">
      <c r="D105" s="7">
        <v>31026</v>
      </c>
      <c r="E105" s="45" t="s">
        <v>4364</v>
      </c>
      <c r="G105" t="s">
        <v>25</v>
      </c>
    </row>
    <row r="106" spans="4:7">
      <c r="D106" s="7" t="s">
        <v>25</v>
      </c>
      <c r="E106" s="45" t="s">
        <v>25</v>
      </c>
    </row>
    <row r="107" spans="4:7">
      <c r="E107" s="45" t="s">
        <v>25</v>
      </c>
    </row>
    <row r="108" spans="4:7">
      <c r="D108" s="7">
        <f>SUM(D33:D107)</f>
        <v>-54623926</v>
      </c>
      <c r="E108" t="s">
        <v>6</v>
      </c>
    </row>
    <row r="109" spans="4:7">
      <c r="D109" s="7"/>
      <c r="E109" s="36"/>
    </row>
    <row r="110" spans="4:7">
      <c r="E110" t="s">
        <v>25</v>
      </c>
    </row>
    <row r="111" spans="4:7">
      <c r="E111" t="s">
        <v>25</v>
      </c>
    </row>
    <row r="113" spans="5:5">
      <c r="E113" t="s">
        <v>25</v>
      </c>
    </row>
    <row r="114" spans="5:5">
      <c r="E114" t="s">
        <v>25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0"/>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4362</v>
      </c>
      <c r="B2" s="3">
        <f>آبان97!B27</f>
        <v>16094</v>
      </c>
      <c r="C2" s="1">
        <f>آبان97!C27</f>
        <v>8034286</v>
      </c>
      <c r="D2" s="3">
        <f>B2-C2</f>
        <v>-8018192</v>
      </c>
      <c r="E2" s="2" t="s">
        <v>59</v>
      </c>
      <c r="F2">
        <v>30</v>
      </c>
      <c r="G2">
        <f>B2*F2</f>
        <v>482820</v>
      </c>
      <c r="H2">
        <f>C2*F2</f>
        <v>241028580</v>
      </c>
      <c r="I2">
        <f>D2*F2</f>
        <v>-240545760</v>
      </c>
    </row>
    <row r="3" spans="1:17">
      <c r="A3" s="20" t="s">
        <v>4368</v>
      </c>
      <c r="B3" s="18">
        <v>2500000</v>
      </c>
      <c r="C3" s="18">
        <v>0</v>
      </c>
      <c r="D3" s="37">
        <f t="shared" ref="D3:D31" si="0">B3-C3</f>
        <v>2500000</v>
      </c>
      <c r="E3" s="20" t="s">
        <v>3853</v>
      </c>
      <c r="F3">
        <v>27</v>
      </c>
      <c r="G3">
        <f t="shared" ref="G3:G30" si="1">B3*F3</f>
        <v>67500000</v>
      </c>
      <c r="H3">
        <f t="shared" ref="H3:H30" si="2">C3*F3</f>
        <v>0</v>
      </c>
      <c r="I3">
        <f t="shared" ref="I3:I30" si="3">D3*F3</f>
        <v>67500000</v>
      </c>
    </row>
    <row r="4" spans="1:17">
      <c r="A4" s="20" t="s">
        <v>4370</v>
      </c>
      <c r="B4" s="18">
        <v>-2500000</v>
      </c>
      <c r="C4" s="18">
        <v>0</v>
      </c>
      <c r="D4" s="3">
        <f t="shared" si="0"/>
        <v>-2500000</v>
      </c>
      <c r="E4" s="11" t="s">
        <v>3732</v>
      </c>
      <c r="F4">
        <v>26</v>
      </c>
      <c r="G4">
        <f t="shared" si="1"/>
        <v>-65000000</v>
      </c>
      <c r="H4">
        <f t="shared" si="2"/>
        <v>0</v>
      </c>
      <c r="I4">
        <f t="shared" si="3"/>
        <v>-65000000</v>
      </c>
    </row>
    <row r="5" spans="1:17">
      <c r="A5" s="27" t="s">
        <v>4374</v>
      </c>
      <c r="B5" s="18">
        <v>1100000</v>
      </c>
      <c r="C5" s="18">
        <v>0</v>
      </c>
      <c r="D5" s="3">
        <f t="shared" si="0"/>
        <v>1100000</v>
      </c>
      <c r="E5" s="20" t="s">
        <v>4266</v>
      </c>
      <c r="F5">
        <v>23</v>
      </c>
      <c r="G5">
        <f t="shared" si="1"/>
        <v>25300000</v>
      </c>
      <c r="H5">
        <f t="shared" si="2"/>
        <v>0</v>
      </c>
      <c r="I5">
        <f t="shared" si="3"/>
        <v>25300000</v>
      </c>
      <c r="O5">
        <v>1</v>
      </c>
      <c r="P5">
        <v>29</v>
      </c>
      <c r="Q5">
        <v>30</v>
      </c>
    </row>
    <row r="6" spans="1:17">
      <c r="A6" s="17" t="s">
        <v>4376</v>
      </c>
      <c r="B6" s="18">
        <v>3000000</v>
      </c>
      <c r="C6" s="18">
        <v>0</v>
      </c>
      <c r="D6" s="3">
        <f t="shared" si="0"/>
        <v>3000000</v>
      </c>
      <c r="E6" s="19" t="s">
        <v>4377</v>
      </c>
      <c r="F6">
        <v>22</v>
      </c>
      <c r="G6">
        <f t="shared" si="1"/>
        <v>66000000</v>
      </c>
      <c r="H6">
        <f t="shared" si="2"/>
        <v>0</v>
      </c>
      <c r="I6">
        <f t="shared" si="3"/>
        <v>66000000</v>
      </c>
      <c r="O6">
        <v>2</v>
      </c>
      <c r="P6">
        <v>28</v>
      </c>
      <c r="Q6">
        <v>29</v>
      </c>
    </row>
    <row r="7" spans="1:17">
      <c r="A7" s="17" t="s">
        <v>4373</v>
      </c>
      <c r="B7" s="18">
        <v>-2000700</v>
      </c>
      <c r="C7" s="18">
        <v>0</v>
      </c>
      <c r="D7" s="3">
        <f t="shared" si="0"/>
        <v>-2000700</v>
      </c>
      <c r="E7" s="19" t="s">
        <v>4395</v>
      </c>
      <c r="F7">
        <v>21</v>
      </c>
      <c r="G7">
        <f t="shared" si="1"/>
        <v>-42014700</v>
      </c>
      <c r="H7">
        <f t="shared" si="2"/>
        <v>0</v>
      </c>
      <c r="I7">
        <f t="shared" si="3"/>
        <v>-42014700</v>
      </c>
      <c r="O7">
        <v>3</v>
      </c>
      <c r="P7">
        <v>27</v>
      </c>
      <c r="Q7">
        <v>28</v>
      </c>
    </row>
    <row r="8" spans="1:17">
      <c r="A8" s="17" t="s">
        <v>4373</v>
      </c>
      <c r="B8" s="18">
        <v>-40000</v>
      </c>
      <c r="C8" s="18">
        <v>0</v>
      </c>
      <c r="D8" s="3">
        <f t="shared" si="0"/>
        <v>-40000</v>
      </c>
      <c r="E8" s="19" t="s">
        <v>1096</v>
      </c>
      <c r="F8">
        <v>21</v>
      </c>
      <c r="G8">
        <f t="shared" si="1"/>
        <v>-840000</v>
      </c>
      <c r="H8">
        <f t="shared" si="2"/>
        <v>0</v>
      </c>
      <c r="I8">
        <f t="shared" si="3"/>
        <v>-840000</v>
      </c>
      <c r="O8">
        <v>4</v>
      </c>
      <c r="P8">
        <v>26</v>
      </c>
      <c r="Q8">
        <v>27</v>
      </c>
    </row>
    <row r="9" spans="1:17">
      <c r="A9" s="17" t="s">
        <v>4373</v>
      </c>
      <c r="B9" s="18">
        <v>-2000000</v>
      </c>
      <c r="C9" s="18">
        <v>0</v>
      </c>
      <c r="D9" s="3">
        <f t="shared" si="0"/>
        <v>-2000000</v>
      </c>
      <c r="E9" s="21" t="s">
        <v>3732</v>
      </c>
      <c r="F9">
        <v>21</v>
      </c>
      <c r="G9">
        <f t="shared" si="1"/>
        <v>-42000000</v>
      </c>
      <c r="H9">
        <f t="shared" si="2"/>
        <v>0</v>
      </c>
      <c r="I9">
        <f t="shared" si="3"/>
        <v>-42000000</v>
      </c>
      <c r="O9">
        <v>5</v>
      </c>
      <c r="P9">
        <v>25</v>
      </c>
      <c r="Q9">
        <v>26</v>
      </c>
    </row>
    <row r="10" spans="1:17">
      <c r="A10" s="17" t="s">
        <v>4373</v>
      </c>
      <c r="B10" s="18">
        <v>490000</v>
      </c>
      <c r="C10" s="18">
        <v>0</v>
      </c>
      <c r="D10" s="3">
        <f t="shared" si="0"/>
        <v>490000</v>
      </c>
      <c r="E10" s="19" t="s">
        <v>3853</v>
      </c>
      <c r="F10">
        <v>20</v>
      </c>
      <c r="G10">
        <f t="shared" si="1"/>
        <v>9800000</v>
      </c>
      <c r="H10">
        <f t="shared" si="2"/>
        <v>0</v>
      </c>
      <c r="I10">
        <f t="shared" si="3"/>
        <v>9800000</v>
      </c>
      <c r="O10">
        <v>6</v>
      </c>
      <c r="P10">
        <v>24</v>
      </c>
      <c r="Q10">
        <v>25</v>
      </c>
    </row>
    <row r="11" spans="1:17">
      <c r="A11" s="17" t="s">
        <v>4402</v>
      </c>
      <c r="B11" s="18">
        <v>1400000</v>
      </c>
      <c r="C11" s="18">
        <v>0</v>
      </c>
      <c r="D11" s="3">
        <f t="shared" si="0"/>
        <v>1400000</v>
      </c>
      <c r="E11" s="19" t="s">
        <v>3853</v>
      </c>
      <c r="F11">
        <v>19</v>
      </c>
      <c r="G11">
        <f t="shared" si="1"/>
        <v>26600000</v>
      </c>
      <c r="H11">
        <f t="shared" si="2"/>
        <v>0</v>
      </c>
      <c r="I11">
        <f t="shared" si="3"/>
        <v>26600000</v>
      </c>
      <c r="O11">
        <v>7</v>
      </c>
      <c r="P11">
        <v>23</v>
      </c>
      <c r="Q11">
        <v>24</v>
      </c>
    </row>
    <row r="12" spans="1:17">
      <c r="A12" s="20" t="s">
        <v>4402</v>
      </c>
      <c r="B12" s="18">
        <v>-1500000</v>
      </c>
      <c r="C12" s="18">
        <v>0</v>
      </c>
      <c r="D12" s="3">
        <f t="shared" si="0"/>
        <v>-1500000</v>
      </c>
      <c r="E12" s="20" t="s">
        <v>3732</v>
      </c>
      <c r="F12">
        <v>19</v>
      </c>
      <c r="G12">
        <f t="shared" si="1"/>
        <v>-28500000</v>
      </c>
      <c r="H12">
        <f t="shared" si="2"/>
        <v>0</v>
      </c>
      <c r="I12">
        <f t="shared" si="3"/>
        <v>-28500000</v>
      </c>
      <c r="O12">
        <v>8</v>
      </c>
      <c r="P12">
        <v>22</v>
      </c>
      <c r="Q12">
        <v>23</v>
      </c>
    </row>
    <row r="13" spans="1:17">
      <c r="A13" s="20" t="s">
        <v>4408</v>
      </c>
      <c r="B13" s="18">
        <v>-100000</v>
      </c>
      <c r="C13" s="18">
        <v>0</v>
      </c>
      <c r="D13" s="3">
        <f t="shared" si="0"/>
        <v>-100000</v>
      </c>
      <c r="E13" s="20" t="s">
        <v>3732</v>
      </c>
      <c r="F13">
        <v>19</v>
      </c>
      <c r="G13">
        <f>B13*F13</f>
        <v>-1900000</v>
      </c>
      <c r="H13">
        <f t="shared" si="2"/>
        <v>0</v>
      </c>
      <c r="I13">
        <f t="shared" si="3"/>
        <v>-1900000</v>
      </c>
      <c r="O13">
        <v>9</v>
      </c>
      <c r="P13">
        <v>21</v>
      </c>
      <c r="Q13">
        <v>22</v>
      </c>
    </row>
    <row r="14" spans="1:17">
      <c r="A14" s="20" t="s">
        <v>4181</v>
      </c>
      <c r="B14" s="18">
        <v>-13900</v>
      </c>
      <c r="C14" s="18">
        <v>0</v>
      </c>
      <c r="D14" s="3">
        <f t="shared" si="0"/>
        <v>-13900</v>
      </c>
      <c r="E14" s="20" t="s">
        <v>3976</v>
      </c>
      <c r="F14">
        <v>18</v>
      </c>
      <c r="G14">
        <f t="shared" si="1"/>
        <v>-250200</v>
      </c>
      <c r="H14">
        <f t="shared" si="2"/>
        <v>0</v>
      </c>
      <c r="I14">
        <f t="shared" si="3"/>
        <v>-250200</v>
      </c>
      <c r="O14">
        <v>10</v>
      </c>
      <c r="P14">
        <v>20</v>
      </c>
      <c r="Q14">
        <v>21</v>
      </c>
    </row>
    <row r="15" spans="1:17">
      <c r="A15" s="20" t="s">
        <v>4181</v>
      </c>
      <c r="B15" s="18">
        <v>300000</v>
      </c>
      <c r="C15" s="18">
        <v>0</v>
      </c>
      <c r="D15" s="37">
        <f t="shared" si="0"/>
        <v>300000</v>
      </c>
      <c r="E15" s="20" t="s">
        <v>3853</v>
      </c>
      <c r="F15">
        <v>17</v>
      </c>
      <c r="G15">
        <f t="shared" si="1"/>
        <v>5100000</v>
      </c>
      <c r="H15">
        <f t="shared" si="2"/>
        <v>0</v>
      </c>
      <c r="I15">
        <f t="shared" si="3"/>
        <v>5100000</v>
      </c>
      <c r="O15">
        <v>11</v>
      </c>
      <c r="P15">
        <v>19</v>
      </c>
      <c r="Q15">
        <v>20</v>
      </c>
    </row>
    <row r="16" spans="1:17">
      <c r="A16" s="20" t="s">
        <v>4415</v>
      </c>
      <c r="B16" s="18">
        <v>12000000</v>
      </c>
      <c r="C16" s="18">
        <v>0</v>
      </c>
      <c r="D16" s="3">
        <f t="shared" si="0"/>
        <v>12000000</v>
      </c>
      <c r="E16" s="20" t="s">
        <v>4416</v>
      </c>
      <c r="F16">
        <v>15</v>
      </c>
      <c r="G16">
        <f t="shared" si="1"/>
        <v>180000000</v>
      </c>
      <c r="H16">
        <f t="shared" si="2"/>
        <v>0</v>
      </c>
      <c r="I16">
        <f t="shared" si="3"/>
        <v>180000000</v>
      </c>
      <c r="O16">
        <v>12</v>
      </c>
      <c r="P16">
        <v>18</v>
      </c>
      <c r="Q16">
        <v>19</v>
      </c>
    </row>
    <row r="17" spans="1:17">
      <c r="A17" s="20" t="s">
        <v>4417</v>
      </c>
      <c r="B17" s="18">
        <v>3000000</v>
      </c>
      <c r="C17" s="18">
        <v>0</v>
      </c>
      <c r="D17" s="3">
        <f t="shared" si="0"/>
        <v>3000000</v>
      </c>
      <c r="E17" s="20" t="s">
        <v>3853</v>
      </c>
      <c r="F17">
        <v>14</v>
      </c>
      <c r="G17">
        <f t="shared" si="1"/>
        <v>42000000</v>
      </c>
      <c r="H17">
        <f t="shared" si="2"/>
        <v>0</v>
      </c>
      <c r="I17">
        <f t="shared" si="3"/>
        <v>42000000</v>
      </c>
      <c r="O17">
        <v>13</v>
      </c>
      <c r="P17">
        <v>17</v>
      </c>
      <c r="Q17">
        <v>18</v>
      </c>
    </row>
    <row r="18" spans="1:17">
      <c r="A18" s="20" t="s">
        <v>4419</v>
      </c>
      <c r="B18" s="18">
        <v>-14000000</v>
      </c>
      <c r="C18" s="18">
        <v>0</v>
      </c>
      <c r="D18" s="3">
        <f t="shared" si="0"/>
        <v>-14000000</v>
      </c>
      <c r="E18" s="20" t="s">
        <v>3732</v>
      </c>
      <c r="F18">
        <v>14</v>
      </c>
      <c r="G18">
        <f t="shared" si="1"/>
        <v>-196000000</v>
      </c>
      <c r="H18">
        <f t="shared" si="2"/>
        <v>0</v>
      </c>
      <c r="I18">
        <f t="shared" si="3"/>
        <v>-196000000</v>
      </c>
      <c r="O18">
        <v>14</v>
      </c>
      <c r="P18">
        <v>16</v>
      </c>
      <c r="Q18">
        <v>17</v>
      </c>
    </row>
    <row r="19" spans="1:17">
      <c r="A19" s="20" t="s">
        <v>4420</v>
      </c>
      <c r="B19" s="18">
        <v>-124969</v>
      </c>
      <c r="C19" s="18">
        <v>0</v>
      </c>
      <c r="D19" s="3">
        <f t="shared" si="0"/>
        <v>-124969</v>
      </c>
      <c r="E19" s="20" t="s">
        <v>3976</v>
      </c>
      <c r="F19">
        <v>13</v>
      </c>
      <c r="G19">
        <f t="shared" si="1"/>
        <v>-1624597</v>
      </c>
      <c r="H19">
        <f t="shared" si="2"/>
        <v>0</v>
      </c>
      <c r="I19">
        <f t="shared" si="3"/>
        <v>-1624597</v>
      </c>
      <c r="O19">
        <v>15</v>
      </c>
      <c r="P19">
        <v>15</v>
      </c>
      <c r="Q19">
        <v>16</v>
      </c>
    </row>
    <row r="20" spans="1:17">
      <c r="A20" s="19" t="s">
        <v>4420</v>
      </c>
      <c r="B20" s="18">
        <v>0</v>
      </c>
      <c r="C20" s="18">
        <v>-8034286</v>
      </c>
      <c r="D20" s="3">
        <f t="shared" si="0"/>
        <v>8034286</v>
      </c>
      <c r="E20" s="19" t="s">
        <v>4421</v>
      </c>
      <c r="F20">
        <v>13</v>
      </c>
      <c r="G20">
        <f t="shared" si="1"/>
        <v>0</v>
      </c>
      <c r="H20">
        <f t="shared" si="2"/>
        <v>-104445718</v>
      </c>
      <c r="I20">
        <f t="shared" si="3"/>
        <v>104445718</v>
      </c>
      <c r="O20">
        <v>16</v>
      </c>
      <c r="P20">
        <v>14</v>
      </c>
      <c r="Q20">
        <v>15</v>
      </c>
    </row>
    <row r="21" spans="1:17">
      <c r="A21" s="19" t="s">
        <v>4420</v>
      </c>
      <c r="B21" s="18">
        <v>-10000</v>
      </c>
      <c r="C21" s="18">
        <v>0</v>
      </c>
      <c r="D21" s="3">
        <f t="shared" si="0"/>
        <v>-10000</v>
      </c>
      <c r="E21" s="19" t="s">
        <v>4422</v>
      </c>
      <c r="F21">
        <v>13</v>
      </c>
      <c r="G21">
        <f t="shared" si="1"/>
        <v>-130000</v>
      </c>
      <c r="H21">
        <f t="shared" si="2"/>
        <v>0</v>
      </c>
      <c r="I21">
        <f t="shared" si="3"/>
        <v>-130000</v>
      </c>
      <c r="O21">
        <v>17</v>
      </c>
      <c r="P21">
        <v>13</v>
      </c>
      <c r="Q21">
        <v>14</v>
      </c>
    </row>
    <row r="22" spans="1:17">
      <c r="A22" s="19" t="s">
        <v>4423</v>
      </c>
      <c r="B22" s="18">
        <v>-1313000</v>
      </c>
      <c r="C22" s="18">
        <v>0</v>
      </c>
      <c r="D22" s="3">
        <f t="shared" si="0"/>
        <v>-1313000</v>
      </c>
      <c r="E22" s="19" t="s">
        <v>3732</v>
      </c>
      <c r="F22">
        <v>12</v>
      </c>
      <c r="G22">
        <f t="shared" si="1"/>
        <v>-15756000</v>
      </c>
      <c r="H22">
        <f t="shared" si="2"/>
        <v>0</v>
      </c>
      <c r="I22">
        <f t="shared" si="3"/>
        <v>-15756000</v>
      </c>
      <c r="O22">
        <v>18</v>
      </c>
      <c r="P22">
        <v>12</v>
      </c>
      <c r="Q22">
        <v>13</v>
      </c>
    </row>
    <row r="23" spans="1:17">
      <c r="A23" s="19" t="s">
        <v>4427</v>
      </c>
      <c r="B23" s="18">
        <v>2000000</v>
      </c>
      <c r="C23" s="18">
        <v>0</v>
      </c>
      <c r="D23" s="3">
        <f t="shared" si="0"/>
        <v>2000000</v>
      </c>
      <c r="E23" s="19" t="s">
        <v>3853</v>
      </c>
      <c r="F23">
        <v>8</v>
      </c>
      <c r="G23">
        <f t="shared" si="1"/>
        <v>16000000</v>
      </c>
      <c r="H23">
        <f t="shared" si="2"/>
        <v>0</v>
      </c>
      <c r="I23">
        <f t="shared" si="3"/>
        <v>16000000</v>
      </c>
      <c r="O23">
        <v>19</v>
      </c>
      <c r="P23">
        <v>11</v>
      </c>
      <c r="Q23">
        <v>12</v>
      </c>
    </row>
    <row r="24" spans="1:17">
      <c r="A24" s="19" t="s">
        <v>4428</v>
      </c>
      <c r="B24" s="18">
        <v>-1900000</v>
      </c>
      <c r="C24" s="18">
        <v>0</v>
      </c>
      <c r="D24" s="3">
        <f t="shared" si="0"/>
        <v>-1900000</v>
      </c>
      <c r="E24" s="19" t="s">
        <v>3732</v>
      </c>
      <c r="F24">
        <v>7</v>
      </c>
      <c r="G24">
        <f t="shared" si="1"/>
        <v>-13300000</v>
      </c>
      <c r="H24">
        <f t="shared" si="2"/>
        <v>0</v>
      </c>
      <c r="I24">
        <f t="shared" si="3"/>
        <v>-13300000</v>
      </c>
      <c r="O24">
        <v>20</v>
      </c>
      <c r="P24">
        <v>10</v>
      </c>
      <c r="Q24">
        <v>11</v>
      </c>
    </row>
    <row r="25" spans="1:17">
      <c r="A25" s="19" t="s">
        <v>4428</v>
      </c>
      <c r="B25" s="18">
        <v>-100500</v>
      </c>
      <c r="C25" s="18">
        <v>0</v>
      </c>
      <c r="D25" s="3">
        <f t="shared" si="0"/>
        <v>-100500</v>
      </c>
      <c r="E25" s="19" t="s">
        <v>4430</v>
      </c>
      <c r="F25">
        <v>7</v>
      </c>
      <c r="G25">
        <f t="shared" si="1"/>
        <v>-703500</v>
      </c>
      <c r="H25">
        <f t="shared" si="2"/>
        <v>0</v>
      </c>
      <c r="I25">
        <f t="shared" si="3"/>
        <v>-703500</v>
      </c>
      <c r="O25">
        <v>21</v>
      </c>
      <c r="P25">
        <v>9</v>
      </c>
      <c r="Q25">
        <v>10</v>
      </c>
    </row>
    <row r="26" spans="1:17">
      <c r="A26" s="19" t="s">
        <v>4428</v>
      </c>
      <c r="B26" s="18">
        <v>-68670</v>
      </c>
      <c r="C26" s="18">
        <v>0</v>
      </c>
      <c r="D26" s="3">
        <f t="shared" si="0"/>
        <v>-68670</v>
      </c>
      <c r="E26" s="19" t="s">
        <v>4434</v>
      </c>
      <c r="F26">
        <v>7</v>
      </c>
      <c r="G26">
        <f t="shared" si="1"/>
        <v>-480690</v>
      </c>
      <c r="H26">
        <f t="shared" si="2"/>
        <v>0</v>
      </c>
      <c r="I26">
        <f t="shared" si="3"/>
        <v>-480690</v>
      </c>
      <c r="O26">
        <v>22</v>
      </c>
      <c r="P26">
        <v>8</v>
      </c>
      <c r="Q26">
        <v>9</v>
      </c>
    </row>
    <row r="27" spans="1:17">
      <c r="A27" s="19" t="s">
        <v>4431</v>
      </c>
      <c r="B27" s="18">
        <v>-118600</v>
      </c>
      <c r="C27" s="18">
        <v>0</v>
      </c>
      <c r="D27" s="3">
        <f t="shared" si="0"/>
        <v>-118600</v>
      </c>
      <c r="E27" s="19" t="s">
        <v>4436</v>
      </c>
      <c r="F27">
        <v>6</v>
      </c>
      <c r="G27">
        <f t="shared" si="1"/>
        <v>-711600</v>
      </c>
      <c r="H27">
        <f t="shared" si="2"/>
        <v>0</v>
      </c>
      <c r="I27">
        <f t="shared" si="3"/>
        <v>-711600</v>
      </c>
      <c r="O27">
        <v>23</v>
      </c>
      <c r="P27">
        <v>7</v>
      </c>
      <c r="Q27">
        <v>8</v>
      </c>
    </row>
    <row r="28" spans="1:17">
      <c r="A28" s="19" t="s">
        <v>4441</v>
      </c>
      <c r="B28" s="18">
        <v>6779000</v>
      </c>
      <c r="C28" s="18">
        <v>0</v>
      </c>
      <c r="D28" s="3">
        <f t="shared" si="0"/>
        <v>6779000</v>
      </c>
      <c r="E28" s="19" t="s">
        <v>3853</v>
      </c>
      <c r="F28">
        <v>3</v>
      </c>
      <c r="G28">
        <f t="shared" si="1"/>
        <v>20337000</v>
      </c>
      <c r="H28">
        <f t="shared" si="2"/>
        <v>0</v>
      </c>
      <c r="I28">
        <f t="shared" si="3"/>
        <v>20337000</v>
      </c>
      <c r="O28">
        <v>24</v>
      </c>
      <c r="P28">
        <v>6</v>
      </c>
      <c r="Q28">
        <v>7</v>
      </c>
    </row>
    <row r="29" spans="1:17">
      <c r="A29" s="19" t="s">
        <v>4441</v>
      </c>
      <c r="B29" s="18">
        <v>-6400000</v>
      </c>
      <c r="C29" s="18">
        <v>0</v>
      </c>
      <c r="D29" s="3">
        <f t="shared" si="0"/>
        <v>-6400000</v>
      </c>
      <c r="E29" s="19" t="s">
        <v>3732</v>
      </c>
      <c r="F29">
        <v>3</v>
      </c>
      <c r="G29">
        <f t="shared" si="1"/>
        <v>-19200000</v>
      </c>
      <c r="H29">
        <f t="shared" si="2"/>
        <v>0</v>
      </c>
      <c r="I29">
        <f t="shared" si="3"/>
        <v>-19200000</v>
      </c>
      <c r="O29">
        <v>25</v>
      </c>
      <c r="P29">
        <v>5</v>
      </c>
      <c r="Q29">
        <v>6</v>
      </c>
    </row>
    <row r="30" spans="1:17">
      <c r="A30" s="19" t="s">
        <v>4441</v>
      </c>
      <c r="B30" s="18">
        <v>-389000</v>
      </c>
      <c r="C30" s="18">
        <v>0</v>
      </c>
      <c r="D30" s="3">
        <f t="shared" si="0"/>
        <v>-389000</v>
      </c>
      <c r="E30" s="19" t="s">
        <v>4443</v>
      </c>
      <c r="F30">
        <v>3</v>
      </c>
      <c r="G30">
        <f t="shared" si="1"/>
        <v>-1167000</v>
      </c>
      <c r="H30">
        <f t="shared" si="2"/>
        <v>0</v>
      </c>
      <c r="I30">
        <f t="shared" si="3"/>
        <v>-1167000</v>
      </c>
      <c r="O30">
        <v>26</v>
      </c>
      <c r="P30">
        <v>4</v>
      </c>
      <c r="Q30">
        <v>5</v>
      </c>
    </row>
    <row r="31" spans="1:17">
      <c r="A31" s="2" t="s">
        <v>4122</v>
      </c>
      <c r="B31" s="2"/>
      <c r="C31" s="2">
        <v>0</v>
      </c>
      <c r="D31" s="2">
        <f t="shared" si="0"/>
        <v>0</v>
      </c>
      <c r="E31" s="2"/>
      <c r="G31">
        <f>B31*F31</f>
        <v>0</v>
      </c>
      <c r="H31">
        <f>C31*F31</f>
        <v>0</v>
      </c>
      <c r="I31">
        <f>D31*F31</f>
        <v>0</v>
      </c>
      <c r="L31" t="s">
        <v>25</v>
      </c>
      <c r="O31">
        <v>27</v>
      </c>
      <c r="P31">
        <v>3</v>
      </c>
      <c r="Q31">
        <v>4</v>
      </c>
    </row>
    <row r="32" spans="1:17">
      <c r="A32" s="2" t="s">
        <v>6</v>
      </c>
      <c r="B32" s="3">
        <f>SUM(B2:B31)</f>
        <v>5755</v>
      </c>
      <c r="C32" s="3">
        <f>SUM(C2:C31)</f>
        <v>0</v>
      </c>
      <c r="D32" s="3">
        <f>SUM(D2:D31)</f>
        <v>5755</v>
      </c>
      <c r="E32" s="2"/>
      <c r="O32">
        <v>28</v>
      </c>
      <c r="P32">
        <v>2</v>
      </c>
      <c r="Q32">
        <v>3</v>
      </c>
    </row>
    <row r="33" spans="2:17">
      <c r="G33" s="18">
        <f>SUM(G2:G31)</f>
        <v>29541533</v>
      </c>
      <c r="H33" s="18">
        <f>SUM(H2:H31)</f>
        <v>136582862</v>
      </c>
      <c r="I33" s="18">
        <f>SUM(I2:I31)</f>
        <v>-107041329</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D37" s="36"/>
      <c r="E37" s="36" t="s">
        <v>85</v>
      </c>
    </row>
    <row r="38" spans="2:17">
      <c r="D38" s="7">
        <v>0</v>
      </c>
      <c r="E38" s="36" t="s">
        <v>4393</v>
      </c>
      <c r="G38" s="18">
        <v>600</v>
      </c>
      <c r="H38" s="18">
        <f>G38*H33/G33</f>
        <v>2774.0509336465375</v>
      </c>
      <c r="I38" s="18">
        <f>G38*I33/G33</f>
        <v>-2174.0509336465375</v>
      </c>
    </row>
    <row r="39" spans="2:17" ht="30">
      <c r="D39" s="7">
        <v>1000000</v>
      </c>
      <c r="E39" s="45" t="s">
        <v>4396</v>
      </c>
      <c r="G39" s="9" t="s">
        <v>1000</v>
      </c>
      <c r="H39" s="9" t="s">
        <v>38</v>
      </c>
      <c r="I39" s="9" t="s">
        <v>39</v>
      </c>
    </row>
    <row r="40" spans="2:17">
      <c r="B40" s="7"/>
      <c r="D40" s="7">
        <v>189200</v>
      </c>
      <c r="E40" s="45" t="s">
        <v>4398</v>
      </c>
    </row>
    <row r="41" spans="2:17">
      <c r="D41" s="7">
        <v>40000</v>
      </c>
      <c r="E41" s="45" t="s">
        <v>4397</v>
      </c>
    </row>
    <row r="42" spans="2:17">
      <c r="D42" s="7">
        <v>-490000</v>
      </c>
      <c r="E42" s="45" t="s">
        <v>4401</v>
      </c>
    </row>
    <row r="43" spans="2:17">
      <c r="D43" s="7">
        <v>-597051</v>
      </c>
      <c r="E43" s="45" t="s">
        <v>4410</v>
      </c>
    </row>
    <row r="44" spans="2:17">
      <c r="D44" s="7">
        <v>13900</v>
      </c>
      <c r="E44" s="45" t="s">
        <v>4411</v>
      </c>
    </row>
    <row r="45" spans="2:17">
      <c r="D45" s="7">
        <v>2000000</v>
      </c>
      <c r="E45" s="45" t="s">
        <v>4412</v>
      </c>
      <c r="G45" t="s">
        <v>25</v>
      </c>
    </row>
    <row r="46" spans="2:17">
      <c r="D46" s="7">
        <v>-300000</v>
      </c>
      <c r="E46" s="45" t="s">
        <v>4413</v>
      </c>
      <c r="G46" t="s">
        <v>25</v>
      </c>
    </row>
    <row r="47" spans="2:17" ht="30">
      <c r="D47" s="7">
        <v>300000</v>
      </c>
      <c r="E47" s="45" t="s">
        <v>4418</v>
      </c>
      <c r="F47" t="s">
        <v>25</v>
      </c>
    </row>
    <row r="48" spans="2:17">
      <c r="D48" s="7">
        <v>124969</v>
      </c>
      <c r="E48" s="45" t="s">
        <v>3976</v>
      </c>
    </row>
    <row r="49" spans="4:8">
      <c r="D49" s="7">
        <v>12661</v>
      </c>
      <c r="E49" s="45" t="s">
        <v>4424</v>
      </c>
      <c r="H49" t="s">
        <v>25</v>
      </c>
    </row>
    <row r="50" spans="4:8">
      <c r="D50" s="7">
        <v>-55000</v>
      </c>
      <c r="E50" s="45" t="s">
        <v>4426</v>
      </c>
    </row>
    <row r="51" spans="4:8">
      <c r="D51" s="7">
        <v>100500</v>
      </c>
      <c r="E51" s="45" t="s">
        <v>4430</v>
      </c>
    </row>
    <row r="52" spans="4:8">
      <c r="D52" s="7">
        <v>68670</v>
      </c>
      <c r="E52" s="45" t="s">
        <v>4435</v>
      </c>
      <c r="F52" s="7" t="s">
        <v>25</v>
      </c>
      <c r="G52" s="36" t="s">
        <v>25</v>
      </c>
    </row>
    <row r="53" spans="4:8">
      <c r="D53" s="7">
        <v>111500</v>
      </c>
      <c r="E53" s="45" t="s">
        <v>61</v>
      </c>
      <c r="F53" s="7"/>
      <c r="G53" s="36"/>
    </row>
    <row r="54" spans="4:8">
      <c r="D54" s="7">
        <v>1000</v>
      </c>
      <c r="E54" s="45" t="s">
        <v>4442</v>
      </c>
      <c r="F54" s="7"/>
      <c r="G54" s="36"/>
    </row>
    <row r="55" spans="4:8">
      <c r="D55" s="7">
        <v>389000</v>
      </c>
      <c r="E55" s="45" t="s">
        <v>3998</v>
      </c>
      <c r="F55" s="7"/>
      <c r="G55" s="36"/>
    </row>
    <row r="56" spans="4:8">
      <c r="E56" s="45" t="s">
        <v>25</v>
      </c>
      <c r="H56" t="s">
        <v>25</v>
      </c>
    </row>
    <row r="57" spans="4:8">
      <c r="D57" s="7">
        <f>SUM(D38:D56)</f>
        <v>2909349</v>
      </c>
      <c r="E57" t="s">
        <v>6</v>
      </c>
    </row>
    <row r="58" spans="4:8">
      <c r="D58" s="7"/>
      <c r="E58" s="36" t="s">
        <v>25</v>
      </c>
    </row>
    <row r="59" spans="4:8">
      <c r="E59" t="s">
        <v>25</v>
      </c>
    </row>
    <row r="60" spans="4:8">
      <c r="E60" t="s">
        <v>25</v>
      </c>
    </row>
    <row r="62" spans="4:8">
      <c r="E62" t="s">
        <v>25</v>
      </c>
    </row>
    <row r="63" spans="4:8">
      <c r="E63" t="s">
        <v>25</v>
      </c>
      <c r="G63" t="s">
        <v>25</v>
      </c>
    </row>
    <row r="65" spans="6:8">
      <c r="H65" t="s">
        <v>25</v>
      </c>
    </row>
    <row r="69" spans="6:8">
      <c r="H69" t="s">
        <v>25</v>
      </c>
    </row>
    <row r="73" spans="6:8">
      <c r="F73" s="7"/>
      <c r="G73" s="45"/>
    </row>
    <row r="74" spans="6:8">
      <c r="F74" s="7"/>
      <c r="G74" s="45" t="s">
        <v>25</v>
      </c>
    </row>
    <row r="75" spans="6:8">
      <c r="F75" s="7"/>
      <c r="G75" s="45" t="s">
        <v>25</v>
      </c>
    </row>
    <row r="76" spans="6:8">
      <c r="F76" s="7"/>
      <c r="G76" s="45" t="s">
        <v>25</v>
      </c>
    </row>
    <row r="80" spans="6:8">
      <c r="G80" t="s">
        <v>25</v>
      </c>
    </row>
    <row r="110" spans="7:7">
      <c r="G110" t="s">
        <v>25</v>
      </c>
    </row>
  </sheetData>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4366</v>
      </c>
      <c r="B2" s="3">
        <f>'آذر 97'!B32</f>
        <v>5755</v>
      </c>
      <c r="C2" s="1">
        <f>'آذر 97'!C32</f>
        <v>0</v>
      </c>
      <c r="D2" s="3">
        <f>B2-C2</f>
        <v>5755</v>
      </c>
      <c r="E2" s="2" t="s">
        <v>59</v>
      </c>
      <c r="F2">
        <v>30</v>
      </c>
      <c r="G2">
        <f>B2*F2</f>
        <v>172650</v>
      </c>
      <c r="H2">
        <f>C2*F2</f>
        <v>0</v>
      </c>
      <c r="I2">
        <f>D2*F2</f>
        <v>172650</v>
      </c>
    </row>
    <row r="3" spans="1:17">
      <c r="A3" s="20" t="s">
        <v>4460</v>
      </c>
      <c r="B3" s="18">
        <v>220000</v>
      </c>
      <c r="C3" s="18">
        <v>0</v>
      </c>
      <c r="D3" s="3">
        <f t="shared" ref="D3:D30" si="0">B3-C3</f>
        <v>220000</v>
      </c>
      <c r="E3" s="20" t="s">
        <v>3853</v>
      </c>
      <c r="F3">
        <v>29</v>
      </c>
      <c r="G3">
        <f t="shared" ref="G3:G30" si="1">B3*F3</f>
        <v>6380000</v>
      </c>
      <c r="H3">
        <f t="shared" ref="H3:H30" si="2">C3*F3</f>
        <v>0</v>
      </c>
      <c r="I3">
        <f t="shared" ref="I3:I30" si="3">D3*F3</f>
        <v>6380000</v>
      </c>
    </row>
    <row r="4" spans="1:17">
      <c r="A4" s="20" t="s">
        <v>4460</v>
      </c>
      <c r="B4" s="18">
        <v>-109390</v>
      </c>
      <c r="C4" s="18">
        <v>0</v>
      </c>
      <c r="D4" s="3">
        <f t="shared" si="0"/>
        <v>-109390</v>
      </c>
      <c r="E4" s="11" t="s">
        <v>433</v>
      </c>
      <c r="F4">
        <v>29</v>
      </c>
      <c r="G4">
        <f t="shared" si="1"/>
        <v>-3172310</v>
      </c>
      <c r="H4">
        <f t="shared" si="2"/>
        <v>0</v>
      </c>
      <c r="I4">
        <f t="shared" si="3"/>
        <v>-3172310</v>
      </c>
    </row>
    <row r="5" spans="1:17">
      <c r="A5" s="27" t="s">
        <v>4464</v>
      </c>
      <c r="B5" s="18">
        <v>100000</v>
      </c>
      <c r="C5" s="18">
        <v>0</v>
      </c>
      <c r="D5" s="3">
        <f t="shared" si="0"/>
        <v>100000</v>
      </c>
      <c r="E5" s="20" t="s">
        <v>3853</v>
      </c>
      <c r="F5">
        <v>27</v>
      </c>
      <c r="G5">
        <f t="shared" si="1"/>
        <v>2700000</v>
      </c>
      <c r="H5">
        <f t="shared" si="2"/>
        <v>0</v>
      </c>
      <c r="I5">
        <f t="shared" si="3"/>
        <v>2700000</v>
      </c>
      <c r="O5">
        <v>1</v>
      </c>
      <c r="P5">
        <v>29</v>
      </c>
      <c r="Q5">
        <v>30</v>
      </c>
    </row>
    <row r="6" spans="1:17">
      <c r="A6" s="17" t="s">
        <v>4464</v>
      </c>
      <c r="B6" s="18">
        <v>2600000</v>
      </c>
      <c r="C6" s="18">
        <v>0</v>
      </c>
      <c r="D6" s="3">
        <f t="shared" si="0"/>
        <v>2600000</v>
      </c>
      <c r="E6" s="19" t="s">
        <v>3853</v>
      </c>
      <c r="F6">
        <v>27</v>
      </c>
      <c r="G6">
        <f t="shared" si="1"/>
        <v>70200000</v>
      </c>
      <c r="H6">
        <f t="shared" si="2"/>
        <v>0</v>
      </c>
      <c r="I6">
        <f t="shared" si="3"/>
        <v>70200000</v>
      </c>
      <c r="O6">
        <v>2</v>
      </c>
      <c r="P6">
        <v>28</v>
      </c>
      <c r="Q6">
        <v>29</v>
      </c>
    </row>
    <row r="7" spans="1:17">
      <c r="A7" s="17" t="s">
        <v>4467</v>
      </c>
      <c r="B7" s="18">
        <v>4400000</v>
      </c>
      <c r="C7" s="18">
        <v>0</v>
      </c>
      <c r="D7" s="3">
        <f t="shared" si="0"/>
        <v>4400000</v>
      </c>
      <c r="E7" s="19" t="s">
        <v>3853</v>
      </c>
      <c r="F7">
        <v>26</v>
      </c>
      <c r="G7">
        <f t="shared" si="1"/>
        <v>114400000</v>
      </c>
      <c r="H7">
        <f t="shared" si="2"/>
        <v>0</v>
      </c>
      <c r="I7">
        <f t="shared" si="3"/>
        <v>114400000</v>
      </c>
      <c r="O7">
        <v>3</v>
      </c>
      <c r="P7">
        <v>27</v>
      </c>
      <c r="Q7">
        <v>28</v>
      </c>
    </row>
    <row r="8" spans="1:17">
      <c r="A8" s="17" t="s">
        <v>4467</v>
      </c>
      <c r="B8" s="18">
        <v>-95000</v>
      </c>
      <c r="C8" s="18">
        <v>0</v>
      </c>
      <c r="D8" s="3">
        <f t="shared" si="0"/>
        <v>-95000</v>
      </c>
      <c r="E8" s="19" t="s">
        <v>1096</v>
      </c>
      <c r="F8">
        <v>27</v>
      </c>
      <c r="G8">
        <f t="shared" si="1"/>
        <v>-2565000</v>
      </c>
      <c r="H8">
        <f t="shared" si="2"/>
        <v>0</v>
      </c>
      <c r="I8">
        <f t="shared" si="3"/>
        <v>-2565000</v>
      </c>
      <c r="O8">
        <v>4</v>
      </c>
      <c r="P8">
        <v>26</v>
      </c>
      <c r="Q8">
        <v>27</v>
      </c>
    </row>
    <row r="9" spans="1:17">
      <c r="A9" s="17" t="s">
        <v>4470</v>
      </c>
      <c r="B9" s="18">
        <v>3000000</v>
      </c>
      <c r="C9" s="18">
        <v>0</v>
      </c>
      <c r="D9" s="3">
        <f t="shared" si="0"/>
        <v>3000000</v>
      </c>
      <c r="E9" s="21" t="s">
        <v>3853</v>
      </c>
      <c r="F9">
        <v>25</v>
      </c>
      <c r="G9">
        <f t="shared" si="1"/>
        <v>75000000</v>
      </c>
      <c r="H9">
        <f t="shared" si="2"/>
        <v>0</v>
      </c>
      <c r="I9">
        <f t="shared" si="3"/>
        <v>75000000</v>
      </c>
      <c r="O9">
        <v>5</v>
      </c>
      <c r="P9">
        <v>25</v>
      </c>
      <c r="Q9">
        <v>26</v>
      </c>
    </row>
    <row r="10" spans="1:17">
      <c r="A10" s="17" t="s">
        <v>4473</v>
      </c>
      <c r="B10" s="18">
        <v>2500000</v>
      </c>
      <c r="C10" s="18">
        <v>0</v>
      </c>
      <c r="D10" s="3">
        <f t="shared" si="0"/>
        <v>2500000</v>
      </c>
      <c r="E10" s="19" t="s">
        <v>3853</v>
      </c>
      <c r="F10">
        <v>24</v>
      </c>
      <c r="G10">
        <f t="shared" si="1"/>
        <v>60000000</v>
      </c>
      <c r="H10">
        <f t="shared" si="2"/>
        <v>0</v>
      </c>
      <c r="I10">
        <f t="shared" si="3"/>
        <v>60000000</v>
      </c>
      <c r="O10">
        <v>6</v>
      </c>
      <c r="P10">
        <v>24</v>
      </c>
      <c r="Q10">
        <v>25</v>
      </c>
    </row>
    <row r="11" spans="1:17">
      <c r="A11" s="17" t="s">
        <v>4473</v>
      </c>
      <c r="B11" s="18">
        <v>-1287000</v>
      </c>
      <c r="C11" s="18">
        <v>0</v>
      </c>
      <c r="D11" s="3">
        <f t="shared" si="0"/>
        <v>-1287000</v>
      </c>
      <c r="E11" s="19" t="s">
        <v>4474</v>
      </c>
      <c r="F11">
        <v>24</v>
      </c>
      <c r="G11">
        <f t="shared" si="1"/>
        <v>-30888000</v>
      </c>
      <c r="H11">
        <f t="shared" si="2"/>
        <v>0</v>
      </c>
      <c r="I11">
        <f t="shared" si="3"/>
        <v>-30888000</v>
      </c>
      <c r="O11">
        <v>7</v>
      </c>
      <c r="P11">
        <v>23</v>
      </c>
      <c r="Q11">
        <v>24</v>
      </c>
    </row>
    <row r="12" spans="1:17">
      <c r="A12" s="20" t="s">
        <v>4470</v>
      </c>
      <c r="B12" s="18">
        <v>-3900000</v>
      </c>
      <c r="C12" s="18">
        <v>0</v>
      </c>
      <c r="D12" s="3">
        <f t="shared" si="0"/>
        <v>-3900000</v>
      </c>
      <c r="E12" s="20" t="s">
        <v>3732</v>
      </c>
      <c r="F12">
        <v>26</v>
      </c>
      <c r="G12">
        <f t="shared" si="1"/>
        <v>-101400000</v>
      </c>
      <c r="H12">
        <f t="shared" si="2"/>
        <v>0</v>
      </c>
      <c r="I12">
        <f t="shared" si="3"/>
        <v>-101400000</v>
      </c>
      <c r="O12">
        <v>8</v>
      </c>
      <c r="P12">
        <v>22</v>
      </c>
      <c r="Q12">
        <v>23</v>
      </c>
    </row>
    <row r="13" spans="1:17">
      <c r="A13" s="20" t="s">
        <v>4471</v>
      </c>
      <c r="B13" s="18">
        <v>3800000</v>
      </c>
      <c r="C13" s="18">
        <v>0</v>
      </c>
      <c r="D13" s="3">
        <f t="shared" si="0"/>
        <v>3800000</v>
      </c>
      <c r="E13" s="20" t="s">
        <v>3853</v>
      </c>
      <c r="F13">
        <v>22</v>
      </c>
      <c r="G13">
        <f>B13*F13</f>
        <v>83600000</v>
      </c>
      <c r="H13">
        <f t="shared" si="2"/>
        <v>0</v>
      </c>
      <c r="I13">
        <f t="shared" si="3"/>
        <v>83600000</v>
      </c>
      <c r="O13">
        <v>9</v>
      </c>
      <c r="P13">
        <v>21</v>
      </c>
      <c r="Q13">
        <v>22</v>
      </c>
    </row>
    <row r="14" spans="1:17">
      <c r="A14" s="20" t="s">
        <v>4480</v>
      </c>
      <c r="B14" s="18">
        <v>21000000</v>
      </c>
      <c r="C14" s="18">
        <v>0</v>
      </c>
      <c r="D14" s="3">
        <f t="shared" si="0"/>
        <v>21000000</v>
      </c>
      <c r="E14" s="20" t="s">
        <v>3853</v>
      </c>
      <c r="F14">
        <v>21</v>
      </c>
      <c r="G14">
        <f t="shared" si="1"/>
        <v>441000000</v>
      </c>
      <c r="H14">
        <f t="shared" si="2"/>
        <v>0</v>
      </c>
      <c r="I14">
        <f t="shared" si="3"/>
        <v>441000000</v>
      </c>
      <c r="O14">
        <v>10</v>
      </c>
      <c r="P14">
        <v>20</v>
      </c>
      <c r="Q14">
        <v>21</v>
      </c>
    </row>
    <row r="15" spans="1:17">
      <c r="A15" s="20" t="s">
        <v>957</v>
      </c>
      <c r="B15" s="18">
        <v>3000000</v>
      </c>
      <c r="C15" s="18">
        <v>0</v>
      </c>
      <c r="D15" s="3">
        <f t="shared" si="0"/>
        <v>3000000</v>
      </c>
      <c r="E15" s="20" t="s">
        <v>3853</v>
      </c>
      <c r="F15">
        <v>20</v>
      </c>
      <c r="G15">
        <f t="shared" si="1"/>
        <v>60000000</v>
      </c>
      <c r="H15">
        <f t="shared" si="2"/>
        <v>0</v>
      </c>
      <c r="I15">
        <f t="shared" si="3"/>
        <v>60000000</v>
      </c>
      <c r="O15">
        <v>11</v>
      </c>
      <c r="P15">
        <v>19</v>
      </c>
      <c r="Q15">
        <v>20</v>
      </c>
    </row>
    <row r="16" spans="1:17">
      <c r="A16" s="20" t="s">
        <v>957</v>
      </c>
      <c r="B16" s="18">
        <v>2000000</v>
      </c>
      <c r="C16" s="18">
        <v>0</v>
      </c>
      <c r="D16" s="3">
        <f t="shared" si="0"/>
        <v>2000000</v>
      </c>
      <c r="E16" s="20" t="s">
        <v>3853</v>
      </c>
      <c r="F16">
        <v>20</v>
      </c>
      <c r="G16">
        <f t="shared" si="1"/>
        <v>40000000</v>
      </c>
      <c r="H16">
        <f t="shared" si="2"/>
        <v>0</v>
      </c>
      <c r="I16">
        <f t="shared" si="3"/>
        <v>40000000</v>
      </c>
      <c r="O16">
        <v>12</v>
      </c>
      <c r="P16">
        <v>18</v>
      </c>
      <c r="Q16">
        <v>19</v>
      </c>
    </row>
    <row r="17" spans="1:17">
      <c r="A17" s="20" t="s">
        <v>4482</v>
      </c>
      <c r="B17" s="18">
        <v>-2000000</v>
      </c>
      <c r="C17" s="18">
        <v>0</v>
      </c>
      <c r="D17" s="3">
        <f t="shared" si="0"/>
        <v>-2000000</v>
      </c>
      <c r="E17" s="20" t="s">
        <v>3732</v>
      </c>
      <c r="F17">
        <v>20</v>
      </c>
      <c r="G17">
        <f t="shared" si="1"/>
        <v>-40000000</v>
      </c>
      <c r="H17">
        <f t="shared" si="2"/>
        <v>0</v>
      </c>
      <c r="I17">
        <f t="shared" si="3"/>
        <v>-40000000</v>
      </c>
      <c r="O17">
        <v>13</v>
      </c>
      <c r="P17">
        <v>17</v>
      </c>
      <c r="Q17">
        <v>18</v>
      </c>
    </row>
    <row r="18" spans="1:17">
      <c r="A18" s="20" t="s">
        <v>4483</v>
      </c>
      <c r="B18" s="18">
        <v>-10000000</v>
      </c>
      <c r="C18" s="18">
        <v>0</v>
      </c>
      <c r="D18" s="3">
        <f t="shared" si="0"/>
        <v>-10000000</v>
      </c>
      <c r="E18" s="20" t="s">
        <v>3732</v>
      </c>
      <c r="F18">
        <v>19</v>
      </c>
      <c r="G18">
        <f t="shared" si="1"/>
        <v>-190000000</v>
      </c>
      <c r="H18">
        <f t="shared" si="2"/>
        <v>0</v>
      </c>
      <c r="I18">
        <f t="shared" si="3"/>
        <v>-190000000</v>
      </c>
      <c r="O18">
        <v>14</v>
      </c>
      <c r="P18">
        <v>16</v>
      </c>
      <c r="Q18">
        <v>17</v>
      </c>
    </row>
    <row r="19" spans="1:17">
      <c r="A19" s="20" t="s">
        <v>4485</v>
      </c>
      <c r="B19" s="18">
        <v>-16700000</v>
      </c>
      <c r="C19" s="18">
        <v>0</v>
      </c>
      <c r="D19" s="3">
        <f t="shared" si="0"/>
        <v>-16700000</v>
      </c>
      <c r="E19" s="20" t="s">
        <v>3732</v>
      </c>
      <c r="F19">
        <v>15</v>
      </c>
      <c r="G19">
        <f t="shared" si="1"/>
        <v>-250500000</v>
      </c>
      <c r="H19">
        <f t="shared" si="2"/>
        <v>0</v>
      </c>
      <c r="I19">
        <f t="shared" si="3"/>
        <v>-250500000</v>
      </c>
      <c r="O19">
        <v>15</v>
      </c>
      <c r="P19">
        <v>15</v>
      </c>
      <c r="Q19">
        <v>16</v>
      </c>
    </row>
    <row r="20" spans="1:17">
      <c r="A20" s="19" t="s">
        <v>4492</v>
      </c>
      <c r="B20" s="18">
        <v>12000000</v>
      </c>
      <c r="C20" s="18">
        <v>0</v>
      </c>
      <c r="D20" s="3">
        <f t="shared" si="0"/>
        <v>12000000</v>
      </c>
      <c r="E20" s="19" t="s">
        <v>3853</v>
      </c>
      <c r="F20">
        <v>12</v>
      </c>
      <c r="G20">
        <f t="shared" si="1"/>
        <v>144000000</v>
      </c>
      <c r="H20">
        <f t="shared" si="2"/>
        <v>0</v>
      </c>
      <c r="I20">
        <f t="shared" si="3"/>
        <v>144000000</v>
      </c>
      <c r="O20">
        <v>16</v>
      </c>
      <c r="P20">
        <v>14</v>
      </c>
      <c r="Q20">
        <v>15</v>
      </c>
    </row>
    <row r="21" spans="1:17">
      <c r="A21" s="19" t="s">
        <v>4495</v>
      </c>
      <c r="B21" s="18">
        <v>1900000</v>
      </c>
      <c r="C21" s="18">
        <v>0</v>
      </c>
      <c r="D21" s="3">
        <f t="shared" si="0"/>
        <v>1900000</v>
      </c>
      <c r="E21" s="19" t="s">
        <v>3853</v>
      </c>
      <c r="F21">
        <v>11</v>
      </c>
      <c r="G21">
        <f t="shared" si="1"/>
        <v>20900000</v>
      </c>
      <c r="H21">
        <f t="shared" si="2"/>
        <v>0</v>
      </c>
      <c r="I21">
        <f t="shared" si="3"/>
        <v>20900000</v>
      </c>
      <c r="O21">
        <v>17</v>
      </c>
      <c r="P21">
        <v>13</v>
      </c>
      <c r="Q21">
        <v>14</v>
      </c>
    </row>
    <row r="22" spans="1:17">
      <c r="A22" s="19" t="s">
        <v>4423</v>
      </c>
      <c r="B22" s="18">
        <v>-3995000</v>
      </c>
      <c r="C22" s="18">
        <v>0</v>
      </c>
      <c r="D22" s="3">
        <f t="shared" si="0"/>
        <v>-3995000</v>
      </c>
      <c r="E22" s="19" t="s">
        <v>4496</v>
      </c>
      <c r="F22">
        <v>12</v>
      </c>
      <c r="G22">
        <f t="shared" si="1"/>
        <v>-47940000</v>
      </c>
      <c r="H22">
        <f t="shared" si="2"/>
        <v>0</v>
      </c>
      <c r="I22">
        <f t="shared" si="3"/>
        <v>-47940000</v>
      </c>
      <c r="O22">
        <v>18</v>
      </c>
      <c r="P22">
        <v>12</v>
      </c>
      <c r="Q22">
        <v>13</v>
      </c>
    </row>
    <row r="23" spans="1:17">
      <c r="A23" s="19" t="s">
        <v>4427</v>
      </c>
      <c r="B23" s="18">
        <v>-2010700</v>
      </c>
      <c r="C23" s="18">
        <v>0</v>
      </c>
      <c r="D23" s="3">
        <f t="shared" si="0"/>
        <v>-2010700</v>
      </c>
      <c r="E23" s="19" t="s">
        <v>4505</v>
      </c>
      <c r="F23">
        <v>9</v>
      </c>
      <c r="G23">
        <f t="shared" si="1"/>
        <v>-18096300</v>
      </c>
      <c r="H23">
        <f t="shared" si="2"/>
        <v>0</v>
      </c>
      <c r="I23">
        <f t="shared" si="3"/>
        <v>-18096300</v>
      </c>
      <c r="O23">
        <v>19</v>
      </c>
      <c r="P23">
        <v>11</v>
      </c>
      <c r="Q23">
        <v>12</v>
      </c>
    </row>
    <row r="24" spans="1:17">
      <c r="A24" s="19" t="s">
        <v>4504</v>
      </c>
      <c r="B24" s="18">
        <v>-4000000</v>
      </c>
      <c r="C24" s="18">
        <v>0</v>
      </c>
      <c r="D24" s="3">
        <f t="shared" si="0"/>
        <v>-4000000</v>
      </c>
      <c r="E24" s="19" t="s">
        <v>3732</v>
      </c>
      <c r="F24">
        <v>9</v>
      </c>
      <c r="G24">
        <f t="shared" si="1"/>
        <v>-36000000</v>
      </c>
      <c r="H24">
        <f t="shared" si="2"/>
        <v>0</v>
      </c>
      <c r="I24">
        <f t="shared" si="3"/>
        <v>-36000000</v>
      </c>
      <c r="O24">
        <v>20</v>
      </c>
      <c r="P24">
        <v>10</v>
      </c>
      <c r="Q24">
        <v>11</v>
      </c>
    </row>
    <row r="25" spans="1:17">
      <c r="A25" s="19" t="s">
        <v>4508</v>
      </c>
      <c r="B25" s="18">
        <v>-5700000</v>
      </c>
      <c r="C25" s="18">
        <v>0</v>
      </c>
      <c r="D25" s="3">
        <f t="shared" si="0"/>
        <v>-5700000</v>
      </c>
      <c r="E25" s="19" t="s">
        <v>3732</v>
      </c>
      <c r="F25">
        <v>8</v>
      </c>
      <c r="G25">
        <f t="shared" si="1"/>
        <v>-45600000</v>
      </c>
      <c r="H25">
        <f t="shared" si="2"/>
        <v>0</v>
      </c>
      <c r="I25">
        <f t="shared" si="3"/>
        <v>-45600000</v>
      </c>
      <c r="O25">
        <v>21</v>
      </c>
      <c r="P25">
        <v>9</v>
      </c>
      <c r="Q25">
        <v>10</v>
      </c>
    </row>
    <row r="26" spans="1:17">
      <c r="A26" s="19" t="s">
        <v>4512</v>
      </c>
      <c r="B26" s="18">
        <v>8000000</v>
      </c>
      <c r="C26" s="18">
        <v>0</v>
      </c>
      <c r="D26" s="3">
        <f t="shared" si="0"/>
        <v>8000000</v>
      </c>
      <c r="E26" s="19" t="s">
        <v>3853</v>
      </c>
      <c r="F26">
        <v>5</v>
      </c>
      <c r="G26">
        <f t="shared" si="1"/>
        <v>40000000</v>
      </c>
      <c r="H26">
        <f t="shared" si="2"/>
        <v>0</v>
      </c>
      <c r="I26">
        <f t="shared" si="3"/>
        <v>40000000</v>
      </c>
      <c r="O26">
        <v>22</v>
      </c>
      <c r="P26">
        <v>8</v>
      </c>
      <c r="Q26">
        <v>9</v>
      </c>
    </row>
    <row r="27" spans="1:17">
      <c r="A27" s="19" t="s">
        <v>3653</v>
      </c>
      <c r="B27" s="18">
        <v>-8000000</v>
      </c>
      <c r="C27" s="18">
        <v>0</v>
      </c>
      <c r="D27" s="3">
        <f t="shared" si="0"/>
        <v>-8000000</v>
      </c>
      <c r="E27" s="19" t="s">
        <v>3732</v>
      </c>
      <c r="F27">
        <v>5</v>
      </c>
      <c r="G27">
        <f t="shared" si="1"/>
        <v>-40000000</v>
      </c>
      <c r="H27">
        <f t="shared" si="2"/>
        <v>0</v>
      </c>
      <c r="I27">
        <f t="shared" si="3"/>
        <v>-40000000</v>
      </c>
      <c r="O27">
        <v>23</v>
      </c>
      <c r="P27">
        <v>7</v>
      </c>
      <c r="Q27">
        <v>8</v>
      </c>
    </row>
    <row r="28" spans="1:17">
      <c r="A28" s="19" t="s">
        <v>4516</v>
      </c>
      <c r="B28" s="18">
        <v>-6000000</v>
      </c>
      <c r="C28" s="18">
        <v>0</v>
      </c>
      <c r="D28" s="3">
        <f t="shared" si="0"/>
        <v>-6000000</v>
      </c>
      <c r="E28" s="19" t="s">
        <v>3732</v>
      </c>
      <c r="F28">
        <v>2</v>
      </c>
      <c r="G28">
        <f t="shared" si="1"/>
        <v>-12000000</v>
      </c>
      <c r="H28">
        <f t="shared" si="2"/>
        <v>0</v>
      </c>
      <c r="I28">
        <f t="shared" si="3"/>
        <v>-12000000</v>
      </c>
      <c r="O28">
        <v>24</v>
      </c>
      <c r="P28">
        <v>6</v>
      </c>
      <c r="Q28">
        <v>7</v>
      </c>
    </row>
    <row r="29" spans="1:17">
      <c r="A29" s="19" t="s">
        <v>4516</v>
      </c>
      <c r="B29" s="18">
        <v>-77315</v>
      </c>
      <c r="C29" s="18">
        <v>0</v>
      </c>
      <c r="D29" s="3">
        <f t="shared" si="0"/>
        <v>-77315</v>
      </c>
      <c r="E29" s="19" t="s">
        <v>4518</v>
      </c>
      <c r="F29">
        <v>2</v>
      </c>
      <c r="G29">
        <f t="shared" si="1"/>
        <v>-154630</v>
      </c>
      <c r="H29">
        <f t="shared" si="2"/>
        <v>0</v>
      </c>
      <c r="I29">
        <f t="shared" si="3"/>
        <v>-154630</v>
      </c>
      <c r="O29">
        <v>25</v>
      </c>
      <c r="P29">
        <v>5</v>
      </c>
      <c r="Q29">
        <v>6</v>
      </c>
    </row>
    <row r="30" spans="1:17">
      <c r="A30" s="19" t="s">
        <v>4520</v>
      </c>
      <c r="B30" s="18">
        <v>-66850</v>
      </c>
      <c r="C30" s="18">
        <v>0</v>
      </c>
      <c r="D30" s="3">
        <f t="shared" si="0"/>
        <v>-66850</v>
      </c>
      <c r="E30" s="19" t="s">
        <v>4523</v>
      </c>
      <c r="F30">
        <v>1</v>
      </c>
      <c r="G30">
        <f t="shared" si="1"/>
        <v>-66850</v>
      </c>
      <c r="H30">
        <f t="shared" si="2"/>
        <v>0</v>
      </c>
      <c r="I30">
        <f t="shared" si="3"/>
        <v>-66850</v>
      </c>
      <c r="O30">
        <v>26</v>
      </c>
      <c r="P30">
        <v>4</v>
      </c>
      <c r="Q30">
        <v>5</v>
      </c>
    </row>
    <row r="31" spans="1:17">
      <c r="A31" s="2" t="s">
        <v>4520</v>
      </c>
      <c r="B31" s="2">
        <v>-30000</v>
      </c>
      <c r="C31" s="2">
        <v>0</v>
      </c>
      <c r="D31" s="2">
        <f>B31-C31</f>
        <v>-30000</v>
      </c>
      <c r="E31" s="2" t="s">
        <v>4522</v>
      </c>
      <c r="F31">
        <v>1</v>
      </c>
      <c r="G31">
        <f>B31*F31</f>
        <v>-30000</v>
      </c>
      <c r="H31">
        <f>C31*F31</f>
        <v>0</v>
      </c>
      <c r="I31">
        <f>D31*F31</f>
        <v>-30000</v>
      </c>
      <c r="L31" t="s">
        <v>25</v>
      </c>
      <c r="O31">
        <v>27</v>
      </c>
      <c r="P31">
        <v>3</v>
      </c>
      <c r="Q31">
        <v>4</v>
      </c>
    </row>
    <row r="32" spans="1:17">
      <c r="A32" s="2" t="s">
        <v>6</v>
      </c>
      <c r="B32" s="3">
        <f>SUM(B2:B31)</f>
        <v>554500</v>
      </c>
      <c r="C32" s="3">
        <f>SUM(C2:C31)</f>
        <v>0</v>
      </c>
      <c r="D32" s="3">
        <f>SUM(D2:D31)</f>
        <v>554500</v>
      </c>
      <c r="E32" s="2"/>
      <c r="O32">
        <v>28</v>
      </c>
      <c r="P32">
        <v>2</v>
      </c>
      <c r="Q32">
        <v>3</v>
      </c>
    </row>
    <row r="33" spans="2:17">
      <c r="G33" s="18">
        <f>SUM(G2:G31)</f>
        <v>339939560</v>
      </c>
      <c r="H33" s="18">
        <f>SUM(H2:H31)</f>
        <v>0</v>
      </c>
      <c r="I33" s="18">
        <f>SUM(I2:I31)</f>
        <v>339939560</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ht="19.5" customHeight="1">
      <c r="D38" s="18">
        <v>2909349</v>
      </c>
      <c r="E38" t="s">
        <v>95</v>
      </c>
      <c r="G38" s="18">
        <v>600</v>
      </c>
      <c r="H38" s="18">
        <f>G38*H33/G33</f>
        <v>0</v>
      </c>
      <c r="I38" s="18">
        <f>G38*I33/G33</f>
        <v>600</v>
      </c>
    </row>
    <row r="39" spans="2:17" ht="20.25" customHeight="1">
      <c r="D39" s="18">
        <v>59390</v>
      </c>
      <c r="E39" t="s">
        <v>4462</v>
      </c>
      <c r="G39" s="9" t="s">
        <v>1000</v>
      </c>
      <c r="H39" s="9" t="s">
        <v>38</v>
      </c>
      <c r="I39" s="9" t="s">
        <v>39</v>
      </c>
    </row>
    <row r="40" spans="2:17" ht="19.5" customHeight="1">
      <c r="B40" s="7"/>
      <c r="D40" s="18">
        <v>-1297612</v>
      </c>
      <c r="E40" t="s">
        <v>4466</v>
      </c>
    </row>
    <row r="41" spans="2:17" ht="24.75" customHeight="1">
      <c r="D41" s="18">
        <v>3576</v>
      </c>
      <c r="E41" t="s">
        <v>4468</v>
      </c>
    </row>
    <row r="42" spans="2:17" ht="30.75" customHeight="1">
      <c r="D42" s="18">
        <v>-400000</v>
      </c>
      <c r="E42" t="s">
        <v>4469</v>
      </c>
    </row>
    <row r="43" spans="2:17" ht="24.75" customHeight="1">
      <c r="D43" s="18">
        <v>30000</v>
      </c>
      <c r="E43" t="s">
        <v>3737</v>
      </c>
    </row>
    <row r="44" spans="2:17" ht="21.75" customHeight="1">
      <c r="D44" s="18">
        <v>57000</v>
      </c>
      <c r="E44" t="s">
        <v>4475</v>
      </c>
    </row>
    <row r="45" spans="2:17" ht="24.75" customHeight="1">
      <c r="D45" s="18">
        <v>-200000</v>
      </c>
      <c r="E45" t="s">
        <v>4481</v>
      </c>
      <c r="G45" t="s">
        <v>25</v>
      </c>
    </row>
    <row r="46" spans="2:17" ht="18.75" customHeight="1">
      <c r="D46" s="18">
        <v>2010700</v>
      </c>
      <c r="E46" t="s">
        <v>4506</v>
      </c>
      <c r="G46" t="s">
        <v>25</v>
      </c>
    </row>
    <row r="47" spans="2:17" ht="23.25" customHeight="1">
      <c r="D47" s="18">
        <v>-60000</v>
      </c>
      <c r="E47" t="s">
        <v>4513</v>
      </c>
      <c r="F47" t="s">
        <v>25</v>
      </c>
    </row>
    <row r="48" spans="2:17">
      <c r="D48" s="18">
        <v>49315</v>
      </c>
      <c r="E48" t="s">
        <v>4519</v>
      </c>
    </row>
    <row r="49" spans="4:8" ht="32.25" customHeight="1">
      <c r="D49" s="18"/>
      <c r="H49" t="s">
        <v>25</v>
      </c>
    </row>
    <row r="50" spans="4:8" ht="36" customHeight="1">
      <c r="D50" s="18"/>
    </row>
    <row r="51" spans="4:8">
      <c r="D51" s="18"/>
    </row>
    <row r="52" spans="4:8">
      <c r="D52" s="18"/>
      <c r="F52" s="7" t="s">
        <v>25</v>
      </c>
      <c r="G52" s="36" t="s">
        <v>25</v>
      </c>
    </row>
    <row r="53" spans="4:8">
      <c r="D53" s="18"/>
      <c r="F53" s="7"/>
      <c r="G53" s="36"/>
    </row>
    <row r="54" spans="4:8">
      <c r="D54" s="18"/>
      <c r="F54" s="7"/>
      <c r="G54" s="36"/>
    </row>
    <row r="55" spans="4:8">
      <c r="D55" s="18"/>
      <c r="F55" s="7"/>
      <c r="G55" s="36"/>
    </row>
    <row r="56" spans="4:8">
      <c r="D56" s="18"/>
      <c r="E56" t="s">
        <v>25</v>
      </c>
      <c r="H56" t="s">
        <v>25</v>
      </c>
    </row>
    <row r="57" spans="4:8">
      <c r="D57" s="18">
        <f>SUM(D38:D56)</f>
        <v>3161718</v>
      </c>
      <c r="E57" t="s">
        <v>6</v>
      </c>
    </row>
    <row r="58" spans="4:8">
      <c r="E58" t="s">
        <v>25</v>
      </c>
    </row>
    <row r="59" spans="4:8">
      <c r="E59" t="s">
        <v>25</v>
      </c>
    </row>
    <row r="60" spans="4:8">
      <c r="E60"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workbookViewId="0">
      <selection activeCell="F27" sqref="F27"/>
    </sheetView>
  </sheetViews>
  <sheetFormatPr defaultRowHeight="15"/>
  <cols>
    <col min="1" max="1" width="29.42578125" customWidth="1"/>
    <col min="2" max="2" width="18.28515625" bestFit="1" customWidth="1"/>
    <col min="3" max="3" width="23.85546875" bestFit="1" customWidth="1"/>
    <col min="4" max="4" width="19.85546875" bestFit="1" customWidth="1"/>
    <col min="5" max="7" width="18.5703125" customWidth="1"/>
    <col min="8" max="8" width="13.28515625" bestFit="1" customWidth="1"/>
    <col min="9" max="9" width="27.5703125" bestFit="1" customWidth="1"/>
    <col min="10" max="10" width="42.28515625" bestFit="1" customWidth="1"/>
    <col min="11" max="12" width="22.85546875" bestFit="1" customWidth="1"/>
    <col min="13" max="13" width="12" bestFit="1" customWidth="1"/>
    <col min="14" max="14" width="9" bestFit="1" customWidth="1"/>
    <col min="15" max="15" width="13.7109375" bestFit="1" customWidth="1"/>
    <col min="16" max="16" width="14.42578125" bestFit="1" customWidth="1"/>
    <col min="17" max="17" width="23" bestFit="1" customWidth="1"/>
  </cols>
  <sheetData>
    <row r="1" spans="1:11">
      <c r="A1" s="28"/>
      <c r="B1" s="28" t="s">
        <v>6749</v>
      </c>
      <c r="C1" s="28" t="s">
        <v>6750</v>
      </c>
      <c r="D1" s="28" t="s">
        <v>6751</v>
      </c>
      <c r="E1" s="302" t="s">
        <v>6837</v>
      </c>
      <c r="F1" s="302" t="s">
        <v>6926</v>
      </c>
      <c r="G1" s="302" t="s">
        <v>6927</v>
      </c>
      <c r="H1" s="302" t="s">
        <v>4221</v>
      </c>
    </row>
    <row r="2" spans="1:11">
      <c r="A2" s="28" t="s">
        <v>4788</v>
      </c>
      <c r="B2" s="243">
        <v>25.67</v>
      </c>
      <c r="C2" s="243">
        <v>25.2</v>
      </c>
      <c r="D2" s="243">
        <v>33.700000000000003</v>
      </c>
      <c r="E2" s="243">
        <v>27</v>
      </c>
      <c r="F2" s="243">
        <v>35</v>
      </c>
      <c r="G2" s="243">
        <v>30</v>
      </c>
      <c r="H2" s="243">
        <v>218</v>
      </c>
      <c r="J2">
        <f>H2/D2</f>
        <v>6.4688427299703255</v>
      </c>
      <c r="K2">
        <f>(H2-D2)/50</f>
        <v>3.6860000000000004</v>
      </c>
    </row>
    <row r="3" spans="1:11">
      <c r="A3" s="28" t="s">
        <v>4792</v>
      </c>
      <c r="B3" s="243">
        <v>2100</v>
      </c>
      <c r="C3" s="243">
        <v>1350</v>
      </c>
      <c r="D3" s="243">
        <v>4000</v>
      </c>
      <c r="E3" s="243">
        <v>2350</v>
      </c>
      <c r="F3" s="243"/>
      <c r="G3" s="243"/>
      <c r="H3" s="243">
        <v>19300</v>
      </c>
    </row>
    <row r="4" spans="1:11">
      <c r="A4" s="28" t="s">
        <v>4793</v>
      </c>
      <c r="B4" s="243">
        <v>608.1</v>
      </c>
      <c r="C4" s="243">
        <v>122</v>
      </c>
      <c r="D4" s="243">
        <v>1090</v>
      </c>
      <c r="E4" s="243">
        <v>375</v>
      </c>
      <c r="F4" s="243"/>
      <c r="G4" s="243"/>
      <c r="H4" s="243">
        <v>6934</v>
      </c>
    </row>
    <row r="5" spans="1:11">
      <c r="A5" s="28" t="s">
        <v>5431</v>
      </c>
      <c r="B5" s="243">
        <v>352</v>
      </c>
      <c r="C5" s="243">
        <v>110</v>
      </c>
      <c r="D5" s="243">
        <v>1113</v>
      </c>
      <c r="E5" s="243">
        <v>570</v>
      </c>
      <c r="F5" s="243"/>
      <c r="G5" s="243"/>
      <c r="H5" s="243">
        <v>6480</v>
      </c>
    </row>
    <row r="6" spans="1:11">
      <c r="A6" s="28" t="s">
        <v>4333</v>
      </c>
      <c r="B6" s="243">
        <v>2412</v>
      </c>
      <c r="C6" s="243">
        <v>2300</v>
      </c>
      <c r="D6" s="243">
        <v>1267</v>
      </c>
      <c r="E6" s="243">
        <v>900</v>
      </c>
      <c r="F6" s="243"/>
      <c r="G6" s="243"/>
      <c r="H6" s="243">
        <v>11500</v>
      </c>
    </row>
    <row r="7" spans="1:11">
      <c r="A7" s="28" t="s">
        <v>4794</v>
      </c>
      <c r="B7" s="243">
        <v>803</v>
      </c>
      <c r="C7" s="243">
        <v>590</v>
      </c>
      <c r="D7" s="243">
        <v>1813</v>
      </c>
      <c r="E7" s="243">
        <v>1435</v>
      </c>
      <c r="F7" s="243">
        <v>2800</v>
      </c>
      <c r="G7" s="243"/>
      <c r="H7" s="243">
        <v>11550</v>
      </c>
    </row>
    <row r="8" spans="1:11">
      <c r="A8" s="28" t="s">
        <v>4346</v>
      </c>
      <c r="B8" s="243">
        <v>424</v>
      </c>
      <c r="C8" s="243">
        <v>370</v>
      </c>
      <c r="D8" s="243">
        <v>684</v>
      </c>
      <c r="E8" s="243">
        <v>690</v>
      </c>
      <c r="F8" s="243">
        <v>600</v>
      </c>
      <c r="G8" s="243"/>
      <c r="H8" s="243">
        <v>3100</v>
      </c>
      <c r="J8" t="s">
        <v>25</v>
      </c>
    </row>
    <row r="9" spans="1:11">
      <c r="A9" s="28" t="s">
        <v>6604</v>
      </c>
      <c r="B9" s="243">
        <v>1019</v>
      </c>
      <c r="C9" s="243">
        <v>1000</v>
      </c>
      <c r="D9" s="243">
        <v>1518.9</v>
      </c>
      <c r="E9" s="243">
        <v>1360</v>
      </c>
      <c r="F9" s="243">
        <v>1500</v>
      </c>
      <c r="G9" s="243"/>
      <c r="H9" s="243">
        <v>6906</v>
      </c>
    </row>
    <row r="10" spans="1:11">
      <c r="A10" s="28" t="s">
        <v>6629</v>
      </c>
      <c r="B10" s="243">
        <v>197</v>
      </c>
      <c r="C10" s="243">
        <v>180</v>
      </c>
      <c r="D10" s="243">
        <v>674</v>
      </c>
      <c r="E10" s="243">
        <v>650</v>
      </c>
      <c r="F10" s="243">
        <v>500</v>
      </c>
      <c r="G10" s="243">
        <v>450</v>
      </c>
      <c r="H10" s="243">
        <v>2664</v>
      </c>
    </row>
    <row r="11" spans="1:11">
      <c r="A11" s="28" t="s">
        <v>4447</v>
      </c>
      <c r="B11" s="243">
        <f>6439/32.58</f>
        <v>197.6365868631062</v>
      </c>
      <c r="C11" s="243">
        <f>6400/32.58</f>
        <v>196.43953345610805</v>
      </c>
      <c r="D11" s="243">
        <v>66.7</v>
      </c>
      <c r="E11" s="243">
        <v>52</v>
      </c>
      <c r="F11" s="243">
        <v>70</v>
      </c>
      <c r="G11" s="243"/>
      <c r="H11" s="243">
        <v>660</v>
      </c>
    </row>
    <row r="12" spans="1:11">
      <c r="A12" s="28" t="s">
        <v>5715</v>
      </c>
      <c r="B12" s="243">
        <v>1454.9</v>
      </c>
      <c r="C12" s="243">
        <v>1150</v>
      </c>
      <c r="D12" s="243">
        <v>1769.9</v>
      </c>
      <c r="E12" s="243">
        <v>1750</v>
      </c>
      <c r="F12" s="243">
        <v>1400</v>
      </c>
      <c r="G12" s="243"/>
      <c r="H12" s="243">
        <v>19200</v>
      </c>
    </row>
    <row r="13" spans="1:11">
      <c r="A13" s="28" t="s">
        <v>4448</v>
      </c>
      <c r="B13" s="243">
        <v>563.70000000000005</v>
      </c>
      <c r="C13" s="243">
        <v>520</v>
      </c>
      <c r="D13" s="243">
        <v>474.9</v>
      </c>
      <c r="E13" s="243">
        <v>500</v>
      </c>
      <c r="F13" s="243">
        <v>670</v>
      </c>
      <c r="G13" s="243"/>
      <c r="H13" s="243">
        <v>3802</v>
      </c>
    </row>
    <row r="14" spans="1:11">
      <c r="A14" s="28" t="s">
        <v>5680</v>
      </c>
      <c r="B14" s="243">
        <v>726.7</v>
      </c>
      <c r="C14" s="243">
        <v>650</v>
      </c>
      <c r="D14" s="243">
        <v>535</v>
      </c>
      <c r="E14" s="243">
        <v>500</v>
      </c>
      <c r="F14" s="243">
        <v>600</v>
      </c>
      <c r="G14" s="243"/>
      <c r="H14" s="243">
        <v>3920</v>
      </c>
    </row>
    <row r="15" spans="1:11">
      <c r="A15" s="28" t="s">
        <v>6605</v>
      </c>
      <c r="B15" s="243">
        <v>1371.1</v>
      </c>
      <c r="C15" s="243">
        <v>1420</v>
      </c>
      <c r="D15" s="243">
        <v>1461.6</v>
      </c>
      <c r="E15" s="243">
        <v>1400</v>
      </c>
      <c r="F15" s="243">
        <v>1520</v>
      </c>
      <c r="G15" s="243"/>
      <c r="H15" s="243">
        <v>9312</v>
      </c>
      <c r="J15" t="s">
        <v>25</v>
      </c>
    </row>
    <row r="16" spans="1:11">
      <c r="A16" s="28"/>
      <c r="B16" s="243"/>
      <c r="C16" s="243"/>
      <c r="D16" s="243"/>
      <c r="E16" s="243"/>
      <c r="F16" s="243"/>
      <c r="G16" s="243"/>
      <c r="H16" s="243"/>
    </row>
    <row r="17" spans="1:10">
      <c r="A17" s="28"/>
      <c r="B17" s="243"/>
      <c r="C17" s="243"/>
      <c r="D17" s="243"/>
      <c r="E17" s="243"/>
      <c r="F17" s="243"/>
      <c r="G17" s="243"/>
      <c r="H17" s="243"/>
    </row>
    <row r="18" spans="1:10">
      <c r="A18" s="28" t="s">
        <v>6271</v>
      </c>
      <c r="B18" s="243">
        <v>100</v>
      </c>
      <c r="C18" s="243">
        <v>82</v>
      </c>
      <c r="D18" s="243">
        <v>169.4</v>
      </c>
      <c r="E18" s="243">
        <v>135</v>
      </c>
      <c r="F18" s="243"/>
      <c r="G18" s="243"/>
      <c r="H18" s="243">
        <v>955</v>
      </c>
    </row>
    <row r="19" spans="1:10">
      <c r="A19" s="28" t="s">
        <v>6273</v>
      </c>
      <c r="B19" s="243">
        <f>556/3</f>
        <v>185.33333333333334</v>
      </c>
      <c r="C19" s="243">
        <f>417.5/3</f>
        <v>139.16666666666666</v>
      </c>
      <c r="D19" s="243">
        <f>600/3</f>
        <v>200</v>
      </c>
      <c r="E19" s="243">
        <f>585/3</f>
        <v>195</v>
      </c>
      <c r="F19" s="243"/>
      <c r="G19" s="243"/>
      <c r="H19" s="243">
        <v>1670</v>
      </c>
      <c r="J19" t="s">
        <v>25</v>
      </c>
    </row>
    <row r="20" spans="1:10">
      <c r="A20" s="28" t="s">
        <v>6272</v>
      </c>
      <c r="B20" s="243">
        <f>2017/10.75</f>
        <v>187.62790697674419</v>
      </c>
      <c r="C20" s="243">
        <f>1413/10.75</f>
        <v>131.44186046511629</v>
      </c>
      <c r="D20" s="243">
        <v>250</v>
      </c>
      <c r="E20" s="243"/>
      <c r="F20" s="243"/>
      <c r="G20" s="243"/>
      <c r="H20" s="243">
        <v>1428</v>
      </c>
      <c r="J20" t="s">
        <v>25</v>
      </c>
    </row>
    <row r="21" spans="1:10">
      <c r="A21" s="28" t="s">
        <v>6928</v>
      </c>
      <c r="B21" s="243">
        <v>534.5</v>
      </c>
      <c r="C21" s="243">
        <v>500</v>
      </c>
      <c r="D21" s="243">
        <v>798.6</v>
      </c>
      <c r="E21" s="243">
        <v>765</v>
      </c>
      <c r="F21" s="243">
        <v>880</v>
      </c>
      <c r="G21" s="243"/>
      <c r="H21" s="243">
        <v>4790</v>
      </c>
    </row>
    <row r="22" spans="1:10">
      <c r="A22" s="28" t="s">
        <v>6612</v>
      </c>
      <c r="B22" s="243">
        <v>122.7</v>
      </c>
      <c r="C22" s="243">
        <v>155</v>
      </c>
      <c r="D22" s="243">
        <v>273.60000000000002</v>
      </c>
      <c r="E22" s="243">
        <v>220</v>
      </c>
      <c r="F22" s="243">
        <v>100</v>
      </c>
      <c r="G22" s="243"/>
      <c r="H22" s="243">
        <v>1399</v>
      </c>
      <c r="J22" t="s">
        <v>25</v>
      </c>
    </row>
    <row r="23" spans="1:10">
      <c r="A23" s="28" t="s">
        <v>6929</v>
      </c>
      <c r="B23" s="243">
        <v>595</v>
      </c>
      <c r="C23" s="243">
        <v>59.5</v>
      </c>
      <c r="D23" s="243">
        <v>639.79999999999995</v>
      </c>
      <c r="E23" s="243">
        <v>320</v>
      </c>
      <c r="F23" s="243">
        <v>1500</v>
      </c>
      <c r="G23" s="243"/>
      <c r="H23" s="243">
        <v>9000</v>
      </c>
    </row>
    <row r="24" spans="1:10">
      <c r="A24" s="28"/>
      <c r="B24" s="243"/>
      <c r="C24" s="243"/>
      <c r="D24" s="243"/>
      <c r="E24" s="243"/>
      <c r="F24" s="243"/>
      <c r="G24" s="243"/>
      <c r="H24" s="243"/>
      <c r="J24" t="s">
        <v>25</v>
      </c>
    </row>
    <row r="25" spans="1:10">
      <c r="A25" s="28" t="s">
        <v>5706</v>
      </c>
      <c r="B25" s="243">
        <v>173</v>
      </c>
      <c r="C25" s="243">
        <v>170</v>
      </c>
      <c r="D25" s="243">
        <v>431</v>
      </c>
      <c r="E25" s="243">
        <v>400</v>
      </c>
      <c r="F25" s="243">
        <v>630</v>
      </c>
      <c r="G25" s="243">
        <v>600</v>
      </c>
      <c r="H25" s="243">
        <v>4375</v>
      </c>
      <c r="J25" t="s">
        <v>25</v>
      </c>
    </row>
    <row r="26" spans="1:10">
      <c r="A26" s="28" t="s">
        <v>6171</v>
      </c>
      <c r="B26" s="243">
        <v>95</v>
      </c>
      <c r="C26" s="243">
        <v>65</v>
      </c>
      <c r="D26" s="243">
        <v>175</v>
      </c>
      <c r="E26" s="243">
        <v>127</v>
      </c>
      <c r="F26" s="243">
        <v>120</v>
      </c>
      <c r="G26" s="243">
        <v>90</v>
      </c>
      <c r="H26" s="243">
        <v>1229</v>
      </c>
    </row>
    <row r="27" spans="1:10">
      <c r="A27" s="28" t="s">
        <v>5705</v>
      </c>
      <c r="B27" s="243">
        <v>144</v>
      </c>
      <c r="C27" s="243">
        <v>100</v>
      </c>
      <c r="D27" s="243">
        <v>230</v>
      </c>
      <c r="E27" s="243">
        <v>159</v>
      </c>
      <c r="F27" s="243">
        <v>160</v>
      </c>
      <c r="G27" s="243">
        <v>120</v>
      </c>
      <c r="H27" s="243">
        <v>1390</v>
      </c>
    </row>
    <row r="28" spans="1:10">
      <c r="A28" s="28" t="s">
        <v>4477</v>
      </c>
      <c r="B28" s="243">
        <v>65</v>
      </c>
      <c r="C28" s="243">
        <v>14</v>
      </c>
      <c r="D28" s="243">
        <v>126</v>
      </c>
      <c r="E28" s="243">
        <v>70</v>
      </c>
      <c r="F28" s="243">
        <v>110</v>
      </c>
      <c r="G28" s="243">
        <v>65</v>
      </c>
      <c r="H28" s="243">
        <v>620</v>
      </c>
    </row>
    <row r="29" spans="1:10">
      <c r="A29" s="28" t="s">
        <v>6626</v>
      </c>
      <c r="B29" s="243">
        <v>130.6</v>
      </c>
      <c r="C29" s="243">
        <v>40</v>
      </c>
      <c r="D29" s="243">
        <v>369</v>
      </c>
      <c r="E29" s="243">
        <v>170</v>
      </c>
      <c r="F29" s="243">
        <v>300</v>
      </c>
      <c r="G29" s="243">
        <v>150</v>
      </c>
      <c r="H29" s="243">
        <v>1142</v>
      </c>
    </row>
    <row r="30" spans="1:10">
      <c r="A30" s="28" t="s">
        <v>5712</v>
      </c>
      <c r="B30" s="243">
        <v>223</v>
      </c>
      <c r="C30" s="243">
        <v>80</v>
      </c>
      <c r="D30" s="243">
        <v>300</v>
      </c>
      <c r="E30" s="243">
        <v>33</v>
      </c>
      <c r="F30" s="243"/>
      <c r="G30" s="243"/>
      <c r="H30" s="243">
        <v>441</v>
      </c>
    </row>
    <row r="31" spans="1:10">
      <c r="A31" s="28" t="s">
        <v>6753</v>
      </c>
      <c r="B31" s="243">
        <v>109</v>
      </c>
      <c r="C31" s="243">
        <v>47</v>
      </c>
      <c r="D31" s="243">
        <v>104.7</v>
      </c>
      <c r="E31" s="243">
        <v>115</v>
      </c>
      <c r="F31" s="243"/>
      <c r="G31" s="243"/>
      <c r="H31" s="243">
        <v>839</v>
      </c>
      <c r="J31" t="s">
        <v>25</v>
      </c>
    </row>
    <row r="32" spans="1:10">
      <c r="A32" s="28" t="s">
        <v>6758</v>
      </c>
      <c r="B32" s="243">
        <v>39.299999999999997</v>
      </c>
      <c r="C32" s="243">
        <v>35.700000000000003</v>
      </c>
      <c r="D32" s="243">
        <v>47</v>
      </c>
      <c r="E32" s="243"/>
      <c r="F32" s="243"/>
      <c r="G32" s="243"/>
      <c r="H32" s="243">
        <v>311</v>
      </c>
      <c r="J32" t="s">
        <v>25</v>
      </c>
    </row>
    <row r="33" spans="1:10">
      <c r="A33" s="28" t="s">
        <v>6127</v>
      </c>
      <c r="B33" s="243">
        <v>2959</v>
      </c>
      <c r="C33" s="243">
        <v>2400</v>
      </c>
      <c r="D33" s="243">
        <v>3500</v>
      </c>
      <c r="E33" s="243"/>
      <c r="F33" s="243"/>
      <c r="G33" s="243"/>
      <c r="H33" s="243">
        <v>25000</v>
      </c>
      <c r="J33" t="s">
        <v>25</v>
      </c>
    </row>
    <row r="34" spans="1:10">
      <c r="A34" s="28" t="s">
        <v>6830</v>
      </c>
      <c r="B34" s="243">
        <v>125</v>
      </c>
      <c r="C34" s="243">
        <v>100</v>
      </c>
      <c r="D34" s="243">
        <v>217.5</v>
      </c>
      <c r="E34" s="243">
        <v>170</v>
      </c>
      <c r="F34" s="243"/>
      <c r="G34" s="243"/>
      <c r="H34" s="243">
        <v>2086</v>
      </c>
    </row>
    <row r="35" spans="1:10">
      <c r="A35" s="28" t="s">
        <v>5753</v>
      </c>
      <c r="B35" s="243">
        <v>391</v>
      </c>
      <c r="C35" s="243">
        <v>353</v>
      </c>
      <c r="D35" s="243">
        <v>570</v>
      </c>
      <c r="E35" s="243">
        <v>510</v>
      </c>
      <c r="F35" s="243"/>
      <c r="G35" s="243"/>
      <c r="H35" s="243">
        <v>3500</v>
      </c>
    </row>
    <row r="36" spans="1:10">
      <c r="A36" s="28" t="s">
        <v>6755</v>
      </c>
      <c r="B36" s="243">
        <v>178</v>
      </c>
      <c r="C36" s="243">
        <v>146</v>
      </c>
      <c r="D36" s="243">
        <v>370</v>
      </c>
      <c r="E36" s="243"/>
      <c r="F36" s="243"/>
      <c r="G36" s="243"/>
      <c r="H36" s="243">
        <v>2300</v>
      </c>
    </row>
    <row r="37" spans="1:10">
      <c r="A37" s="28" t="s">
        <v>4192</v>
      </c>
      <c r="B37" s="243">
        <v>224</v>
      </c>
      <c r="C37" s="243">
        <v>193</v>
      </c>
      <c r="D37" s="243">
        <v>340</v>
      </c>
      <c r="E37" s="243">
        <v>280</v>
      </c>
      <c r="F37" s="243"/>
      <c r="G37" s="243"/>
      <c r="H37" s="243">
        <v>1425</v>
      </c>
    </row>
    <row r="38" spans="1:10">
      <c r="A38" s="28" t="s">
        <v>6763</v>
      </c>
      <c r="B38" s="243">
        <v>79.5</v>
      </c>
      <c r="C38" s="243">
        <v>55.7</v>
      </c>
      <c r="D38" s="243">
        <v>140</v>
      </c>
      <c r="E38" s="243">
        <v>100</v>
      </c>
      <c r="F38" s="243">
        <v>200</v>
      </c>
      <c r="G38" s="243">
        <v>160</v>
      </c>
      <c r="H38" s="243">
        <v>1364</v>
      </c>
    </row>
    <row r="39" spans="1:10">
      <c r="A39" s="28" t="s">
        <v>4487</v>
      </c>
      <c r="B39" s="243">
        <v>50</v>
      </c>
      <c r="C39" s="243">
        <v>50</v>
      </c>
      <c r="D39" s="243">
        <v>140</v>
      </c>
      <c r="E39" s="243"/>
      <c r="F39" s="243"/>
      <c r="G39" s="243"/>
      <c r="H39" s="243"/>
    </row>
    <row r="40" spans="1:10">
      <c r="A40" s="28" t="s">
        <v>5855</v>
      </c>
      <c r="B40" s="243">
        <v>578</v>
      </c>
      <c r="C40" s="243">
        <v>300</v>
      </c>
      <c r="D40" s="243">
        <v>800</v>
      </c>
      <c r="E40" s="243"/>
      <c r="F40" s="243"/>
      <c r="G40" s="243"/>
      <c r="H40" s="243"/>
    </row>
    <row r="41" spans="1:10">
      <c r="A41" s="28" t="s">
        <v>5711</v>
      </c>
      <c r="B41" s="243">
        <f>146.1/1.7</f>
        <v>85.941176470588232</v>
      </c>
      <c r="C41" s="243">
        <f>34.8/1.7</f>
        <v>20.470588235294116</v>
      </c>
      <c r="D41" s="243">
        <v>113</v>
      </c>
      <c r="E41" s="243">
        <v>50</v>
      </c>
      <c r="F41" s="243">
        <v>113</v>
      </c>
      <c r="G41" s="243">
        <v>50</v>
      </c>
      <c r="H41" s="243">
        <v>765</v>
      </c>
    </row>
    <row r="42" spans="1:10">
      <c r="A42" s="28" t="s">
        <v>6609</v>
      </c>
      <c r="B42" s="243">
        <v>108.8</v>
      </c>
      <c r="C42" s="243">
        <v>10.8</v>
      </c>
      <c r="D42" s="243">
        <v>132.9</v>
      </c>
      <c r="E42" s="243">
        <v>150</v>
      </c>
      <c r="F42" s="243">
        <v>150</v>
      </c>
      <c r="G42" s="243"/>
      <c r="H42" s="243">
        <v>939</v>
      </c>
    </row>
    <row r="43" spans="1:10">
      <c r="A43" s="28" t="s">
        <v>5232</v>
      </c>
      <c r="B43" s="243">
        <v>115.1</v>
      </c>
      <c r="C43" s="243">
        <v>82.5</v>
      </c>
      <c r="D43" s="243">
        <v>143.4</v>
      </c>
      <c r="E43" s="243">
        <v>130</v>
      </c>
      <c r="F43" s="243">
        <v>150</v>
      </c>
      <c r="G43" s="243"/>
      <c r="H43" s="243">
        <v>900</v>
      </c>
    </row>
    <row r="44" spans="1:10">
      <c r="A44" s="28"/>
      <c r="B44" s="243"/>
      <c r="C44" s="243"/>
      <c r="D44" s="243"/>
      <c r="E44" s="243"/>
      <c r="F44" s="243"/>
      <c r="G44" s="243"/>
      <c r="H44" s="243"/>
    </row>
    <row r="45" spans="1:10">
      <c r="A45" s="28" t="s">
        <v>6173</v>
      </c>
      <c r="B45" s="243">
        <v>66</v>
      </c>
      <c r="C45" s="243">
        <v>6.6</v>
      </c>
      <c r="D45" s="243">
        <v>82</v>
      </c>
      <c r="E45" s="243">
        <v>10</v>
      </c>
      <c r="F45" s="243"/>
      <c r="G45" s="243"/>
      <c r="H45" s="243">
        <v>400</v>
      </c>
    </row>
    <row r="46" spans="1:10">
      <c r="A46" s="28" t="s">
        <v>6172</v>
      </c>
      <c r="B46" s="243">
        <v>58</v>
      </c>
      <c r="C46" s="243">
        <v>7.5</v>
      </c>
      <c r="D46" s="243">
        <v>38.299999999999997</v>
      </c>
      <c r="E46" s="243">
        <v>13</v>
      </c>
      <c r="F46" s="243"/>
      <c r="G46" s="243"/>
      <c r="H46" s="243">
        <v>182</v>
      </c>
    </row>
    <row r="47" spans="1:10">
      <c r="A47" s="28"/>
      <c r="B47" s="243"/>
      <c r="C47" s="243"/>
      <c r="D47" s="243"/>
      <c r="E47" s="243"/>
      <c r="F47" s="243"/>
      <c r="G47" s="243"/>
      <c r="H47" s="243"/>
    </row>
    <row r="48" spans="1:10">
      <c r="A48" s="28" t="s">
        <v>6132</v>
      </c>
      <c r="B48" s="243">
        <v>110</v>
      </c>
      <c r="C48" s="243"/>
      <c r="D48" s="243"/>
      <c r="E48" s="243"/>
      <c r="F48" s="243"/>
      <c r="G48" s="243"/>
      <c r="H48" s="243"/>
    </row>
    <row r="49" spans="1:8">
      <c r="A49" s="28" t="s">
        <v>6135</v>
      </c>
      <c r="B49" s="243">
        <v>30</v>
      </c>
      <c r="C49" s="243"/>
      <c r="D49" s="243"/>
      <c r="E49" s="243"/>
      <c r="F49" s="243"/>
      <c r="G49" s="243"/>
      <c r="H49" s="243"/>
    </row>
    <row r="50" spans="1:8">
      <c r="A50" s="28" t="s">
        <v>6136</v>
      </c>
      <c r="B50" s="243">
        <v>100</v>
      </c>
      <c r="C50" s="243"/>
      <c r="D50" s="243"/>
      <c r="E50" s="243"/>
      <c r="F50" s="243"/>
      <c r="G50" s="243"/>
      <c r="H50" s="243"/>
    </row>
    <row r="51" spans="1:8">
      <c r="A51" s="28" t="s">
        <v>6137</v>
      </c>
      <c r="B51" s="243">
        <v>180</v>
      </c>
      <c r="C51" s="243"/>
      <c r="D51" s="243"/>
      <c r="E51" s="243"/>
      <c r="F51" s="243"/>
      <c r="G51" s="243"/>
      <c r="H51" s="243"/>
    </row>
    <row r="52" spans="1:8">
      <c r="A52" s="28" t="s">
        <v>6138</v>
      </c>
      <c r="B52" s="243">
        <v>100</v>
      </c>
      <c r="C52" s="243"/>
      <c r="D52" s="243"/>
      <c r="E52" s="243"/>
      <c r="F52" s="243"/>
      <c r="G52" s="243"/>
      <c r="H52" s="243"/>
    </row>
    <row r="53" spans="1:8">
      <c r="A53" s="28" t="s">
        <v>6139</v>
      </c>
      <c r="B53" s="243">
        <v>347</v>
      </c>
      <c r="C53" s="243"/>
      <c r="D53" s="243"/>
      <c r="E53" s="243"/>
      <c r="F53" s="243"/>
      <c r="G53" s="243"/>
      <c r="H53" s="243"/>
    </row>
    <row r="54" spans="1:8">
      <c r="A54" s="28" t="s">
        <v>6174</v>
      </c>
      <c r="B54" s="243">
        <v>219.8</v>
      </c>
      <c r="C54" s="243">
        <v>237</v>
      </c>
      <c r="D54" s="243">
        <v>354</v>
      </c>
      <c r="E54" s="243">
        <v>240</v>
      </c>
      <c r="F54" s="243"/>
      <c r="G54" s="243"/>
      <c r="H54" s="243">
        <v>2100</v>
      </c>
    </row>
    <row r="55" spans="1:8">
      <c r="A55" s="28"/>
      <c r="B55" s="243"/>
      <c r="C55" s="243"/>
      <c r="D55" s="243"/>
      <c r="E55" s="243"/>
      <c r="F55" s="243"/>
      <c r="G55" s="243"/>
      <c r="H55" s="243"/>
    </row>
    <row r="56" spans="1:8">
      <c r="A56" s="28" t="s">
        <v>6141</v>
      </c>
      <c r="B56" s="243">
        <v>150</v>
      </c>
      <c r="C56" s="243">
        <v>120</v>
      </c>
      <c r="D56" s="243">
        <v>172</v>
      </c>
      <c r="E56" s="243">
        <v>156</v>
      </c>
      <c r="F56" s="243"/>
      <c r="G56" s="243"/>
      <c r="H56" s="243">
        <v>1554</v>
      </c>
    </row>
    <row r="57" spans="1:8">
      <c r="A57" s="28"/>
      <c r="B57" s="243"/>
      <c r="C57" s="243"/>
      <c r="D57" s="243"/>
      <c r="E57" s="243"/>
      <c r="F57" s="243"/>
      <c r="G57" s="243"/>
      <c r="H57" s="243"/>
    </row>
    <row r="58" spans="1:8">
      <c r="A58" s="28" t="s">
        <v>6142</v>
      </c>
      <c r="B58" s="243">
        <v>80000000000</v>
      </c>
      <c r="C58" s="243">
        <v>70000000000</v>
      </c>
      <c r="D58" s="243">
        <v>100000000000</v>
      </c>
      <c r="E58" s="243"/>
      <c r="F58" s="243"/>
      <c r="G58" s="243"/>
      <c r="H58" s="243"/>
    </row>
    <row r="59" spans="1:8">
      <c r="A59" s="28" t="s">
        <v>6611</v>
      </c>
      <c r="B59" s="243">
        <v>263.5</v>
      </c>
      <c r="C59" s="243">
        <v>245</v>
      </c>
      <c r="D59" s="243">
        <v>56.3</v>
      </c>
      <c r="E59" s="243">
        <v>74</v>
      </c>
      <c r="F59" s="243">
        <v>0</v>
      </c>
      <c r="G59" s="243"/>
      <c r="H59" s="243">
        <v>1430</v>
      </c>
    </row>
    <row r="60" spans="1:8">
      <c r="A60" s="28"/>
      <c r="B60" s="243"/>
      <c r="C60" s="243"/>
      <c r="D60" s="243"/>
      <c r="E60" s="243"/>
      <c r="F60" s="243"/>
      <c r="G60" s="243"/>
      <c r="H60" s="243"/>
    </row>
    <row r="61" spans="1:8">
      <c r="A61" s="28" t="s">
        <v>5223</v>
      </c>
      <c r="B61" s="243"/>
      <c r="C61" s="243"/>
      <c r="D61" s="243"/>
      <c r="E61" s="243"/>
      <c r="F61" s="243"/>
      <c r="G61" s="243"/>
      <c r="H61" s="243">
        <v>490</v>
      </c>
    </row>
    <row r="62" spans="1:8">
      <c r="A62" s="28" t="s">
        <v>4617</v>
      </c>
      <c r="B62" s="243"/>
      <c r="C62" s="243"/>
      <c r="D62" s="243"/>
      <c r="E62" s="243"/>
      <c r="F62" s="243"/>
      <c r="G62" s="243"/>
      <c r="H62" s="243">
        <v>890</v>
      </c>
    </row>
    <row r="63" spans="1:8">
      <c r="A63" s="28"/>
      <c r="B63" s="243"/>
      <c r="C63" s="243"/>
      <c r="D63" s="243"/>
      <c r="E63" s="243"/>
      <c r="F63" s="243"/>
      <c r="G63" s="243"/>
      <c r="H63" s="243"/>
    </row>
    <row r="64" spans="1:8">
      <c r="A64" s="28"/>
      <c r="B64" s="243"/>
      <c r="C64" s="243"/>
      <c r="D64" s="243"/>
      <c r="E64" s="243"/>
      <c r="F64" s="243"/>
      <c r="G64" s="243"/>
      <c r="H64" s="243"/>
    </row>
    <row r="65" spans="1:8">
      <c r="A65" s="28"/>
      <c r="B65" s="243"/>
      <c r="C65" s="243"/>
      <c r="D65" s="243"/>
      <c r="E65" s="243"/>
      <c r="F65" s="243"/>
      <c r="G65" s="243"/>
      <c r="H65" s="243"/>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4520</v>
      </c>
      <c r="B2" s="3">
        <f>'دی 97'!B32</f>
        <v>554500</v>
      </c>
      <c r="C2" s="1">
        <f>'دی 97'!C32</f>
        <v>0</v>
      </c>
      <c r="D2" s="3">
        <f>B2-C2</f>
        <v>554500</v>
      </c>
      <c r="E2" s="2" t="s">
        <v>59</v>
      </c>
      <c r="F2">
        <v>30</v>
      </c>
      <c r="G2">
        <f>B2*F2</f>
        <v>16635000</v>
      </c>
      <c r="H2">
        <f>C2*F2</f>
        <v>0</v>
      </c>
      <c r="I2">
        <f>D2*F2</f>
        <v>16635000</v>
      </c>
    </row>
    <row r="3" spans="1:17">
      <c r="A3" s="20" t="s">
        <v>4526</v>
      </c>
      <c r="B3" s="18">
        <v>-45000</v>
      </c>
      <c r="C3" s="18">
        <v>0</v>
      </c>
      <c r="D3" s="3">
        <f t="shared" ref="D3:D31" si="0">B3-C3</f>
        <v>-45000</v>
      </c>
      <c r="E3" s="20" t="s">
        <v>3732</v>
      </c>
      <c r="F3">
        <v>29</v>
      </c>
      <c r="G3">
        <f t="shared" ref="G3:G30" si="1">B3*F3</f>
        <v>-1305000</v>
      </c>
      <c r="H3">
        <f t="shared" ref="H3:H30" si="2">C3*F3</f>
        <v>0</v>
      </c>
      <c r="I3">
        <f t="shared" ref="I3:I30" si="3">D3*F3</f>
        <v>-1305000</v>
      </c>
    </row>
    <row r="4" spans="1:17">
      <c r="A4" s="20" t="s">
        <v>4526</v>
      </c>
      <c r="B4" s="18">
        <v>-47848</v>
      </c>
      <c r="C4" s="18">
        <v>0</v>
      </c>
      <c r="D4" s="3">
        <f t="shared" si="0"/>
        <v>-47848</v>
      </c>
      <c r="E4" s="11" t="s">
        <v>61</v>
      </c>
      <c r="F4">
        <v>29</v>
      </c>
      <c r="G4">
        <f t="shared" si="1"/>
        <v>-1387592</v>
      </c>
      <c r="H4">
        <f t="shared" si="2"/>
        <v>0</v>
      </c>
      <c r="I4">
        <f t="shared" si="3"/>
        <v>-1387592</v>
      </c>
    </row>
    <row r="5" spans="1:17">
      <c r="A5" s="27" t="s">
        <v>4537</v>
      </c>
      <c r="B5" s="18">
        <v>-200000</v>
      </c>
      <c r="C5" s="18">
        <v>0</v>
      </c>
      <c r="D5" s="3">
        <f t="shared" si="0"/>
        <v>-200000</v>
      </c>
      <c r="E5" s="20" t="s">
        <v>4534</v>
      </c>
      <c r="F5">
        <v>28</v>
      </c>
      <c r="G5">
        <f t="shared" si="1"/>
        <v>-5600000</v>
      </c>
      <c r="H5">
        <f t="shared" si="2"/>
        <v>0</v>
      </c>
      <c r="I5">
        <f t="shared" si="3"/>
        <v>-5600000</v>
      </c>
      <c r="O5">
        <v>1</v>
      </c>
      <c r="P5">
        <v>29</v>
      </c>
      <c r="Q5">
        <v>30</v>
      </c>
    </row>
    <row r="6" spans="1:17">
      <c r="A6" s="17" t="s">
        <v>4547</v>
      </c>
      <c r="B6" s="18">
        <v>-60460</v>
      </c>
      <c r="C6" s="18">
        <v>0</v>
      </c>
      <c r="D6" s="3">
        <f t="shared" si="0"/>
        <v>-60460</v>
      </c>
      <c r="E6" s="19" t="s">
        <v>61</v>
      </c>
      <c r="F6">
        <v>25</v>
      </c>
      <c r="G6">
        <f t="shared" si="1"/>
        <v>-1511500</v>
      </c>
      <c r="H6">
        <f t="shared" si="2"/>
        <v>0</v>
      </c>
      <c r="I6">
        <f t="shared" si="3"/>
        <v>-1511500</v>
      </c>
      <c r="O6">
        <v>2</v>
      </c>
      <c r="P6">
        <v>28</v>
      </c>
      <c r="Q6">
        <v>29</v>
      </c>
    </row>
    <row r="7" spans="1:17">
      <c r="A7" s="17" t="s">
        <v>4549</v>
      </c>
      <c r="B7" s="18">
        <v>-60000</v>
      </c>
      <c r="C7" s="18">
        <v>0</v>
      </c>
      <c r="D7" s="3">
        <f t="shared" si="0"/>
        <v>-60000</v>
      </c>
      <c r="E7" s="19" t="s">
        <v>3732</v>
      </c>
      <c r="F7">
        <v>24</v>
      </c>
      <c r="G7">
        <f t="shared" si="1"/>
        <v>-1440000</v>
      </c>
      <c r="H7">
        <f t="shared" si="2"/>
        <v>0</v>
      </c>
      <c r="I7">
        <f t="shared" si="3"/>
        <v>-1440000</v>
      </c>
      <c r="O7">
        <v>3</v>
      </c>
      <c r="P7">
        <v>27</v>
      </c>
      <c r="Q7">
        <v>28</v>
      </c>
    </row>
    <row r="8" spans="1:17">
      <c r="A8" s="17" t="s">
        <v>4549</v>
      </c>
      <c r="B8" s="18">
        <v>2400000</v>
      </c>
      <c r="C8" s="18">
        <v>0</v>
      </c>
      <c r="D8" s="3">
        <f t="shared" si="0"/>
        <v>2400000</v>
      </c>
      <c r="E8" s="19" t="s">
        <v>3853</v>
      </c>
      <c r="F8">
        <v>23</v>
      </c>
      <c r="G8">
        <f t="shared" si="1"/>
        <v>55200000</v>
      </c>
      <c r="H8">
        <f t="shared" si="2"/>
        <v>0</v>
      </c>
      <c r="I8">
        <f t="shared" si="3"/>
        <v>55200000</v>
      </c>
      <c r="O8">
        <v>4</v>
      </c>
      <c r="P8">
        <v>26</v>
      </c>
      <c r="Q8">
        <v>27</v>
      </c>
    </row>
    <row r="9" spans="1:17">
      <c r="A9" s="17" t="s">
        <v>4549</v>
      </c>
      <c r="B9" s="18">
        <v>-135487</v>
      </c>
      <c r="C9" s="18">
        <v>0</v>
      </c>
      <c r="D9" s="3">
        <f t="shared" si="0"/>
        <v>-135487</v>
      </c>
      <c r="E9" s="21" t="s">
        <v>3976</v>
      </c>
      <c r="F9">
        <v>23</v>
      </c>
      <c r="G9">
        <f t="shared" si="1"/>
        <v>-3116201</v>
      </c>
      <c r="H9">
        <f t="shared" si="2"/>
        <v>0</v>
      </c>
      <c r="I9">
        <f t="shared" si="3"/>
        <v>-3116201</v>
      </c>
      <c r="O9">
        <v>5</v>
      </c>
      <c r="P9">
        <v>25</v>
      </c>
      <c r="Q9">
        <v>26</v>
      </c>
    </row>
    <row r="10" spans="1:17">
      <c r="A10" s="17" t="s">
        <v>4549</v>
      </c>
      <c r="B10" s="18">
        <v>-51400</v>
      </c>
      <c r="C10" s="18">
        <v>0</v>
      </c>
      <c r="D10" s="3">
        <f t="shared" si="0"/>
        <v>-51400</v>
      </c>
      <c r="E10" s="19" t="s">
        <v>4555</v>
      </c>
      <c r="F10">
        <v>24</v>
      </c>
      <c r="G10">
        <f t="shared" si="1"/>
        <v>-1233600</v>
      </c>
      <c r="H10">
        <f t="shared" si="2"/>
        <v>0</v>
      </c>
      <c r="I10">
        <f t="shared" si="3"/>
        <v>-1233600</v>
      </c>
      <c r="O10">
        <v>6</v>
      </c>
      <c r="P10">
        <v>24</v>
      </c>
      <c r="Q10">
        <v>25</v>
      </c>
    </row>
    <row r="11" spans="1:17">
      <c r="A11" s="17" t="s">
        <v>4558</v>
      </c>
      <c r="B11" s="18">
        <v>-2250000</v>
      </c>
      <c r="C11" s="18">
        <v>0</v>
      </c>
      <c r="D11" s="3">
        <f t="shared" si="0"/>
        <v>-2250000</v>
      </c>
      <c r="E11" s="19" t="s">
        <v>3732</v>
      </c>
      <c r="F11">
        <v>23</v>
      </c>
      <c r="G11">
        <f t="shared" si="1"/>
        <v>-51750000</v>
      </c>
      <c r="H11">
        <f t="shared" si="2"/>
        <v>0</v>
      </c>
      <c r="I11">
        <f t="shared" si="3"/>
        <v>-51750000</v>
      </c>
      <c r="O11">
        <v>7</v>
      </c>
      <c r="P11">
        <v>23</v>
      </c>
      <c r="Q11">
        <v>24</v>
      </c>
    </row>
    <row r="12" spans="1:17">
      <c r="A12" s="20" t="s">
        <v>4558</v>
      </c>
      <c r="B12" s="18">
        <v>700000</v>
      </c>
      <c r="C12" s="18">
        <v>0</v>
      </c>
      <c r="D12" s="3">
        <f t="shared" si="0"/>
        <v>700000</v>
      </c>
      <c r="E12" s="20" t="s">
        <v>3853</v>
      </c>
      <c r="F12">
        <v>22</v>
      </c>
      <c r="G12">
        <f t="shared" si="1"/>
        <v>15400000</v>
      </c>
      <c r="H12">
        <f t="shared" si="2"/>
        <v>0</v>
      </c>
      <c r="I12">
        <f t="shared" si="3"/>
        <v>15400000</v>
      </c>
      <c r="O12">
        <v>8</v>
      </c>
      <c r="P12">
        <v>22</v>
      </c>
      <c r="Q12">
        <v>23</v>
      </c>
    </row>
    <row r="13" spans="1:17">
      <c r="A13" s="20" t="s">
        <v>4568</v>
      </c>
      <c r="B13" s="18">
        <v>570000</v>
      </c>
      <c r="C13" s="18">
        <v>0</v>
      </c>
      <c r="D13" s="3">
        <f t="shared" si="0"/>
        <v>570000</v>
      </c>
      <c r="E13" s="20" t="s">
        <v>3853</v>
      </c>
      <c r="F13">
        <v>20</v>
      </c>
      <c r="G13">
        <f>B13*F13</f>
        <v>11400000</v>
      </c>
      <c r="H13">
        <f t="shared" si="2"/>
        <v>0</v>
      </c>
      <c r="I13">
        <f t="shared" si="3"/>
        <v>11400000</v>
      </c>
      <c r="O13">
        <v>9</v>
      </c>
      <c r="P13">
        <v>21</v>
      </c>
      <c r="Q13">
        <v>22</v>
      </c>
    </row>
    <row r="14" spans="1:17">
      <c r="A14" s="20" t="s">
        <v>4568</v>
      </c>
      <c r="B14" s="18">
        <v>-80000</v>
      </c>
      <c r="C14" s="18">
        <v>0</v>
      </c>
      <c r="D14" s="3">
        <f t="shared" si="0"/>
        <v>-80000</v>
      </c>
      <c r="E14" s="20" t="s">
        <v>1096</v>
      </c>
      <c r="F14">
        <v>20</v>
      </c>
      <c r="G14">
        <f t="shared" si="1"/>
        <v>-1600000</v>
      </c>
      <c r="H14">
        <f t="shared" si="2"/>
        <v>0</v>
      </c>
      <c r="I14">
        <f t="shared" si="3"/>
        <v>-1600000</v>
      </c>
      <c r="O14">
        <v>10</v>
      </c>
      <c r="P14">
        <v>20</v>
      </c>
      <c r="Q14">
        <v>21</v>
      </c>
    </row>
    <row r="15" spans="1:17">
      <c r="A15" s="20" t="s">
        <v>4568</v>
      </c>
      <c r="B15" s="18">
        <v>-196773</v>
      </c>
      <c r="C15" s="18">
        <v>0</v>
      </c>
      <c r="D15" s="3">
        <f t="shared" si="0"/>
        <v>-196773</v>
      </c>
      <c r="E15" s="20" t="s">
        <v>482</v>
      </c>
      <c r="F15">
        <v>20</v>
      </c>
      <c r="G15">
        <f t="shared" si="1"/>
        <v>-3935460</v>
      </c>
      <c r="H15">
        <f t="shared" si="2"/>
        <v>0</v>
      </c>
      <c r="I15">
        <f t="shared" si="3"/>
        <v>-3935460</v>
      </c>
      <c r="O15">
        <v>11</v>
      </c>
      <c r="P15">
        <v>19</v>
      </c>
      <c r="Q15">
        <v>20</v>
      </c>
    </row>
    <row r="16" spans="1:17">
      <c r="A16" s="20" t="s">
        <v>4571</v>
      </c>
      <c r="B16" s="18">
        <v>-114710</v>
      </c>
      <c r="C16" s="18">
        <v>0</v>
      </c>
      <c r="D16" s="3">
        <f t="shared" si="0"/>
        <v>-114710</v>
      </c>
      <c r="E16" s="20" t="s">
        <v>61</v>
      </c>
      <c r="F16">
        <v>19</v>
      </c>
      <c r="G16">
        <f t="shared" si="1"/>
        <v>-2179490</v>
      </c>
      <c r="H16">
        <f t="shared" si="2"/>
        <v>0</v>
      </c>
      <c r="I16">
        <f t="shared" si="3"/>
        <v>-2179490</v>
      </c>
      <c r="O16">
        <v>12</v>
      </c>
      <c r="P16">
        <v>18</v>
      </c>
      <c r="Q16">
        <v>19</v>
      </c>
    </row>
    <row r="17" spans="1:17">
      <c r="A17" s="20" t="s">
        <v>4576</v>
      </c>
      <c r="B17" s="18">
        <v>-1000</v>
      </c>
      <c r="C17" s="18">
        <v>0</v>
      </c>
      <c r="D17" s="3">
        <f t="shared" si="0"/>
        <v>-1000</v>
      </c>
      <c r="E17" s="20" t="s">
        <v>3732</v>
      </c>
      <c r="F17">
        <v>15</v>
      </c>
      <c r="G17">
        <f t="shared" si="1"/>
        <v>-15000</v>
      </c>
      <c r="H17">
        <f t="shared" si="2"/>
        <v>0</v>
      </c>
      <c r="I17">
        <f t="shared" si="3"/>
        <v>-15000</v>
      </c>
      <c r="O17">
        <v>13</v>
      </c>
      <c r="P17">
        <v>17</v>
      </c>
      <c r="Q17">
        <v>18</v>
      </c>
    </row>
    <row r="18" spans="1:17">
      <c r="A18" s="20" t="s">
        <v>4581</v>
      </c>
      <c r="B18" s="18">
        <v>250000</v>
      </c>
      <c r="C18" s="18">
        <v>0</v>
      </c>
      <c r="D18" s="3">
        <f t="shared" si="0"/>
        <v>250000</v>
      </c>
      <c r="E18" s="20" t="s">
        <v>3853</v>
      </c>
      <c r="F18">
        <v>13</v>
      </c>
      <c r="G18">
        <f t="shared" si="1"/>
        <v>3250000</v>
      </c>
      <c r="H18">
        <f t="shared" si="2"/>
        <v>0</v>
      </c>
      <c r="I18">
        <f t="shared" si="3"/>
        <v>3250000</v>
      </c>
      <c r="O18">
        <v>14</v>
      </c>
      <c r="P18">
        <v>16</v>
      </c>
      <c r="Q18">
        <v>17</v>
      </c>
    </row>
    <row r="19" spans="1:17">
      <c r="A19" s="20" t="s">
        <v>4581</v>
      </c>
      <c r="B19" s="18">
        <v>-55120</v>
      </c>
      <c r="C19" s="18">
        <v>0</v>
      </c>
      <c r="D19" s="3">
        <f t="shared" si="0"/>
        <v>-55120</v>
      </c>
      <c r="E19" s="20" t="s">
        <v>3976</v>
      </c>
      <c r="F19">
        <v>13</v>
      </c>
      <c r="G19">
        <f t="shared" si="1"/>
        <v>-716560</v>
      </c>
      <c r="H19">
        <f t="shared" si="2"/>
        <v>0</v>
      </c>
      <c r="I19">
        <f t="shared" si="3"/>
        <v>-716560</v>
      </c>
      <c r="O19">
        <v>15</v>
      </c>
      <c r="P19">
        <v>15</v>
      </c>
      <c r="Q19">
        <v>16</v>
      </c>
    </row>
    <row r="20" spans="1:17">
      <c r="A20" s="19" t="s">
        <v>4590</v>
      </c>
      <c r="B20" s="18">
        <v>-115000</v>
      </c>
      <c r="C20" s="18">
        <v>0</v>
      </c>
      <c r="D20" s="3">
        <f t="shared" si="0"/>
        <v>-115000</v>
      </c>
      <c r="E20" s="19" t="s">
        <v>785</v>
      </c>
      <c r="F20">
        <v>11</v>
      </c>
      <c r="G20">
        <f t="shared" si="1"/>
        <v>-1265000</v>
      </c>
      <c r="H20">
        <f t="shared" si="2"/>
        <v>0</v>
      </c>
      <c r="I20">
        <f t="shared" si="3"/>
        <v>-1265000</v>
      </c>
      <c r="O20">
        <v>16</v>
      </c>
      <c r="P20">
        <v>14</v>
      </c>
      <c r="Q20">
        <v>15</v>
      </c>
    </row>
    <row r="21" spans="1:17">
      <c r="A21" s="19" t="s">
        <v>4583</v>
      </c>
      <c r="B21" s="18">
        <v>-214549</v>
      </c>
      <c r="C21" s="18">
        <v>0</v>
      </c>
      <c r="D21" s="3">
        <f t="shared" si="0"/>
        <v>-214549</v>
      </c>
      <c r="E21" s="19" t="s">
        <v>3889</v>
      </c>
      <c r="F21">
        <v>10</v>
      </c>
      <c r="G21">
        <f t="shared" si="1"/>
        <v>-2145490</v>
      </c>
      <c r="H21">
        <f t="shared" si="2"/>
        <v>0</v>
      </c>
      <c r="I21">
        <f t="shared" si="3"/>
        <v>-2145490</v>
      </c>
      <c r="O21">
        <v>17</v>
      </c>
      <c r="P21">
        <v>13</v>
      </c>
      <c r="Q21">
        <v>14</v>
      </c>
    </row>
    <row r="22" spans="1:17">
      <c r="A22" s="19" t="s">
        <v>4584</v>
      </c>
      <c r="B22" s="18">
        <v>-324747</v>
      </c>
      <c r="C22" s="18">
        <v>0</v>
      </c>
      <c r="D22" s="3">
        <f t="shared" si="0"/>
        <v>-324747</v>
      </c>
      <c r="E22" s="19" t="s">
        <v>4591</v>
      </c>
      <c r="F22">
        <v>8</v>
      </c>
      <c r="G22">
        <f t="shared" si="1"/>
        <v>-2597976</v>
      </c>
      <c r="H22">
        <f t="shared" si="2"/>
        <v>0</v>
      </c>
      <c r="I22">
        <f t="shared" si="3"/>
        <v>-2597976</v>
      </c>
      <c r="O22">
        <v>18</v>
      </c>
      <c r="P22">
        <v>12</v>
      </c>
      <c r="Q22">
        <v>13</v>
      </c>
    </row>
    <row r="23" spans="1:17">
      <c r="A23" s="19" t="s">
        <v>4597</v>
      </c>
      <c r="B23" s="18">
        <v>-297992</v>
      </c>
      <c r="C23" s="18">
        <v>0</v>
      </c>
      <c r="D23" s="3">
        <f t="shared" si="0"/>
        <v>-297992</v>
      </c>
      <c r="E23" s="19" t="s">
        <v>4598</v>
      </c>
      <c r="F23">
        <v>5</v>
      </c>
      <c r="G23">
        <f t="shared" si="1"/>
        <v>-1489960</v>
      </c>
      <c r="H23">
        <f t="shared" si="2"/>
        <v>0</v>
      </c>
      <c r="I23">
        <f t="shared" si="3"/>
        <v>-1489960</v>
      </c>
      <c r="O23">
        <v>19</v>
      </c>
      <c r="P23">
        <v>11</v>
      </c>
      <c r="Q23">
        <v>12</v>
      </c>
    </row>
    <row r="24" spans="1:17">
      <c r="A24" s="19" t="s">
        <v>3646</v>
      </c>
      <c r="B24" s="18">
        <v>-130000</v>
      </c>
      <c r="C24" s="18">
        <v>0</v>
      </c>
      <c r="D24" s="3">
        <f t="shared" si="0"/>
        <v>-130000</v>
      </c>
      <c r="E24" s="19" t="s">
        <v>3889</v>
      </c>
      <c r="F24">
        <v>3</v>
      </c>
      <c r="G24">
        <f t="shared" si="1"/>
        <v>-390000</v>
      </c>
      <c r="H24">
        <f t="shared" si="2"/>
        <v>0</v>
      </c>
      <c r="I24">
        <f t="shared" si="3"/>
        <v>-390000</v>
      </c>
      <c r="O24">
        <v>20</v>
      </c>
      <c r="P24">
        <v>10</v>
      </c>
      <c r="Q24">
        <v>11</v>
      </c>
    </row>
    <row r="25" spans="1:17">
      <c r="A25" s="19" t="s">
        <v>4605</v>
      </c>
      <c r="B25" s="18">
        <v>-40000</v>
      </c>
      <c r="C25" s="18">
        <v>0</v>
      </c>
      <c r="D25" s="3">
        <f t="shared" si="0"/>
        <v>-40000</v>
      </c>
      <c r="E25" s="19" t="s">
        <v>1096</v>
      </c>
      <c r="F25">
        <v>2</v>
      </c>
      <c r="G25">
        <f t="shared" si="1"/>
        <v>-80000</v>
      </c>
      <c r="H25">
        <f t="shared" si="2"/>
        <v>0</v>
      </c>
      <c r="I25">
        <f t="shared" si="3"/>
        <v>-80000</v>
      </c>
      <c r="O25">
        <v>21</v>
      </c>
      <c r="P25">
        <v>9</v>
      </c>
      <c r="Q25">
        <v>10</v>
      </c>
    </row>
    <row r="26" spans="1:17">
      <c r="A26" s="19" t="s">
        <v>4512</v>
      </c>
      <c r="B26" s="18">
        <v>0</v>
      </c>
      <c r="C26" s="18">
        <v>0</v>
      </c>
      <c r="D26" s="3">
        <f t="shared" si="0"/>
        <v>0</v>
      </c>
      <c r="E26" s="19"/>
      <c r="F26">
        <v>0</v>
      </c>
      <c r="G26">
        <f t="shared" si="1"/>
        <v>0</v>
      </c>
      <c r="H26">
        <f t="shared" si="2"/>
        <v>0</v>
      </c>
      <c r="I26">
        <f t="shared" si="3"/>
        <v>0</v>
      </c>
      <c r="O26">
        <v>22</v>
      </c>
      <c r="P26">
        <v>8</v>
      </c>
      <c r="Q26">
        <v>9</v>
      </c>
    </row>
    <row r="27" spans="1:17">
      <c r="A27" s="19" t="s">
        <v>3653</v>
      </c>
      <c r="B27" s="18">
        <v>0</v>
      </c>
      <c r="C27" s="18">
        <v>0</v>
      </c>
      <c r="D27" s="3">
        <f t="shared" si="0"/>
        <v>0</v>
      </c>
      <c r="E27" s="19"/>
      <c r="F27">
        <v>0</v>
      </c>
      <c r="G27">
        <f t="shared" si="1"/>
        <v>0</v>
      </c>
      <c r="H27">
        <f t="shared" si="2"/>
        <v>0</v>
      </c>
      <c r="I27">
        <f t="shared" si="3"/>
        <v>0</v>
      </c>
      <c r="O27">
        <v>23</v>
      </c>
      <c r="P27">
        <v>7</v>
      </c>
      <c r="Q27">
        <v>8</v>
      </c>
    </row>
    <row r="28" spans="1:17">
      <c r="A28" s="19" t="s">
        <v>4516</v>
      </c>
      <c r="B28" s="18">
        <v>0</v>
      </c>
      <c r="C28" s="18">
        <v>0</v>
      </c>
      <c r="D28" s="3">
        <f t="shared" si="0"/>
        <v>0</v>
      </c>
      <c r="E28" s="19"/>
      <c r="F28">
        <v>0</v>
      </c>
      <c r="G28">
        <f t="shared" si="1"/>
        <v>0</v>
      </c>
      <c r="H28">
        <f t="shared" si="2"/>
        <v>0</v>
      </c>
      <c r="I28">
        <f t="shared" si="3"/>
        <v>0</v>
      </c>
      <c r="O28">
        <v>24</v>
      </c>
      <c r="P28">
        <v>6</v>
      </c>
      <c r="Q28">
        <v>7</v>
      </c>
    </row>
    <row r="29" spans="1:17">
      <c r="A29" s="19" t="s">
        <v>4516</v>
      </c>
      <c r="B29" s="18">
        <v>0</v>
      </c>
      <c r="C29" s="18">
        <v>0</v>
      </c>
      <c r="D29" s="3">
        <f t="shared" si="0"/>
        <v>0</v>
      </c>
      <c r="E29" s="19"/>
      <c r="F29">
        <v>0</v>
      </c>
      <c r="G29">
        <f t="shared" si="1"/>
        <v>0</v>
      </c>
      <c r="H29">
        <f t="shared" si="2"/>
        <v>0</v>
      </c>
      <c r="I29">
        <f t="shared" si="3"/>
        <v>0</v>
      </c>
      <c r="O29">
        <v>25</v>
      </c>
      <c r="P29">
        <v>5</v>
      </c>
      <c r="Q29">
        <v>6</v>
      </c>
    </row>
    <row r="30" spans="1:17">
      <c r="A30" s="19" t="s">
        <v>4520</v>
      </c>
      <c r="B30" s="18">
        <v>0</v>
      </c>
      <c r="C30" s="18">
        <v>0</v>
      </c>
      <c r="D30" s="3">
        <f t="shared" si="0"/>
        <v>0</v>
      </c>
      <c r="E30" s="19"/>
      <c r="F30">
        <v>0</v>
      </c>
      <c r="G30">
        <f t="shared" si="1"/>
        <v>0</v>
      </c>
      <c r="H30">
        <f t="shared" si="2"/>
        <v>0</v>
      </c>
      <c r="I30">
        <f t="shared" si="3"/>
        <v>0</v>
      </c>
      <c r="O30">
        <v>26</v>
      </c>
      <c r="P30">
        <v>4</v>
      </c>
      <c r="Q30">
        <v>5</v>
      </c>
    </row>
    <row r="31" spans="1:17">
      <c r="A31" s="2" t="s">
        <v>4520</v>
      </c>
      <c r="B31" s="2">
        <v>0</v>
      </c>
      <c r="C31" s="2">
        <v>0</v>
      </c>
      <c r="D31" s="2">
        <f t="shared" si="0"/>
        <v>0</v>
      </c>
      <c r="E31" s="2"/>
      <c r="F31">
        <v>1</v>
      </c>
      <c r="G31">
        <f>B31*F31</f>
        <v>0</v>
      </c>
      <c r="H31">
        <f>C31*F31</f>
        <v>0</v>
      </c>
      <c r="I31">
        <f>D31*F31</f>
        <v>0</v>
      </c>
      <c r="L31" t="s">
        <v>25</v>
      </c>
      <c r="O31">
        <v>27</v>
      </c>
      <c r="P31">
        <v>3</v>
      </c>
      <c r="Q31">
        <v>4</v>
      </c>
    </row>
    <row r="32" spans="1:17">
      <c r="A32" s="2" t="s">
        <v>6</v>
      </c>
      <c r="B32" s="3">
        <f>SUM(B2:B31)</f>
        <v>54414</v>
      </c>
      <c r="C32" s="3">
        <f>SUM(C2:C31)</f>
        <v>0</v>
      </c>
      <c r="D32" s="3">
        <f>SUM(D2:D31)</f>
        <v>54414</v>
      </c>
      <c r="E32" s="2"/>
      <c r="O32">
        <v>28</v>
      </c>
      <c r="P32">
        <v>2</v>
      </c>
      <c r="Q32">
        <v>3</v>
      </c>
    </row>
    <row r="33" spans="2:17">
      <c r="G33" s="18">
        <f>SUM(G2:G31)</f>
        <v>18126171</v>
      </c>
      <c r="H33" s="18">
        <f>SUM(H2:H31)</f>
        <v>0</v>
      </c>
      <c r="I33" s="18">
        <f>SUM(I2:I31)</f>
        <v>18126171</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c r="D38" s="18">
        <v>3161718</v>
      </c>
      <c r="E38" t="s">
        <v>95</v>
      </c>
      <c r="G38" s="18">
        <v>600</v>
      </c>
      <c r="H38" s="18">
        <f>G38*H33/G33</f>
        <v>0</v>
      </c>
      <c r="I38" s="18">
        <f>G38*I33/G33</f>
        <v>600</v>
      </c>
    </row>
    <row r="39" spans="2:17">
      <c r="D39" s="18">
        <v>1100000</v>
      </c>
      <c r="E39" t="s">
        <v>4530</v>
      </c>
      <c r="G39" s="9" t="s">
        <v>1000</v>
      </c>
      <c r="H39" s="9" t="s">
        <v>38</v>
      </c>
      <c r="I39" s="9" t="s">
        <v>39</v>
      </c>
    </row>
    <row r="40" spans="2:17">
      <c r="B40" s="7"/>
      <c r="D40" s="18">
        <v>-200000</v>
      </c>
      <c r="E40" t="s">
        <v>4531</v>
      </c>
    </row>
    <row r="41" spans="2:17">
      <c r="D41" s="18">
        <v>47848</v>
      </c>
      <c r="E41" t="s">
        <v>4535</v>
      </c>
    </row>
    <row r="42" spans="2:17">
      <c r="D42" s="18">
        <v>200000</v>
      </c>
      <c r="E42" t="s">
        <v>4536</v>
      </c>
    </row>
    <row r="43" spans="2:17">
      <c r="D43" s="18">
        <v>60460</v>
      </c>
      <c r="E43" t="s">
        <v>4551</v>
      </c>
    </row>
    <row r="44" spans="2:17">
      <c r="D44" s="18">
        <v>-2400000</v>
      </c>
      <c r="E44" t="s">
        <v>4552</v>
      </c>
    </row>
    <row r="45" spans="2:17">
      <c r="D45" s="18">
        <v>135487</v>
      </c>
      <c r="E45" t="s">
        <v>4553</v>
      </c>
      <c r="G45" t="s">
        <v>25</v>
      </c>
    </row>
    <row r="46" spans="2:17">
      <c r="D46" s="18">
        <v>347153</v>
      </c>
      <c r="E46" t="s">
        <v>4554</v>
      </c>
      <c r="G46" t="s">
        <v>25</v>
      </c>
    </row>
    <row r="47" spans="2:17">
      <c r="D47" s="18">
        <v>51400</v>
      </c>
      <c r="E47" t="s">
        <v>4555</v>
      </c>
      <c r="F47" t="s">
        <v>25</v>
      </c>
    </row>
    <row r="48" spans="2:17">
      <c r="D48" s="18">
        <v>-200000</v>
      </c>
      <c r="E48" t="s">
        <v>4559</v>
      </c>
    </row>
    <row r="49" spans="4:8">
      <c r="D49" s="18">
        <v>-400000</v>
      </c>
      <c r="E49" t="s">
        <v>4565</v>
      </c>
      <c r="H49" t="s">
        <v>25</v>
      </c>
    </row>
    <row r="50" spans="4:8">
      <c r="D50" s="18">
        <v>-200000</v>
      </c>
      <c r="E50" t="s">
        <v>4566</v>
      </c>
    </row>
    <row r="51" spans="4:8">
      <c r="D51" s="18">
        <v>276773</v>
      </c>
      <c r="E51" t="s">
        <v>4569</v>
      </c>
    </row>
    <row r="52" spans="4:8">
      <c r="D52" s="18">
        <v>114710</v>
      </c>
      <c r="E52" t="s">
        <v>4572</v>
      </c>
      <c r="F52" s="7" t="s">
        <v>25</v>
      </c>
      <c r="G52" s="36" t="s">
        <v>25</v>
      </c>
    </row>
    <row r="53" spans="4:8">
      <c r="D53" s="18">
        <v>55120</v>
      </c>
      <c r="E53" t="s">
        <v>4582</v>
      </c>
      <c r="F53" s="7"/>
      <c r="G53" s="36"/>
    </row>
    <row r="54" spans="4:8">
      <c r="D54" s="18">
        <v>115000</v>
      </c>
      <c r="E54" t="s">
        <v>4587</v>
      </c>
      <c r="F54" s="7"/>
      <c r="G54" s="36"/>
    </row>
    <row r="55" spans="4:8">
      <c r="D55" s="18">
        <v>247560</v>
      </c>
      <c r="E55" t="s">
        <v>4588</v>
      </c>
      <c r="F55" s="7"/>
      <c r="G55" s="36"/>
    </row>
    <row r="56" spans="4:8">
      <c r="D56" s="18">
        <v>77187</v>
      </c>
      <c r="E56" t="s">
        <v>4589</v>
      </c>
      <c r="H56" t="s">
        <v>25</v>
      </c>
    </row>
    <row r="57" spans="4:8">
      <c r="D57" s="18">
        <v>-140000</v>
      </c>
      <c r="E57" t="s">
        <v>4592</v>
      </c>
    </row>
    <row r="58" spans="4:8">
      <c r="D58" s="18">
        <v>-1600000</v>
      </c>
      <c r="E58" t="s">
        <v>4593</v>
      </c>
    </row>
    <row r="59" spans="4:8">
      <c r="D59" s="18">
        <v>-2000</v>
      </c>
      <c r="E59" t="s">
        <v>4599</v>
      </c>
    </row>
    <row r="60" spans="4:8">
      <c r="D60" s="18">
        <v>40000</v>
      </c>
      <c r="E60" t="s">
        <v>4609</v>
      </c>
    </row>
    <row r="61" spans="4:8">
      <c r="D61" s="18">
        <v>-146877</v>
      </c>
      <c r="E61" t="s">
        <v>4610</v>
      </c>
      <c r="G61" t="s">
        <v>25</v>
      </c>
    </row>
    <row r="62" spans="4:8">
      <c r="D62" s="18"/>
      <c r="E62" t="s">
        <v>25</v>
      </c>
    </row>
    <row r="63" spans="4:8">
      <c r="D63" s="18">
        <f>SUM(D38:D62)</f>
        <v>741539</v>
      </c>
      <c r="E63" t="s">
        <v>6</v>
      </c>
    </row>
    <row r="64" spans="4:8">
      <c r="E64" t="s">
        <v>25</v>
      </c>
    </row>
    <row r="65" spans="5:5">
      <c r="E65" t="s">
        <v>25</v>
      </c>
    </row>
    <row r="66" spans="5:5">
      <c r="E66" t="s">
        <v>25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4608</v>
      </c>
      <c r="B2" s="3">
        <f>'بهمن 97'!B32</f>
        <v>54414</v>
      </c>
      <c r="C2" s="1">
        <f>'بهمن 97'!C32</f>
        <v>0</v>
      </c>
      <c r="D2" s="3">
        <f>B2-C2</f>
        <v>54414</v>
      </c>
      <c r="E2" s="2" t="s">
        <v>59</v>
      </c>
      <c r="F2">
        <v>30</v>
      </c>
      <c r="G2">
        <f>B2*F2</f>
        <v>1632420</v>
      </c>
      <c r="H2">
        <f>C2*F2</f>
        <v>0</v>
      </c>
      <c r="I2">
        <f>D2*F2</f>
        <v>1632420</v>
      </c>
    </row>
    <row r="3" spans="1:17">
      <c r="A3" s="20" t="s">
        <v>4616</v>
      </c>
      <c r="B3" s="18">
        <v>1669690</v>
      </c>
      <c r="C3" s="18">
        <v>0</v>
      </c>
      <c r="D3" s="3">
        <f t="shared" ref="D3:D33" si="0">B3-C3</f>
        <v>1669690</v>
      </c>
      <c r="E3" s="20" t="s">
        <v>3853</v>
      </c>
      <c r="F3">
        <v>27</v>
      </c>
      <c r="G3">
        <f t="shared" ref="G3:G32" si="1">B3*F3</f>
        <v>45081630</v>
      </c>
      <c r="H3">
        <f t="shared" ref="H3:H32" si="2">C3*F3</f>
        <v>0</v>
      </c>
      <c r="I3">
        <f t="shared" ref="I3:I32" si="3">D3*F3</f>
        <v>45081630</v>
      </c>
    </row>
    <row r="4" spans="1:17">
      <c r="A4" s="20" t="s">
        <v>4633</v>
      </c>
      <c r="B4" s="18">
        <v>-548543</v>
      </c>
      <c r="C4" s="18">
        <v>0</v>
      </c>
      <c r="D4" s="3">
        <f t="shared" si="0"/>
        <v>-548543</v>
      </c>
      <c r="E4" s="11" t="s">
        <v>3889</v>
      </c>
      <c r="F4">
        <v>24</v>
      </c>
      <c r="G4">
        <f t="shared" si="1"/>
        <v>-13165032</v>
      </c>
      <c r="H4">
        <f t="shared" si="2"/>
        <v>0</v>
      </c>
      <c r="I4">
        <f t="shared" si="3"/>
        <v>-13165032</v>
      </c>
    </row>
    <row r="5" spans="1:17">
      <c r="A5" s="27" t="s">
        <v>4639</v>
      </c>
      <c r="B5" s="18">
        <v>2450000</v>
      </c>
      <c r="C5" s="18">
        <v>0</v>
      </c>
      <c r="D5" s="3">
        <f t="shared" si="0"/>
        <v>2450000</v>
      </c>
      <c r="E5" s="20" t="s">
        <v>3853</v>
      </c>
      <c r="F5">
        <v>22</v>
      </c>
      <c r="G5">
        <f t="shared" si="1"/>
        <v>53900000</v>
      </c>
      <c r="H5">
        <f t="shared" si="2"/>
        <v>0</v>
      </c>
      <c r="I5">
        <f t="shared" si="3"/>
        <v>53900000</v>
      </c>
      <c r="O5">
        <v>1</v>
      </c>
      <c r="P5">
        <v>29</v>
      </c>
      <c r="Q5">
        <v>30</v>
      </c>
    </row>
    <row r="6" spans="1:17">
      <c r="A6" s="17" t="s">
        <v>4639</v>
      </c>
      <c r="B6" s="18">
        <v>-1866154</v>
      </c>
      <c r="C6" s="18">
        <v>0</v>
      </c>
      <c r="D6" s="3">
        <f t="shared" si="0"/>
        <v>-1866154</v>
      </c>
      <c r="E6" s="19" t="s">
        <v>4645</v>
      </c>
      <c r="F6">
        <v>22</v>
      </c>
      <c r="G6">
        <f t="shared" si="1"/>
        <v>-41055388</v>
      </c>
      <c r="H6">
        <f t="shared" si="2"/>
        <v>0</v>
      </c>
      <c r="I6">
        <f t="shared" si="3"/>
        <v>-41055388</v>
      </c>
      <c r="O6">
        <v>2</v>
      </c>
      <c r="P6">
        <v>28</v>
      </c>
      <c r="Q6">
        <v>29</v>
      </c>
    </row>
    <row r="7" spans="1:17">
      <c r="A7" s="17" t="s">
        <v>4639</v>
      </c>
      <c r="B7" s="18">
        <v>-36600</v>
      </c>
      <c r="C7" s="18">
        <v>0</v>
      </c>
      <c r="D7" s="3">
        <f t="shared" si="0"/>
        <v>-36600</v>
      </c>
      <c r="E7" s="19" t="s">
        <v>4646</v>
      </c>
      <c r="F7">
        <v>23</v>
      </c>
      <c r="G7">
        <f t="shared" si="1"/>
        <v>-841800</v>
      </c>
      <c r="H7">
        <f t="shared" si="2"/>
        <v>0</v>
      </c>
      <c r="I7">
        <f t="shared" si="3"/>
        <v>-841800</v>
      </c>
      <c r="O7">
        <v>3</v>
      </c>
      <c r="P7">
        <v>27</v>
      </c>
      <c r="Q7">
        <v>28</v>
      </c>
    </row>
    <row r="8" spans="1:17">
      <c r="A8" s="17" t="s">
        <v>4647</v>
      </c>
      <c r="B8" s="18">
        <v>-492000</v>
      </c>
      <c r="C8" s="18">
        <v>0</v>
      </c>
      <c r="D8" s="3">
        <f t="shared" si="0"/>
        <v>-492000</v>
      </c>
      <c r="E8" s="19" t="s">
        <v>4648</v>
      </c>
      <c r="F8">
        <v>22</v>
      </c>
      <c r="G8">
        <f t="shared" si="1"/>
        <v>-10824000</v>
      </c>
      <c r="H8">
        <f t="shared" si="2"/>
        <v>0</v>
      </c>
      <c r="I8">
        <f t="shared" si="3"/>
        <v>-10824000</v>
      </c>
      <c r="O8">
        <v>4</v>
      </c>
      <c r="P8">
        <v>26</v>
      </c>
      <c r="Q8">
        <v>27</v>
      </c>
    </row>
    <row r="9" spans="1:17">
      <c r="A9" s="17" t="s">
        <v>4647</v>
      </c>
      <c r="B9" s="18">
        <v>-518000</v>
      </c>
      <c r="C9" s="18">
        <v>0</v>
      </c>
      <c r="D9" s="3">
        <f t="shared" si="0"/>
        <v>-518000</v>
      </c>
      <c r="E9" s="21" t="s">
        <v>3889</v>
      </c>
      <c r="F9">
        <v>22</v>
      </c>
      <c r="G9">
        <f t="shared" si="1"/>
        <v>-11396000</v>
      </c>
      <c r="H9">
        <f t="shared" si="2"/>
        <v>0</v>
      </c>
      <c r="I9">
        <f t="shared" si="3"/>
        <v>-11396000</v>
      </c>
      <c r="O9">
        <v>5</v>
      </c>
      <c r="P9">
        <v>25</v>
      </c>
      <c r="Q9">
        <v>26</v>
      </c>
    </row>
    <row r="10" spans="1:17">
      <c r="A10" s="17" t="s">
        <v>4647</v>
      </c>
      <c r="B10" s="18">
        <v>-40000</v>
      </c>
      <c r="C10" s="18">
        <v>0</v>
      </c>
      <c r="D10" s="3">
        <f t="shared" si="0"/>
        <v>-40000</v>
      </c>
      <c r="E10" s="19" t="s">
        <v>4650</v>
      </c>
      <c r="F10">
        <v>22</v>
      </c>
      <c r="G10">
        <f t="shared" si="1"/>
        <v>-880000</v>
      </c>
      <c r="H10">
        <f t="shared" si="2"/>
        <v>0</v>
      </c>
      <c r="I10">
        <f t="shared" si="3"/>
        <v>-880000</v>
      </c>
      <c r="O10">
        <v>6</v>
      </c>
      <c r="P10">
        <v>24</v>
      </c>
      <c r="Q10">
        <v>25</v>
      </c>
    </row>
    <row r="11" spans="1:17">
      <c r="A11" s="17" t="s">
        <v>4651</v>
      </c>
      <c r="B11" s="18">
        <v>-66000</v>
      </c>
      <c r="C11" s="18">
        <v>0</v>
      </c>
      <c r="D11" s="3">
        <f t="shared" si="0"/>
        <v>-66000</v>
      </c>
      <c r="E11" s="19" t="s">
        <v>4650</v>
      </c>
      <c r="F11">
        <v>21</v>
      </c>
      <c r="G11">
        <f t="shared" si="1"/>
        <v>-1386000</v>
      </c>
      <c r="H11">
        <f t="shared" si="2"/>
        <v>0</v>
      </c>
      <c r="I11">
        <f t="shared" si="3"/>
        <v>-1386000</v>
      </c>
      <c r="O11">
        <v>7</v>
      </c>
      <c r="P11">
        <v>23</v>
      </c>
      <c r="Q11">
        <v>24</v>
      </c>
    </row>
    <row r="12" spans="1:17">
      <c r="A12" s="20" t="s">
        <v>4652</v>
      </c>
      <c r="B12" s="18">
        <v>-130000</v>
      </c>
      <c r="C12" s="18">
        <v>0</v>
      </c>
      <c r="D12" s="3">
        <f t="shared" si="0"/>
        <v>-130000</v>
      </c>
      <c r="E12" s="20" t="s">
        <v>304</v>
      </c>
      <c r="F12">
        <v>20</v>
      </c>
      <c r="G12">
        <f t="shared" si="1"/>
        <v>-2600000</v>
      </c>
      <c r="H12">
        <f t="shared" si="2"/>
        <v>0</v>
      </c>
      <c r="I12">
        <f t="shared" si="3"/>
        <v>-2600000</v>
      </c>
      <c r="O12">
        <v>8</v>
      </c>
      <c r="P12">
        <v>22</v>
      </c>
      <c r="Q12">
        <v>23</v>
      </c>
    </row>
    <row r="13" spans="1:17">
      <c r="A13" s="20" t="s">
        <v>4652</v>
      </c>
      <c r="B13" s="18">
        <v>-200500</v>
      </c>
      <c r="C13" s="18">
        <v>0</v>
      </c>
      <c r="D13" s="3">
        <f t="shared" si="0"/>
        <v>-200500</v>
      </c>
      <c r="E13" s="20" t="s">
        <v>4653</v>
      </c>
      <c r="F13">
        <v>20</v>
      </c>
      <c r="G13">
        <f>B13*F13</f>
        <v>-4010000</v>
      </c>
      <c r="H13">
        <f t="shared" si="2"/>
        <v>0</v>
      </c>
      <c r="I13">
        <f t="shared" si="3"/>
        <v>-4010000</v>
      </c>
      <c r="O13">
        <v>9</v>
      </c>
      <c r="P13">
        <v>21</v>
      </c>
      <c r="Q13">
        <v>22</v>
      </c>
    </row>
    <row r="14" spans="1:17">
      <c r="A14" s="20" t="s">
        <v>4657</v>
      </c>
      <c r="B14" s="18">
        <v>1563000</v>
      </c>
      <c r="C14" s="18">
        <v>0</v>
      </c>
      <c r="D14" s="3">
        <f t="shared" si="0"/>
        <v>1563000</v>
      </c>
      <c r="E14" s="20" t="s">
        <v>4659</v>
      </c>
      <c r="F14">
        <v>17</v>
      </c>
      <c r="G14">
        <f t="shared" si="1"/>
        <v>26571000</v>
      </c>
      <c r="H14">
        <f t="shared" si="2"/>
        <v>0</v>
      </c>
      <c r="I14">
        <f t="shared" si="3"/>
        <v>26571000</v>
      </c>
      <c r="O14">
        <v>10</v>
      </c>
      <c r="P14">
        <v>20</v>
      </c>
      <c r="Q14">
        <v>21</v>
      </c>
    </row>
    <row r="15" spans="1:17">
      <c r="A15" s="20" t="s">
        <v>4657</v>
      </c>
      <c r="B15" s="18">
        <v>-160000</v>
      </c>
      <c r="C15" s="18">
        <v>0</v>
      </c>
      <c r="D15" s="3">
        <f t="shared" si="0"/>
        <v>-160000</v>
      </c>
      <c r="E15" s="20" t="s">
        <v>4107</v>
      </c>
      <c r="F15">
        <v>17</v>
      </c>
      <c r="G15">
        <f t="shared" si="1"/>
        <v>-2720000</v>
      </c>
      <c r="H15">
        <f t="shared" si="2"/>
        <v>0</v>
      </c>
      <c r="I15">
        <f t="shared" si="3"/>
        <v>-2720000</v>
      </c>
      <c r="O15">
        <v>11</v>
      </c>
      <c r="P15">
        <v>19</v>
      </c>
      <c r="Q15">
        <v>20</v>
      </c>
    </row>
    <row r="16" spans="1:17">
      <c r="A16" s="20" t="s">
        <v>4666</v>
      </c>
      <c r="B16" s="18">
        <v>-20000</v>
      </c>
      <c r="C16" s="18">
        <v>0</v>
      </c>
      <c r="D16" s="3">
        <f t="shared" si="0"/>
        <v>-20000</v>
      </c>
      <c r="E16" s="20" t="s">
        <v>4669</v>
      </c>
      <c r="F16">
        <v>16</v>
      </c>
      <c r="G16">
        <f t="shared" si="1"/>
        <v>-320000</v>
      </c>
      <c r="H16">
        <f t="shared" si="2"/>
        <v>0</v>
      </c>
      <c r="I16">
        <f t="shared" si="3"/>
        <v>-320000</v>
      </c>
      <c r="O16">
        <v>12</v>
      </c>
      <c r="P16">
        <v>18</v>
      </c>
      <c r="Q16">
        <v>19</v>
      </c>
    </row>
    <row r="17" spans="1:17">
      <c r="A17" s="20" t="s">
        <v>937</v>
      </c>
      <c r="B17" s="18">
        <v>-30000</v>
      </c>
      <c r="C17" s="18">
        <v>0</v>
      </c>
      <c r="D17" s="3">
        <f t="shared" si="0"/>
        <v>-30000</v>
      </c>
      <c r="E17" s="20" t="s">
        <v>4677</v>
      </c>
      <c r="F17">
        <v>13</v>
      </c>
      <c r="G17">
        <f t="shared" si="1"/>
        <v>-390000</v>
      </c>
      <c r="H17">
        <f t="shared" si="2"/>
        <v>0</v>
      </c>
      <c r="I17">
        <f t="shared" si="3"/>
        <v>-390000</v>
      </c>
      <c r="O17">
        <v>13</v>
      </c>
      <c r="P17">
        <v>17</v>
      </c>
      <c r="Q17">
        <v>18</v>
      </c>
    </row>
    <row r="18" spans="1:17">
      <c r="A18" s="20" t="s">
        <v>937</v>
      </c>
      <c r="B18" s="18">
        <v>-790500</v>
      </c>
      <c r="C18" s="18">
        <v>0</v>
      </c>
      <c r="D18" s="3">
        <f t="shared" si="0"/>
        <v>-790500</v>
      </c>
      <c r="E18" s="20" t="s">
        <v>4681</v>
      </c>
      <c r="F18">
        <v>13</v>
      </c>
      <c r="G18">
        <f t="shared" si="1"/>
        <v>-10276500</v>
      </c>
      <c r="H18">
        <f t="shared" si="2"/>
        <v>0</v>
      </c>
      <c r="I18">
        <f t="shared" si="3"/>
        <v>-10276500</v>
      </c>
      <c r="O18">
        <v>14</v>
      </c>
      <c r="P18">
        <v>16</v>
      </c>
      <c r="Q18">
        <v>17</v>
      </c>
    </row>
    <row r="19" spans="1:17">
      <c r="A19" s="20" t="s">
        <v>4686</v>
      </c>
      <c r="B19" s="18">
        <v>-10932</v>
      </c>
      <c r="C19" s="18">
        <v>0</v>
      </c>
      <c r="D19" s="3">
        <f t="shared" si="0"/>
        <v>-10932</v>
      </c>
      <c r="E19" s="20" t="s">
        <v>3889</v>
      </c>
      <c r="F19">
        <v>11</v>
      </c>
      <c r="G19">
        <f t="shared" si="1"/>
        <v>-120252</v>
      </c>
      <c r="H19">
        <f t="shared" si="2"/>
        <v>0</v>
      </c>
      <c r="I19">
        <f t="shared" si="3"/>
        <v>-120252</v>
      </c>
      <c r="O19">
        <v>15</v>
      </c>
      <c r="P19">
        <v>15</v>
      </c>
      <c r="Q19">
        <v>16</v>
      </c>
    </row>
    <row r="20" spans="1:17">
      <c r="A20" s="19" t="s">
        <v>4691</v>
      </c>
      <c r="B20" s="18">
        <v>400000</v>
      </c>
      <c r="C20" s="18">
        <v>0</v>
      </c>
      <c r="D20" s="3">
        <f t="shared" si="0"/>
        <v>400000</v>
      </c>
      <c r="E20" s="19" t="s">
        <v>4692</v>
      </c>
      <c r="F20">
        <v>8</v>
      </c>
      <c r="G20">
        <f t="shared" si="1"/>
        <v>3200000</v>
      </c>
      <c r="H20">
        <f t="shared" si="2"/>
        <v>0</v>
      </c>
      <c r="I20">
        <f t="shared" si="3"/>
        <v>3200000</v>
      </c>
      <c r="O20">
        <v>16</v>
      </c>
      <c r="P20">
        <v>14</v>
      </c>
      <c r="Q20">
        <v>15</v>
      </c>
    </row>
    <row r="21" spans="1:17">
      <c r="A21" s="19" t="s">
        <v>4694</v>
      </c>
      <c r="B21" s="18">
        <v>360000</v>
      </c>
      <c r="C21" s="18">
        <v>0</v>
      </c>
      <c r="D21" s="3">
        <f t="shared" si="0"/>
        <v>360000</v>
      </c>
      <c r="E21" s="19" t="s">
        <v>3853</v>
      </c>
      <c r="F21">
        <v>7</v>
      </c>
      <c r="G21">
        <f t="shared" si="1"/>
        <v>2520000</v>
      </c>
      <c r="H21">
        <f t="shared" si="2"/>
        <v>0</v>
      </c>
      <c r="I21">
        <f t="shared" si="3"/>
        <v>2520000</v>
      </c>
      <c r="O21">
        <v>17</v>
      </c>
      <c r="P21">
        <v>13</v>
      </c>
      <c r="Q21">
        <v>14</v>
      </c>
    </row>
    <row r="22" spans="1:17">
      <c r="A22" s="19" t="s">
        <v>4694</v>
      </c>
      <c r="B22" s="18">
        <v>-438200</v>
      </c>
      <c r="C22" s="18">
        <v>0</v>
      </c>
      <c r="D22" s="3">
        <f t="shared" si="0"/>
        <v>-438200</v>
      </c>
      <c r="E22" s="19" t="s">
        <v>3976</v>
      </c>
      <c r="F22">
        <v>8</v>
      </c>
      <c r="G22">
        <f t="shared" si="1"/>
        <v>-3505600</v>
      </c>
      <c r="H22">
        <f t="shared" si="2"/>
        <v>0</v>
      </c>
      <c r="I22">
        <f t="shared" si="3"/>
        <v>-3505600</v>
      </c>
      <c r="O22">
        <v>18</v>
      </c>
      <c r="P22">
        <v>12</v>
      </c>
      <c r="Q22">
        <v>13</v>
      </c>
    </row>
    <row r="23" spans="1:17">
      <c r="A23" s="19" t="s">
        <v>4694</v>
      </c>
      <c r="B23" s="18">
        <v>-299000</v>
      </c>
      <c r="C23" s="18">
        <v>0</v>
      </c>
      <c r="D23" s="3">
        <f t="shared" si="0"/>
        <v>-299000</v>
      </c>
      <c r="E23" s="19" t="s">
        <v>3889</v>
      </c>
      <c r="F23">
        <v>8</v>
      </c>
      <c r="G23">
        <f t="shared" si="1"/>
        <v>-2392000</v>
      </c>
      <c r="H23">
        <f t="shared" si="2"/>
        <v>0</v>
      </c>
      <c r="I23">
        <f t="shared" si="3"/>
        <v>-2392000</v>
      </c>
      <c r="O23">
        <v>19</v>
      </c>
      <c r="P23">
        <v>11</v>
      </c>
      <c r="Q23">
        <v>12</v>
      </c>
    </row>
    <row r="24" spans="1:17">
      <c r="A24" s="19" t="s">
        <v>4696</v>
      </c>
      <c r="B24" s="18">
        <v>1700000</v>
      </c>
      <c r="C24" s="18">
        <v>0</v>
      </c>
      <c r="D24" s="3">
        <f t="shared" si="0"/>
        <v>1700000</v>
      </c>
      <c r="E24" s="19" t="s">
        <v>494</v>
      </c>
      <c r="F24">
        <v>7</v>
      </c>
      <c r="G24">
        <f t="shared" si="1"/>
        <v>11900000</v>
      </c>
      <c r="H24">
        <f t="shared" si="2"/>
        <v>0</v>
      </c>
      <c r="I24">
        <f t="shared" si="3"/>
        <v>11900000</v>
      </c>
      <c r="O24">
        <v>20</v>
      </c>
      <c r="P24">
        <v>10</v>
      </c>
      <c r="Q24">
        <v>11</v>
      </c>
    </row>
    <row r="25" spans="1:17">
      <c r="A25" s="19" t="s">
        <v>4696</v>
      </c>
      <c r="B25" s="18">
        <v>-360000</v>
      </c>
      <c r="C25" s="18">
        <v>0</v>
      </c>
      <c r="D25" s="3">
        <f t="shared" si="0"/>
        <v>-360000</v>
      </c>
      <c r="E25" s="19" t="s">
        <v>3889</v>
      </c>
      <c r="F25">
        <v>7</v>
      </c>
      <c r="G25">
        <f t="shared" si="1"/>
        <v>-2520000</v>
      </c>
      <c r="H25">
        <f t="shared" si="2"/>
        <v>0</v>
      </c>
      <c r="I25">
        <f t="shared" si="3"/>
        <v>-2520000</v>
      </c>
      <c r="O25">
        <v>21</v>
      </c>
      <c r="P25">
        <v>9</v>
      </c>
      <c r="Q25">
        <v>10</v>
      </c>
    </row>
    <row r="26" spans="1:17">
      <c r="A26" s="19" t="s">
        <v>4697</v>
      </c>
      <c r="B26" s="18">
        <v>-2000000</v>
      </c>
      <c r="C26" s="18">
        <v>0</v>
      </c>
      <c r="D26" s="3">
        <f t="shared" si="0"/>
        <v>-2000000</v>
      </c>
      <c r="E26" s="19" t="s">
        <v>4208</v>
      </c>
      <c r="F26">
        <v>6</v>
      </c>
      <c r="G26">
        <f t="shared" si="1"/>
        <v>-12000000</v>
      </c>
      <c r="H26">
        <f t="shared" si="2"/>
        <v>0</v>
      </c>
      <c r="I26">
        <f t="shared" si="3"/>
        <v>-12000000</v>
      </c>
      <c r="O26">
        <v>22</v>
      </c>
      <c r="P26">
        <v>8</v>
      </c>
      <c r="Q26">
        <v>9</v>
      </c>
    </row>
    <row r="27" spans="1:17">
      <c r="A27" s="19" t="s">
        <v>4697</v>
      </c>
      <c r="B27" s="18">
        <v>280000</v>
      </c>
      <c r="C27" s="18">
        <v>0</v>
      </c>
      <c r="D27" s="3">
        <f t="shared" si="0"/>
        <v>280000</v>
      </c>
      <c r="E27" s="19" t="s">
        <v>3853</v>
      </c>
      <c r="F27">
        <v>5</v>
      </c>
      <c r="G27">
        <f t="shared" si="1"/>
        <v>1400000</v>
      </c>
      <c r="H27">
        <f t="shared" si="2"/>
        <v>0</v>
      </c>
      <c r="I27">
        <f t="shared" si="3"/>
        <v>1400000</v>
      </c>
      <c r="O27">
        <v>23</v>
      </c>
      <c r="P27">
        <v>7</v>
      </c>
      <c r="Q27">
        <v>8</v>
      </c>
    </row>
    <row r="28" spans="1:17">
      <c r="A28" s="19" t="s">
        <v>4702</v>
      </c>
      <c r="B28" s="18">
        <v>433375</v>
      </c>
      <c r="C28" s="18">
        <v>0</v>
      </c>
      <c r="D28" s="3">
        <f t="shared" si="0"/>
        <v>433375</v>
      </c>
      <c r="E28" s="19" t="s">
        <v>4705</v>
      </c>
      <c r="F28">
        <v>4</v>
      </c>
      <c r="G28">
        <f t="shared" si="1"/>
        <v>1733500</v>
      </c>
      <c r="H28">
        <f t="shared" si="2"/>
        <v>0</v>
      </c>
      <c r="I28">
        <f t="shared" si="3"/>
        <v>1733500</v>
      </c>
      <c r="O28">
        <v>24</v>
      </c>
      <c r="P28">
        <v>6</v>
      </c>
      <c r="Q28">
        <v>7</v>
      </c>
    </row>
    <row r="29" spans="1:17">
      <c r="A29" s="19" t="s">
        <v>4711</v>
      </c>
      <c r="B29" s="18">
        <v>2000000</v>
      </c>
      <c r="C29" s="18">
        <v>0</v>
      </c>
      <c r="D29" s="3">
        <f t="shared" si="0"/>
        <v>2000000</v>
      </c>
      <c r="E29" s="19" t="s">
        <v>3853</v>
      </c>
      <c r="F29">
        <v>3</v>
      </c>
      <c r="G29">
        <f t="shared" si="1"/>
        <v>6000000</v>
      </c>
      <c r="H29">
        <f t="shared" si="2"/>
        <v>0</v>
      </c>
      <c r="I29">
        <f t="shared" si="3"/>
        <v>6000000</v>
      </c>
      <c r="O29">
        <v>25</v>
      </c>
      <c r="P29">
        <v>5</v>
      </c>
      <c r="Q29">
        <v>6</v>
      </c>
    </row>
    <row r="30" spans="1:17">
      <c r="A30" s="19" t="s">
        <v>4711</v>
      </c>
      <c r="B30" s="18">
        <v>-300000</v>
      </c>
      <c r="C30" s="18">
        <v>0</v>
      </c>
      <c r="D30" s="3">
        <f t="shared" si="0"/>
        <v>-300000</v>
      </c>
      <c r="E30" s="19" t="s">
        <v>4713</v>
      </c>
      <c r="F30">
        <v>3</v>
      </c>
      <c r="G30">
        <f t="shared" si="1"/>
        <v>-900000</v>
      </c>
      <c r="H30">
        <f t="shared" si="2"/>
        <v>0</v>
      </c>
      <c r="I30">
        <f t="shared" si="3"/>
        <v>-900000</v>
      </c>
      <c r="O30">
        <v>26</v>
      </c>
      <c r="P30">
        <v>4</v>
      </c>
      <c r="Q30">
        <v>5</v>
      </c>
    </row>
    <row r="31" spans="1:17">
      <c r="A31" s="19" t="s">
        <v>4711</v>
      </c>
      <c r="B31" s="18">
        <v>-92800</v>
      </c>
      <c r="C31" s="18">
        <v>0</v>
      </c>
      <c r="D31" s="3">
        <f t="shared" si="0"/>
        <v>-92800</v>
      </c>
      <c r="E31" s="19" t="s">
        <v>703</v>
      </c>
      <c r="F31">
        <v>3</v>
      </c>
      <c r="G31">
        <f t="shared" si="1"/>
        <v>-278400</v>
      </c>
      <c r="H31">
        <f t="shared" si="2"/>
        <v>0</v>
      </c>
      <c r="I31">
        <f t="shared" si="3"/>
        <v>-278400</v>
      </c>
      <c r="L31" t="s">
        <v>25</v>
      </c>
      <c r="O31">
        <v>27</v>
      </c>
      <c r="P31">
        <v>3</v>
      </c>
      <c r="Q31">
        <v>4</v>
      </c>
    </row>
    <row r="32" spans="1:17">
      <c r="A32" s="19" t="s">
        <v>944</v>
      </c>
      <c r="B32" s="18">
        <v>-1417727</v>
      </c>
      <c r="C32" s="18">
        <v>0</v>
      </c>
      <c r="D32" s="3">
        <f t="shared" si="0"/>
        <v>-1417727</v>
      </c>
      <c r="E32" s="19" t="s">
        <v>4715</v>
      </c>
      <c r="F32">
        <v>3</v>
      </c>
      <c r="G32">
        <f t="shared" si="1"/>
        <v>-4253181</v>
      </c>
      <c r="H32">
        <f t="shared" si="2"/>
        <v>0</v>
      </c>
      <c r="I32">
        <f t="shared" si="3"/>
        <v>-4253181</v>
      </c>
      <c r="O32">
        <v>28</v>
      </c>
      <c r="P32">
        <v>2</v>
      </c>
      <c r="Q32">
        <v>3</v>
      </c>
    </row>
    <row r="33" spans="1:17">
      <c r="A33" s="2" t="s">
        <v>4520</v>
      </c>
      <c r="B33" s="2">
        <v>0</v>
      </c>
      <c r="C33" s="2">
        <v>0</v>
      </c>
      <c r="D33" s="2">
        <f t="shared" si="0"/>
        <v>0</v>
      </c>
      <c r="E33" s="2"/>
      <c r="F33">
        <v>0</v>
      </c>
      <c r="G33">
        <f>B33*F33</f>
        <v>0</v>
      </c>
      <c r="H33">
        <f>C33*F33</f>
        <v>0</v>
      </c>
      <c r="I33">
        <f>D33*F33</f>
        <v>0</v>
      </c>
      <c r="O33">
        <v>29</v>
      </c>
      <c r="P33">
        <v>1</v>
      </c>
      <c r="Q33">
        <v>2</v>
      </c>
    </row>
    <row r="34" spans="1:17">
      <c r="A34" s="2" t="s">
        <v>6</v>
      </c>
      <c r="B34" s="3">
        <f>SUM(B2:B33)</f>
        <v>1093523</v>
      </c>
      <c r="C34" s="3">
        <f>SUM(C2:C33)</f>
        <v>0</v>
      </c>
      <c r="D34" s="3">
        <f>SUM(D2:D33)</f>
        <v>1093523</v>
      </c>
      <c r="E34" s="2"/>
      <c r="O34">
        <v>30</v>
      </c>
      <c r="P34">
        <v>0</v>
      </c>
      <c r="Q34">
        <v>1</v>
      </c>
    </row>
    <row r="35" spans="1:17">
      <c r="G35" s="18">
        <f>SUM(G2:G33)</f>
        <v>28104397</v>
      </c>
      <c r="H35" s="18">
        <f>SUM(H2:H33)</f>
        <v>0</v>
      </c>
      <c r="I35" s="18">
        <f>SUM(I2:I33)</f>
        <v>28104397</v>
      </c>
      <c r="P35" t="s">
        <v>60</v>
      </c>
      <c r="Q35" t="s">
        <v>61</v>
      </c>
    </row>
    <row r="36" spans="1:17">
      <c r="B36" t="s">
        <v>25</v>
      </c>
      <c r="G36" t="s">
        <v>62</v>
      </c>
      <c r="H36" t="s">
        <v>36</v>
      </c>
      <c r="I36" t="s">
        <v>37</v>
      </c>
    </row>
    <row r="37" spans="1:17">
      <c r="D37" t="s">
        <v>25</v>
      </c>
    </row>
    <row r="38" spans="1:17">
      <c r="F38" t="s">
        <v>25</v>
      </c>
    </row>
    <row r="39" spans="1:17">
      <c r="C39" t="s">
        <v>25</v>
      </c>
      <c r="E39" t="s">
        <v>85</v>
      </c>
    </row>
    <row r="40" spans="1:17">
      <c r="D40" s="18">
        <v>741539</v>
      </c>
      <c r="E40" t="s">
        <v>95</v>
      </c>
      <c r="G40" s="18">
        <v>600</v>
      </c>
      <c r="H40" s="18">
        <f>G40*H35/G35</f>
        <v>0</v>
      </c>
      <c r="I40" s="18">
        <f>G40*I35/G35</f>
        <v>600</v>
      </c>
      <c r="L40" s="9" t="s">
        <v>25</v>
      </c>
    </row>
    <row r="41" spans="1:17">
      <c r="D41" s="18">
        <v>-42753</v>
      </c>
      <c r="E41" t="s">
        <v>4614</v>
      </c>
      <c r="G41" s="9" t="s">
        <v>1000</v>
      </c>
      <c r="H41" s="9" t="s">
        <v>38</v>
      </c>
      <c r="I41" s="9" t="s">
        <v>39</v>
      </c>
    </row>
    <row r="42" spans="1:17">
      <c r="B42" s="7"/>
      <c r="D42" s="18">
        <v>1900000</v>
      </c>
      <c r="E42" t="s">
        <v>426</v>
      </c>
    </row>
    <row r="43" spans="1:17">
      <c r="D43" s="18">
        <v>-1800000</v>
      </c>
      <c r="E43" t="s">
        <v>4129</v>
      </c>
    </row>
    <row r="44" spans="1:17">
      <c r="D44" s="18">
        <v>130310</v>
      </c>
      <c r="E44" t="s">
        <v>4615</v>
      </c>
    </row>
    <row r="45" spans="1:17">
      <c r="D45" s="18">
        <v>50000</v>
      </c>
      <c r="E45" t="s">
        <v>4624</v>
      </c>
    </row>
    <row r="46" spans="1:17">
      <c r="D46" s="18">
        <v>25942</v>
      </c>
      <c r="E46" t="s">
        <v>4625</v>
      </c>
    </row>
    <row r="47" spans="1:17">
      <c r="D47" s="18">
        <v>15107</v>
      </c>
      <c r="E47" t="s">
        <v>4632</v>
      </c>
      <c r="G47" t="s">
        <v>25</v>
      </c>
    </row>
    <row r="48" spans="1:17">
      <c r="D48" s="18">
        <v>31000</v>
      </c>
      <c r="E48" t="s">
        <v>4637</v>
      </c>
      <c r="G48" t="s">
        <v>25</v>
      </c>
      <c r="O48" t="s">
        <v>25</v>
      </c>
    </row>
    <row r="49" spans="4:8">
      <c r="D49" s="18">
        <v>-475000</v>
      </c>
      <c r="E49" t="s">
        <v>4642</v>
      </c>
      <c r="F49" t="s">
        <v>25</v>
      </c>
    </row>
    <row r="50" spans="4:8">
      <c r="D50" s="18">
        <v>-2450000</v>
      </c>
      <c r="E50" t="s">
        <v>4643</v>
      </c>
    </row>
    <row r="51" spans="4:8">
      <c r="D51" s="18">
        <v>8469</v>
      </c>
      <c r="E51" t="s">
        <v>4644</v>
      </c>
      <c r="H51" t="s">
        <v>25</v>
      </c>
    </row>
    <row r="52" spans="4:8">
      <c r="D52" s="18">
        <v>1866154</v>
      </c>
      <c r="E52" s="19" t="s">
        <v>4645</v>
      </c>
    </row>
    <row r="53" spans="4:8">
      <c r="D53" s="18">
        <v>492000</v>
      </c>
      <c r="E53" t="s">
        <v>4649</v>
      </c>
    </row>
    <row r="54" spans="4:8">
      <c r="D54" s="18">
        <v>130000</v>
      </c>
      <c r="E54" t="s">
        <v>4654</v>
      </c>
      <c r="F54" s="7" t="s">
        <v>25</v>
      </c>
      <c r="G54" s="36" t="s">
        <v>25</v>
      </c>
    </row>
    <row r="55" spans="4:8">
      <c r="D55" s="18">
        <v>-17729</v>
      </c>
      <c r="E55" t="s">
        <v>4655</v>
      </c>
      <c r="F55" s="7"/>
      <c r="G55" s="36"/>
    </row>
    <row r="56" spans="4:8">
      <c r="D56" s="18">
        <v>-8574</v>
      </c>
      <c r="E56" t="s">
        <v>4658</v>
      </c>
      <c r="F56" s="7"/>
      <c r="G56" s="36"/>
    </row>
    <row r="57" spans="4:8">
      <c r="D57" s="18">
        <v>160000</v>
      </c>
      <c r="E57" t="s">
        <v>4660</v>
      </c>
      <c r="F57" s="7"/>
      <c r="G57" s="36"/>
    </row>
    <row r="58" spans="4:8">
      <c r="D58" s="18">
        <v>-147485</v>
      </c>
      <c r="E58" t="s">
        <v>4663</v>
      </c>
      <c r="H58" t="s">
        <v>25</v>
      </c>
    </row>
    <row r="59" spans="4:8">
      <c r="D59" s="18">
        <v>-179061</v>
      </c>
      <c r="E59" t="s">
        <v>4665</v>
      </c>
      <c r="F59" s="7"/>
    </row>
    <row r="60" spans="4:8">
      <c r="D60" s="18">
        <v>17250</v>
      </c>
      <c r="E60" t="s">
        <v>4667</v>
      </c>
      <c r="G60" t="s">
        <v>25</v>
      </c>
    </row>
    <row r="61" spans="4:8">
      <c r="D61" s="18">
        <v>20000</v>
      </c>
      <c r="E61" t="s">
        <v>4668</v>
      </c>
    </row>
    <row r="62" spans="4:8">
      <c r="D62" s="18">
        <v>-74430</v>
      </c>
      <c r="E62" t="s">
        <v>4670</v>
      </c>
    </row>
    <row r="63" spans="4:8">
      <c r="D63" s="18">
        <v>-50000</v>
      </c>
      <c r="E63" t="s">
        <v>4671</v>
      </c>
      <c r="G63" t="s">
        <v>25</v>
      </c>
      <c r="H63" t="s">
        <v>25</v>
      </c>
    </row>
    <row r="64" spans="4:8">
      <c r="D64" s="18">
        <v>686</v>
      </c>
      <c r="E64" t="s">
        <v>4678</v>
      </c>
      <c r="H64" t="s">
        <v>25</v>
      </c>
    </row>
    <row r="65" spans="4:10">
      <c r="D65" s="18">
        <v>200000</v>
      </c>
      <c r="E65" t="s">
        <v>4680</v>
      </c>
    </row>
    <row r="66" spans="4:10">
      <c r="D66" s="18">
        <v>-100000</v>
      </c>
      <c r="E66" t="s">
        <v>4157</v>
      </c>
    </row>
    <row r="67" spans="4:10">
      <c r="D67" s="18">
        <v>-18156</v>
      </c>
      <c r="E67" t="s">
        <v>4685</v>
      </c>
    </row>
    <row r="68" spans="4:10">
      <c r="D68" s="18">
        <v>-153545</v>
      </c>
      <c r="E68" t="s">
        <v>4687</v>
      </c>
    </row>
    <row r="69" spans="4:10">
      <c r="D69" s="18">
        <v>-67844</v>
      </c>
      <c r="E69" t="s">
        <v>4689</v>
      </c>
    </row>
    <row r="70" spans="4:10">
      <c r="D70" s="18">
        <v>-400000</v>
      </c>
      <c r="E70" t="s">
        <v>4693</v>
      </c>
      <c r="G70" t="s">
        <v>25</v>
      </c>
    </row>
    <row r="71" spans="4:10">
      <c r="D71" s="18">
        <v>463200</v>
      </c>
      <c r="E71" t="s">
        <v>4695</v>
      </c>
    </row>
    <row r="72" spans="4:10">
      <c r="D72" s="18">
        <v>2000000</v>
      </c>
      <c r="E72" t="s">
        <v>4698</v>
      </c>
    </row>
    <row r="73" spans="4:10">
      <c r="D73" s="18">
        <v>-280000</v>
      </c>
      <c r="E73" t="s">
        <v>4699</v>
      </c>
    </row>
    <row r="74" spans="4:10">
      <c r="D74" s="18">
        <v>-200000</v>
      </c>
      <c r="E74" t="s">
        <v>4706</v>
      </c>
    </row>
    <row r="75" spans="4:10">
      <c r="D75" s="18">
        <v>-2000000</v>
      </c>
      <c r="E75" t="s">
        <v>4712</v>
      </c>
    </row>
    <row r="76" spans="4:10">
      <c r="D76" s="18">
        <v>92800</v>
      </c>
      <c r="E76" t="s">
        <v>4714</v>
      </c>
    </row>
    <row r="77" spans="4:10">
      <c r="D77" s="18">
        <v>1417727</v>
      </c>
      <c r="E77" t="s">
        <v>4715</v>
      </c>
      <c r="J77" t="s">
        <v>25</v>
      </c>
    </row>
    <row r="78" spans="4:10">
      <c r="D78" s="18">
        <v>0</v>
      </c>
      <c r="E78" t="s">
        <v>25</v>
      </c>
    </row>
    <row r="79" spans="4:10">
      <c r="D79" s="18"/>
      <c r="E79" t="s">
        <v>25</v>
      </c>
    </row>
    <row r="80" spans="4:10">
      <c r="D80" s="18">
        <f>SUM(D40:D79)</f>
        <v>1297607</v>
      </c>
      <c r="E80" t="s">
        <v>6</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0"/>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bestFit="1" customWidth="1"/>
    <col min="17" max="18" width="15.85546875" bestFit="1" customWidth="1"/>
    <col min="19" max="19" width="15.85546875"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9" width="15.140625" bestFit="1" customWidth="1"/>
    <col min="30" max="30" width="14.140625" bestFit="1" customWidth="1"/>
    <col min="31" max="31" width="14.5703125" bestFit="1" customWidth="1"/>
    <col min="32" max="32" width="17.28515625" bestFit="1" customWidth="1"/>
    <col min="33" max="33" width="17.5703125" bestFit="1" customWidth="1"/>
    <col min="34" max="34" width="15.28515625" bestFit="1" customWidth="1"/>
    <col min="35" max="35" width="12.42578125" bestFit="1" customWidth="1"/>
    <col min="36" max="36" width="15.140625" bestFit="1" customWidth="1"/>
    <col min="37" max="37" width="14.140625" bestFit="1" customWidth="1"/>
    <col min="38" max="38" width="16.28515625" customWidth="1"/>
  </cols>
  <sheetData>
    <row r="1" spans="1:38">
      <c r="A1" s="11" t="s">
        <v>902</v>
      </c>
      <c r="B1" s="11" t="s">
        <v>899</v>
      </c>
      <c r="C1" s="11" t="s">
        <v>900</v>
      </c>
      <c r="D1" s="11" t="s">
        <v>911</v>
      </c>
      <c r="E1" s="11" t="s">
        <v>913</v>
      </c>
      <c r="F1" s="11" t="s">
        <v>903</v>
      </c>
      <c r="G1" s="11" t="s">
        <v>183</v>
      </c>
      <c r="H1" s="11" t="s">
        <v>918</v>
      </c>
      <c r="I1" s="11" t="s">
        <v>908</v>
      </c>
      <c r="J1" s="11" t="s">
        <v>914</v>
      </c>
      <c r="K1" s="11" t="s">
        <v>915</v>
      </c>
      <c r="L1" s="11" t="s">
        <v>909</v>
      </c>
      <c r="M1" s="11" t="s">
        <v>916</v>
      </c>
      <c r="N1" s="11" t="s">
        <v>5</v>
      </c>
      <c r="O1" s="11" t="s">
        <v>460</v>
      </c>
      <c r="P1" s="11" t="s">
        <v>4</v>
      </c>
      <c r="Q1" s="11" t="s">
        <v>39</v>
      </c>
      <c r="R1" s="11" t="s">
        <v>977</v>
      </c>
      <c r="S1" s="11" t="s">
        <v>38</v>
      </c>
      <c r="T1" s="11" t="s">
        <v>919</v>
      </c>
      <c r="U1" s="61" t="s">
        <v>994</v>
      </c>
      <c r="AE1" s="11" t="s">
        <v>918</v>
      </c>
    </row>
    <row r="2" spans="1:38">
      <c r="A2" s="62" t="s">
        <v>892</v>
      </c>
      <c r="B2" s="62" t="s">
        <v>910</v>
      </c>
      <c r="C2" s="62">
        <v>400</v>
      </c>
      <c r="D2" s="62" t="s">
        <v>61</v>
      </c>
      <c r="E2" s="63">
        <v>96959</v>
      </c>
      <c r="F2" s="63">
        <v>39275391</v>
      </c>
      <c r="G2" s="62">
        <v>0</v>
      </c>
      <c r="H2" s="62">
        <v>21</v>
      </c>
      <c r="I2" s="63">
        <f>F2*G2*($AE$2-H2)/(36500)</f>
        <v>0</v>
      </c>
      <c r="J2" s="62">
        <v>7.2499999999999995E-2</v>
      </c>
      <c r="K2" s="63">
        <f t="shared" ref="K2:K11" si="0">C2*E2*J2/100</f>
        <v>28118.11</v>
      </c>
      <c r="L2" s="62">
        <f>(E2*(1+J2/100)+I2/C2)/(1-J3/100)-(U2/C2)*(G2/365)*($AE$2/100)</f>
        <v>97099.692552100285</v>
      </c>
      <c r="M2" s="62"/>
      <c r="N2" s="62"/>
      <c r="O2" s="62"/>
      <c r="P2" s="62"/>
      <c r="Q2" s="62"/>
      <c r="R2" s="62"/>
      <c r="S2" s="62"/>
      <c r="T2" s="62"/>
      <c r="U2" s="63">
        <f>C2*E2+K2-F2</f>
        <v>-463672.8900000006</v>
      </c>
      <c r="AE2" s="11">
        <v>21</v>
      </c>
    </row>
    <row r="3" spans="1:38">
      <c r="A3" s="62" t="s">
        <v>892</v>
      </c>
      <c r="B3" s="62" t="s">
        <v>910</v>
      </c>
      <c r="C3" s="62">
        <v>400</v>
      </c>
      <c r="D3" s="62" t="s">
        <v>912</v>
      </c>
      <c r="E3" s="63">
        <v>99999</v>
      </c>
      <c r="F3" s="63">
        <v>40434473</v>
      </c>
      <c r="G3" s="62"/>
      <c r="H3" s="62">
        <v>21</v>
      </c>
      <c r="I3" s="63">
        <f>F3*G3*($AE$2-H3)/(36500)</f>
        <v>0</v>
      </c>
      <c r="J3" s="62">
        <v>7.2499999999999995E-2</v>
      </c>
      <c r="K3" s="63">
        <f t="shared" si="0"/>
        <v>28999.71</v>
      </c>
      <c r="L3" s="62">
        <v>1</v>
      </c>
      <c r="M3" s="64">
        <f>F3-F2</f>
        <v>1159082</v>
      </c>
      <c r="N3" s="62">
        <v>400</v>
      </c>
      <c r="O3" s="62">
        <f>C2-N3</f>
        <v>0</v>
      </c>
      <c r="P3" s="62">
        <v>0</v>
      </c>
      <c r="Q3" s="64">
        <f>M3*N3/C2</f>
        <v>1159082</v>
      </c>
      <c r="R3" s="64">
        <f>M3*O3/C2</f>
        <v>0</v>
      </c>
      <c r="S3" s="64">
        <f>M3*P3/C2</f>
        <v>0</v>
      </c>
      <c r="T3" s="62"/>
      <c r="U3" s="63">
        <f>-C3*E3+K3+F3</f>
        <v>463872.71000000089</v>
      </c>
      <c r="W3" s="68" t="s">
        <v>180</v>
      </c>
      <c r="X3" s="68" t="s">
        <v>905</v>
      </c>
      <c r="Y3" s="68" t="s">
        <v>267</v>
      </c>
      <c r="Z3" s="68" t="s">
        <v>8</v>
      </c>
      <c r="AA3" s="68" t="s">
        <v>5</v>
      </c>
      <c r="AB3" s="68" t="s">
        <v>460</v>
      </c>
      <c r="AC3" s="68" t="s">
        <v>4</v>
      </c>
      <c r="AD3" s="68" t="s">
        <v>183</v>
      </c>
      <c r="AE3" s="68" t="s">
        <v>906</v>
      </c>
      <c r="AF3" s="68" t="s">
        <v>983</v>
      </c>
      <c r="AG3" s="68" t="s">
        <v>984</v>
      </c>
      <c r="AH3" s="68" t="s">
        <v>1083</v>
      </c>
      <c r="AI3" s="68" t="s">
        <v>985</v>
      </c>
      <c r="AJ3" s="68" t="s">
        <v>986</v>
      </c>
      <c r="AK3" s="68" t="s">
        <v>1084</v>
      </c>
      <c r="AL3" s="68" t="s">
        <v>907</v>
      </c>
    </row>
    <row r="4" spans="1:38">
      <c r="A4" s="65" t="s">
        <v>892</v>
      </c>
      <c r="B4" s="65" t="s">
        <v>901</v>
      </c>
      <c r="C4" s="65">
        <v>3</v>
      </c>
      <c r="D4" s="65" t="s">
        <v>61</v>
      </c>
      <c r="E4" s="66">
        <v>80100</v>
      </c>
      <c r="F4" s="66">
        <v>240474</v>
      </c>
      <c r="G4" s="65">
        <v>5</v>
      </c>
      <c r="H4" s="65">
        <v>0</v>
      </c>
      <c r="I4" s="66">
        <f>F4*G4*($AE$2-H4)/(36500)</f>
        <v>691.77452054794526</v>
      </c>
      <c r="J4" s="65">
        <v>7.2499999999999995E-2</v>
      </c>
      <c r="K4" s="66">
        <f t="shared" si="0"/>
        <v>174.2175</v>
      </c>
      <c r="L4" s="65">
        <f>(E4*(1+J4/100)+I4/C4)/(1-J5/100)-(U4/C4)*(G4/365)*($AE$2/100)</f>
        <v>80446.988073202403</v>
      </c>
      <c r="M4" s="67"/>
      <c r="N4" s="65"/>
      <c r="O4" s="65"/>
      <c r="P4" s="65"/>
      <c r="Q4" s="67"/>
      <c r="R4" s="67"/>
      <c r="S4" s="67"/>
      <c r="T4" s="65"/>
      <c r="U4" s="66">
        <v>0</v>
      </c>
      <c r="W4" s="68" t="s">
        <v>3670</v>
      </c>
      <c r="X4" s="68"/>
      <c r="Y4" s="81"/>
      <c r="Z4" s="68"/>
      <c r="AA4" s="81"/>
      <c r="AB4" s="82"/>
      <c r="AC4" s="82"/>
      <c r="AD4" s="68"/>
      <c r="AE4" s="81"/>
      <c r="AF4" s="81"/>
      <c r="AG4" s="81"/>
      <c r="AH4" s="81"/>
      <c r="AI4" s="81"/>
      <c r="AJ4" s="81"/>
      <c r="AK4" s="81"/>
      <c r="AL4" s="82"/>
    </row>
    <row r="5" spans="1:38">
      <c r="A5" s="65" t="s">
        <v>980</v>
      </c>
      <c r="B5" s="65" t="s">
        <v>901</v>
      </c>
      <c r="C5" s="65">
        <v>3</v>
      </c>
      <c r="D5" s="65" t="s">
        <v>912</v>
      </c>
      <c r="E5" s="66">
        <v>81000</v>
      </c>
      <c r="F5" s="66">
        <v>243596</v>
      </c>
      <c r="G5" s="65">
        <v>0</v>
      </c>
      <c r="H5" s="65">
        <v>0</v>
      </c>
      <c r="I5" s="66"/>
      <c r="J5" s="65">
        <v>7.2499999999999995E-2</v>
      </c>
      <c r="K5" s="66">
        <f t="shared" si="0"/>
        <v>176.17500000000001</v>
      </c>
      <c r="L5" s="65">
        <v>2</v>
      </c>
      <c r="M5" s="67">
        <f>F5-F4</f>
        <v>3122</v>
      </c>
      <c r="N5" s="65">
        <v>1.5</v>
      </c>
      <c r="O5" s="65">
        <v>1.5</v>
      </c>
      <c r="P5" s="65">
        <v>0</v>
      </c>
      <c r="Q5" s="67">
        <f>M5*N5/C4</f>
        <v>1561</v>
      </c>
      <c r="R5" s="67">
        <f>M5*O5/C4</f>
        <v>1561</v>
      </c>
      <c r="S5" s="67">
        <f>M5*P5/C4</f>
        <v>0</v>
      </c>
      <c r="T5" s="65"/>
      <c r="U5" s="66">
        <v>0</v>
      </c>
      <c r="W5" s="68"/>
      <c r="X5" s="68"/>
      <c r="Y5" s="81"/>
      <c r="Z5" s="68"/>
      <c r="AA5" s="81"/>
      <c r="AB5" s="82"/>
      <c r="AC5" s="82"/>
      <c r="AD5" s="68"/>
      <c r="AE5" s="81"/>
      <c r="AF5" s="81"/>
      <c r="AG5" s="81"/>
      <c r="AH5" s="81"/>
      <c r="AI5" s="81"/>
      <c r="AJ5" s="81"/>
      <c r="AK5" s="81"/>
      <c r="AL5" s="82"/>
    </row>
    <row r="6" spans="1:38">
      <c r="A6" s="62" t="s">
        <v>892</v>
      </c>
      <c r="B6" s="62" t="s">
        <v>901</v>
      </c>
      <c r="C6" s="62">
        <v>497</v>
      </c>
      <c r="D6" s="62" t="s">
        <v>61</v>
      </c>
      <c r="E6" s="63">
        <v>80100</v>
      </c>
      <c r="F6" s="63">
        <v>39838611</v>
      </c>
      <c r="G6" s="62">
        <v>6</v>
      </c>
      <c r="H6" s="62">
        <v>0</v>
      </c>
      <c r="I6" s="63">
        <f>F6*G6*($AE$2-H6)/(36500)</f>
        <v>137525.06810958905</v>
      </c>
      <c r="J6" s="62">
        <v>7.2499999999999995E-2</v>
      </c>
      <c r="K6" s="63">
        <f t="shared" si="0"/>
        <v>28862.032500000001</v>
      </c>
      <c r="L6" s="62">
        <f>(E6*(1+J6/100)+I6/C6)/(1-J7/100)-(U6/C6)*(G6/365)*($AE$2/100)</f>
        <v>80493.140425419275</v>
      </c>
      <c r="M6" s="62"/>
      <c r="N6" s="62"/>
      <c r="O6" s="62"/>
      <c r="P6" s="62"/>
      <c r="Q6" s="62"/>
      <c r="R6" s="62"/>
      <c r="S6" s="62"/>
      <c r="T6" s="63">
        <v>81000</v>
      </c>
      <c r="U6" s="63">
        <v>0</v>
      </c>
      <c r="W6" s="68"/>
      <c r="X6" s="68"/>
      <c r="Y6" s="81"/>
      <c r="Z6" s="68"/>
      <c r="AA6" s="81"/>
      <c r="AB6" s="82"/>
      <c r="AC6" s="82"/>
      <c r="AD6" s="68"/>
      <c r="AE6" s="81"/>
      <c r="AF6" s="81"/>
      <c r="AG6" s="81"/>
      <c r="AH6" s="81"/>
      <c r="AI6" s="81"/>
      <c r="AJ6" s="81"/>
      <c r="AK6" s="81"/>
      <c r="AL6" s="82"/>
    </row>
    <row r="7" spans="1:38">
      <c r="A7" s="62" t="s">
        <v>991</v>
      </c>
      <c r="B7" s="62" t="s">
        <v>901</v>
      </c>
      <c r="C7" s="62">
        <v>497</v>
      </c>
      <c r="D7" s="62" t="s">
        <v>912</v>
      </c>
      <c r="E7" s="63">
        <v>81400</v>
      </c>
      <c r="F7" s="63">
        <v>40426469</v>
      </c>
      <c r="G7" s="62">
        <v>0</v>
      </c>
      <c r="H7" s="62">
        <v>0</v>
      </c>
      <c r="I7" s="63">
        <f>F7*G7*($AE$2-H7)/(36500)</f>
        <v>0</v>
      </c>
      <c r="J7" s="62">
        <v>7.2499999999999995E-2</v>
      </c>
      <c r="K7" s="63">
        <f t="shared" si="0"/>
        <v>29330.455000000002</v>
      </c>
      <c r="L7" s="62">
        <v>9</v>
      </c>
      <c r="M7" s="64">
        <f>F7-F6</f>
        <v>587858</v>
      </c>
      <c r="N7" s="62">
        <v>248.5</v>
      </c>
      <c r="O7" s="62">
        <f>C6-N7</f>
        <v>248.5</v>
      </c>
      <c r="P7" s="62">
        <v>0</v>
      </c>
      <c r="Q7" s="64">
        <f>M7*N7/C6</f>
        <v>293929</v>
      </c>
      <c r="R7" s="64">
        <f>M7*O7/C6</f>
        <v>293929</v>
      </c>
      <c r="S7" s="64">
        <f>M7*P7/C6</f>
        <v>0</v>
      </c>
      <c r="T7" s="62"/>
      <c r="U7" s="63">
        <v>0</v>
      </c>
      <c r="W7" s="68"/>
      <c r="X7" s="68"/>
      <c r="Y7" s="81"/>
      <c r="Z7" s="68"/>
      <c r="AA7" s="81"/>
      <c r="AB7" s="82"/>
      <c r="AC7" s="82"/>
      <c r="AD7" s="68"/>
      <c r="AE7" s="81"/>
      <c r="AF7" s="81"/>
      <c r="AG7" s="81"/>
      <c r="AH7" s="81"/>
      <c r="AI7" s="81"/>
      <c r="AJ7" s="81"/>
      <c r="AK7" s="81"/>
      <c r="AL7" s="82"/>
    </row>
    <row r="8" spans="1:38">
      <c r="A8" s="65" t="s">
        <v>898</v>
      </c>
      <c r="B8" s="65" t="s">
        <v>917</v>
      </c>
      <c r="C8" s="65">
        <v>300</v>
      </c>
      <c r="D8" s="65" t="s">
        <v>61</v>
      </c>
      <c r="E8" s="66">
        <v>97219</v>
      </c>
      <c r="F8" s="66">
        <v>29203853</v>
      </c>
      <c r="G8" s="65">
        <v>3</v>
      </c>
      <c r="H8" s="65">
        <v>21</v>
      </c>
      <c r="I8" s="66">
        <f>F8*G8*($AE$2-H8)/(36500)</f>
        <v>0</v>
      </c>
      <c r="J8" s="65">
        <v>7.2499999999999995E-2</v>
      </c>
      <c r="K8" s="66">
        <f t="shared" si="0"/>
        <v>21145.1325</v>
      </c>
      <c r="L8" s="65">
        <f>(E8*(1+J8/100)+I8/C8)/(1-J9/100)-(U8/C8)*(G8/365)*($AE$2/100)</f>
        <v>97360.167679107835</v>
      </c>
      <c r="M8" s="65"/>
      <c r="N8" s="65"/>
      <c r="O8" s="65"/>
      <c r="P8" s="65"/>
      <c r="Q8" s="65"/>
      <c r="R8" s="65"/>
      <c r="S8" s="65"/>
      <c r="T8" s="66"/>
      <c r="U8" s="66">
        <f>C8*E8+K8-F8</f>
        <v>-17007.867499999702</v>
      </c>
      <c r="W8" s="68"/>
      <c r="X8" s="68"/>
      <c r="Y8" s="81"/>
      <c r="Z8" s="68"/>
      <c r="AA8" s="81"/>
      <c r="AB8" s="82"/>
      <c r="AC8" s="82"/>
      <c r="AD8" s="68"/>
      <c r="AE8" s="81"/>
      <c r="AF8" s="81"/>
      <c r="AG8" s="81"/>
      <c r="AH8" s="81"/>
      <c r="AI8" s="81"/>
      <c r="AJ8" s="81"/>
      <c r="AK8" s="81"/>
      <c r="AL8" s="82"/>
    </row>
    <row r="9" spans="1:38">
      <c r="A9" s="65" t="s">
        <v>897</v>
      </c>
      <c r="B9" s="65" t="s">
        <v>917</v>
      </c>
      <c r="C9" s="65">
        <v>300</v>
      </c>
      <c r="D9" s="65" t="s">
        <v>912</v>
      </c>
      <c r="E9" s="66">
        <v>98000</v>
      </c>
      <c r="F9" s="66">
        <v>29446055</v>
      </c>
      <c r="G9" s="65">
        <v>0</v>
      </c>
      <c r="H9" s="65">
        <v>0</v>
      </c>
      <c r="I9" s="66">
        <f>F9*G9*($AE$2-H9)/(36500)</f>
        <v>0</v>
      </c>
      <c r="J9" s="65">
        <v>7.2499999999999995E-2</v>
      </c>
      <c r="K9" s="66">
        <f t="shared" si="0"/>
        <v>21315</v>
      </c>
      <c r="L9" s="65">
        <v>3</v>
      </c>
      <c r="M9" s="67">
        <f>F9-F8</f>
        <v>242202</v>
      </c>
      <c r="N9" s="65">
        <v>300</v>
      </c>
      <c r="O9" s="65">
        <f>C8-N9</f>
        <v>0</v>
      </c>
      <c r="P9" s="65">
        <v>0</v>
      </c>
      <c r="Q9" s="67">
        <f>M9*N9/C8</f>
        <v>242202</v>
      </c>
      <c r="R9" s="67">
        <f>M9*O9/C8</f>
        <v>0</v>
      </c>
      <c r="S9" s="67">
        <f>M9*P9/C8</f>
        <v>0</v>
      </c>
      <c r="T9" s="66"/>
      <c r="U9" s="66">
        <f>-C9*E9+K9+F9</f>
        <v>67370</v>
      </c>
      <c r="W9" s="68"/>
      <c r="X9" s="68"/>
      <c r="Y9" s="81"/>
      <c r="Z9" s="68"/>
      <c r="AA9" s="68"/>
      <c r="AB9" s="68"/>
      <c r="AC9" s="68"/>
      <c r="AD9" s="68"/>
      <c r="AE9" s="81"/>
      <c r="AF9" s="81"/>
      <c r="AG9" s="81"/>
      <c r="AH9" s="81"/>
      <c r="AI9" s="81"/>
      <c r="AJ9" s="81"/>
      <c r="AK9" s="81"/>
      <c r="AL9" s="82"/>
    </row>
    <row r="10" spans="1:38">
      <c r="A10" s="62" t="s">
        <v>898</v>
      </c>
      <c r="B10" s="62" t="s">
        <v>917</v>
      </c>
      <c r="C10" s="62">
        <v>100</v>
      </c>
      <c r="D10" s="62" t="s">
        <v>61</v>
      </c>
      <c r="E10" s="63">
        <v>97219</v>
      </c>
      <c r="F10" s="63">
        <v>9734617</v>
      </c>
      <c r="G10" s="62">
        <v>5</v>
      </c>
      <c r="H10" s="62">
        <v>21</v>
      </c>
      <c r="I10" s="63">
        <f>F10*G10*($AE$2-H10)/(36500)</f>
        <v>0</v>
      </c>
      <c r="J10" s="62">
        <v>7.2499999999999995E-2</v>
      </c>
      <c r="K10" s="63">
        <f t="shared" si="0"/>
        <v>7048.3774999999996</v>
      </c>
      <c r="L10" s="62">
        <f>(E10*(1+J10/100)+I10/C10)/(1-J11/100)-(U10/C10)*(G10/365)*($AE$2/100)</f>
        <v>97360.232895585927</v>
      </c>
      <c r="M10" s="62"/>
      <c r="N10" s="62"/>
      <c r="O10" s="62"/>
      <c r="P10" s="62"/>
      <c r="Q10" s="64"/>
      <c r="R10" s="64"/>
      <c r="S10" s="64"/>
      <c r="T10" s="62"/>
      <c r="U10" s="63">
        <f>C10*E10+K10-F10</f>
        <v>-5668.6225000005215</v>
      </c>
      <c r="W10" s="68"/>
      <c r="X10" s="68"/>
      <c r="Y10" s="81"/>
      <c r="Z10" s="68"/>
      <c r="AA10" s="68"/>
      <c r="AB10" s="68"/>
      <c r="AC10" s="68"/>
      <c r="AD10" s="68"/>
      <c r="AE10" s="81"/>
      <c r="AF10" s="81"/>
      <c r="AG10" s="81"/>
      <c r="AH10" s="81"/>
      <c r="AI10" s="81"/>
      <c r="AJ10" s="81"/>
      <c r="AK10" s="81"/>
      <c r="AL10" s="82"/>
    </row>
    <row r="11" spans="1:38">
      <c r="A11" s="62" t="s">
        <v>991</v>
      </c>
      <c r="B11" s="62" t="s">
        <v>917</v>
      </c>
      <c r="C11" s="62">
        <v>100</v>
      </c>
      <c r="D11" s="62" t="s">
        <v>912</v>
      </c>
      <c r="E11" s="63">
        <v>99500</v>
      </c>
      <c r="F11" s="63">
        <v>9976490</v>
      </c>
      <c r="G11" s="62">
        <v>0</v>
      </c>
      <c r="H11" s="62"/>
      <c r="I11" s="63"/>
      <c r="J11" s="62">
        <v>7.2499999999999995E-2</v>
      </c>
      <c r="K11" s="63">
        <f t="shared" si="0"/>
        <v>7213.75</v>
      </c>
      <c r="L11" s="62">
        <v>4</v>
      </c>
      <c r="M11" s="64">
        <f>F11-F10</f>
        <v>241873</v>
      </c>
      <c r="N11" s="62">
        <v>50</v>
      </c>
      <c r="O11" s="62">
        <v>50</v>
      </c>
      <c r="P11" s="62">
        <v>0</v>
      </c>
      <c r="Q11" s="64">
        <f>M11*N11/C10</f>
        <v>120936.5</v>
      </c>
      <c r="R11" s="64">
        <f>M11*O11/C10</f>
        <v>120936.5</v>
      </c>
      <c r="S11" s="64">
        <f>M11*P11/C10</f>
        <v>0</v>
      </c>
      <c r="T11" s="62"/>
      <c r="U11" s="63">
        <f>-C11*E11+K11+F11</f>
        <v>33703.75</v>
      </c>
      <c r="W11" s="68"/>
      <c r="X11" s="68"/>
      <c r="Y11" s="68"/>
      <c r="Z11" s="68"/>
      <c r="AA11" s="68"/>
      <c r="AB11" s="68"/>
      <c r="AC11" s="68"/>
      <c r="AD11" s="68"/>
      <c r="AE11" s="68"/>
      <c r="AF11" s="81"/>
      <c r="AG11" s="68"/>
      <c r="AH11" s="68"/>
      <c r="AI11" s="81"/>
      <c r="AJ11" s="81"/>
      <c r="AK11" s="81"/>
      <c r="AL11" s="82"/>
    </row>
    <row r="12" spans="1:38">
      <c r="A12" s="65" t="s">
        <v>897</v>
      </c>
      <c r="B12" s="65" t="s">
        <v>970</v>
      </c>
      <c r="C12" s="65">
        <v>200</v>
      </c>
      <c r="D12" s="65" t="s">
        <v>61</v>
      </c>
      <c r="E12" s="66">
        <v>70000</v>
      </c>
      <c r="F12" s="66">
        <v>14010149</v>
      </c>
      <c r="G12" s="65">
        <v>0</v>
      </c>
      <c r="H12" s="65">
        <v>0</v>
      </c>
      <c r="I12" s="66">
        <f>F12*G12*($AE$2-H12)/(36500)</f>
        <v>0</v>
      </c>
      <c r="J12" s="65">
        <v>7.2499999999999995E-2</v>
      </c>
      <c r="K12" s="66">
        <f>C12*E12*J12/100</f>
        <v>10149.999999999998</v>
      </c>
      <c r="L12" s="65">
        <f>(E12*(1+J12/100)+I12/C12)/(1-J13/100)-(U12/C12)*(G12/365)*($AE$2/100)</f>
        <v>70101.573640889648</v>
      </c>
      <c r="M12" s="65"/>
      <c r="N12" s="65"/>
      <c r="O12" s="65"/>
      <c r="P12" s="65"/>
      <c r="Q12" s="65"/>
      <c r="R12" s="65"/>
      <c r="S12" s="65"/>
      <c r="T12" s="65"/>
      <c r="U12" s="66">
        <v>0</v>
      </c>
      <c r="W12" s="68"/>
      <c r="X12" s="68"/>
      <c r="Y12" s="82"/>
      <c r="Z12" s="68"/>
      <c r="AA12" s="82"/>
      <c r="AB12" s="82"/>
      <c r="AC12" s="82"/>
      <c r="AD12" s="68"/>
      <c r="AE12" s="82"/>
      <c r="AF12" s="82"/>
      <c r="AG12" s="82"/>
      <c r="AH12" s="82"/>
      <c r="AI12" s="82"/>
      <c r="AJ12" s="82"/>
      <c r="AK12" s="82"/>
      <c r="AL12" s="82"/>
    </row>
    <row r="13" spans="1:38">
      <c r="A13" s="65" t="s">
        <v>897</v>
      </c>
      <c r="B13" s="65" t="s">
        <v>970</v>
      </c>
      <c r="C13" s="65">
        <v>200</v>
      </c>
      <c r="D13" s="65" t="s">
        <v>912</v>
      </c>
      <c r="E13" s="66">
        <v>70488</v>
      </c>
      <c r="F13" s="66">
        <v>14087559</v>
      </c>
      <c r="G13" s="65">
        <v>0</v>
      </c>
      <c r="H13" s="65">
        <v>0</v>
      </c>
      <c r="I13" s="66">
        <f>F13*G13*($AE$2-H13)/(36500)</f>
        <v>0</v>
      </c>
      <c r="J13" s="65">
        <v>7.2499999999999995E-2</v>
      </c>
      <c r="K13" s="66">
        <f>C13*E13*J13/100</f>
        <v>10220.759999999998</v>
      </c>
      <c r="L13" s="65">
        <v>5</v>
      </c>
      <c r="M13" s="67">
        <f>F13-F12</f>
        <v>77410</v>
      </c>
      <c r="N13" s="65">
        <v>100</v>
      </c>
      <c r="O13" s="65">
        <f>C12-N13</f>
        <v>100</v>
      </c>
      <c r="P13" s="65">
        <v>0</v>
      </c>
      <c r="Q13" s="67">
        <f>M13*N13/C12</f>
        <v>38705</v>
      </c>
      <c r="R13" s="67">
        <f>M13*O13/C12</f>
        <v>38705</v>
      </c>
      <c r="S13" s="67">
        <f>M13*P13/C12</f>
        <v>0</v>
      </c>
      <c r="T13" s="65"/>
      <c r="U13" s="66">
        <v>0</v>
      </c>
    </row>
    <row r="14" spans="1:38">
      <c r="A14" s="62" t="s">
        <v>897</v>
      </c>
      <c r="B14" s="62" t="s">
        <v>927</v>
      </c>
      <c r="C14" s="62">
        <v>200</v>
      </c>
      <c r="D14" s="62" t="s">
        <v>61</v>
      </c>
      <c r="E14" s="63">
        <v>83000</v>
      </c>
      <c r="F14" s="63">
        <v>17464390</v>
      </c>
      <c r="G14" s="62">
        <v>0</v>
      </c>
      <c r="H14" s="62">
        <v>15</v>
      </c>
      <c r="I14" s="63">
        <f>F14*G14*($AE$2-H14)/(36500)</f>
        <v>0</v>
      </c>
      <c r="J14" s="62">
        <v>7.2499999999999995E-2</v>
      </c>
      <c r="K14" s="63">
        <f>C14*E14*J14/100</f>
        <v>12035</v>
      </c>
      <c r="L14" s="62">
        <f>(E14*(1+J14/100)+I14/C14)/(1-J15/100)-(U14/C14)*(G14/365)*($AE$2/100)</f>
        <v>83120.437317054864</v>
      </c>
      <c r="M14" s="62"/>
      <c r="N14" s="62"/>
      <c r="O14" s="62"/>
      <c r="P14" s="62"/>
      <c r="Q14" s="62"/>
      <c r="R14" s="62"/>
      <c r="S14" s="62"/>
      <c r="T14" s="62"/>
      <c r="U14" s="63">
        <f>C14*E14+K14-F14</f>
        <v>-852355</v>
      </c>
      <c r="AB14" t="s">
        <v>433</v>
      </c>
      <c r="AC14" t="s">
        <v>723</v>
      </c>
      <c r="AD14" t="s">
        <v>1049</v>
      </c>
    </row>
    <row r="15" spans="1:38">
      <c r="A15" s="62" t="s">
        <v>897</v>
      </c>
      <c r="B15" s="62" t="s">
        <v>927</v>
      </c>
      <c r="C15" s="62">
        <v>200</v>
      </c>
      <c r="D15" s="62" t="s">
        <v>912</v>
      </c>
      <c r="E15" s="63">
        <v>83399</v>
      </c>
      <c r="F15" s="63">
        <v>17520183</v>
      </c>
      <c r="G15" s="62">
        <v>0</v>
      </c>
      <c r="H15" s="62">
        <v>15</v>
      </c>
      <c r="I15" s="63">
        <f>F15*G15*($AE$2-H15)/(36500)</f>
        <v>0</v>
      </c>
      <c r="J15" s="62">
        <v>7.2499999999999995E-2</v>
      </c>
      <c r="K15" s="63">
        <f>C15*E15*J15/100</f>
        <v>12092.855</v>
      </c>
      <c r="L15" s="62">
        <v>6</v>
      </c>
      <c r="M15" s="64">
        <f>F15-F14</f>
        <v>55793</v>
      </c>
      <c r="N15" s="62">
        <v>100</v>
      </c>
      <c r="O15" s="62">
        <f>C14-N15</f>
        <v>100</v>
      </c>
      <c r="P15" s="62">
        <v>0</v>
      </c>
      <c r="Q15" s="64">
        <f>M15*N15/C14</f>
        <v>27896.5</v>
      </c>
      <c r="R15" s="64">
        <f>M15*O15/C14</f>
        <v>27896.5</v>
      </c>
      <c r="S15" s="64">
        <f>M15*P15/C14</f>
        <v>0</v>
      </c>
      <c r="T15" s="62"/>
      <c r="U15" s="63">
        <f>-C15*E15+K15+F15</f>
        <v>852475.85500000045</v>
      </c>
      <c r="AA15" t="s">
        <v>987</v>
      </c>
      <c r="AB15" s="7">
        <f>AA12+Q70</f>
        <v>0</v>
      </c>
      <c r="AC15" s="7">
        <f>AB12+R70</f>
        <v>0</v>
      </c>
      <c r="AD15" s="7">
        <f>AC12+S70</f>
        <v>0</v>
      </c>
    </row>
    <row r="16" spans="1:38">
      <c r="A16" s="65" t="s">
        <v>897</v>
      </c>
      <c r="B16" s="65" t="s">
        <v>910</v>
      </c>
      <c r="C16" s="65">
        <v>100</v>
      </c>
      <c r="D16" s="65" t="s">
        <v>61</v>
      </c>
      <c r="E16" s="66">
        <v>97328</v>
      </c>
      <c r="F16" s="66">
        <v>9878211</v>
      </c>
      <c r="G16" s="65">
        <v>2</v>
      </c>
      <c r="H16" s="65">
        <v>21</v>
      </c>
      <c r="I16" s="66">
        <f>F16*G16*($AE$2-H16)/(36500)</f>
        <v>0</v>
      </c>
      <c r="J16" s="65">
        <v>7.2499999999999995E-2</v>
      </c>
      <c r="K16" s="66">
        <f t="shared" ref="K16:K21" si="1">C16*E16*J16/100</f>
        <v>7056.28</v>
      </c>
      <c r="L16" s="65">
        <f>(E16*(1+J16/100)+I16/C16)/(1-J17/100)-(U16/C16)*(G16/365)*($AE$2/100)</f>
        <v>97470.82001720804</v>
      </c>
      <c r="M16" s="67"/>
      <c r="N16" s="65"/>
      <c r="O16" s="65"/>
      <c r="P16" s="65"/>
      <c r="Q16" s="67"/>
      <c r="R16" s="67"/>
      <c r="S16" s="67"/>
      <c r="T16" s="65"/>
      <c r="U16" s="66">
        <f>C16*E16+K16-F16</f>
        <v>-138354.72000000067</v>
      </c>
      <c r="AA16" t="s">
        <v>988</v>
      </c>
      <c r="AB16" s="7">
        <f>AB15-AI12</f>
        <v>0</v>
      </c>
      <c r="AC16" s="7">
        <f>AC15-AJ12</f>
        <v>0</v>
      </c>
      <c r="AD16" s="7">
        <f>AD15-AK12</f>
        <v>0</v>
      </c>
    </row>
    <row r="17" spans="1:33">
      <c r="A17" s="65" t="s">
        <v>991</v>
      </c>
      <c r="B17" s="65" t="s">
        <v>910</v>
      </c>
      <c r="C17" s="65">
        <v>100</v>
      </c>
      <c r="D17" s="65" t="s">
        <v>912</v>
      </c>
      <c r="E17" s="66">
        <v>99000</v>
      </c>
      <c r="F17" s="66">
        <v>10042365</v>
      </c>
      <c r="G17" s="65"/>
      <c r="H17" s="65"/>
      <c r="I17" s="66"/>
      <c r="J17" s="65">
        <v>7.2499999999999995E-2</v>
      </c>
      <c r="K17" s="66">
        <f t="shared" si="1"/>
        <v>7177.5</v>
      </c>
      <c r="L17" s="65">
        <v>7</v>
      </c>
      <c r="M17" s="67">
        <f>F17-F16</f>
        <v>164154</v>
      </c>
      <c r="N17" s="65">
        <v>50</v>
      </c>
      <c r="O17" s="65">
        <v>50</v>
      </c>
      <c r="P17" s="65">
        <v>0</v>
      </c>
      <c r="Q17" s="67">
        <f>M17*N17/C16</f>
        <v>82077</v>
      </c>
      <c r="R17" s="67">
        <f>M17*O17/C16</f>
        <v>82077</v>
      </c>
      <c r="S17" s="67">
        <f>M17*P17/C16</f>
        <v>0</v>
      </c>
      <c r="T17" s="65"/>
      <c r="U17" s="66">
        <f>-C17*E17+K17+F17</f>
        <v>149542.5</v>
      </c>
    </row>
    <row r="18" spans="1:33">
      <c r="A18" s="62" t="s">
        <v>897</v>
      </c>
      <c r="B18" s="62" t="s">
        <v>910</v>
      </c>
      <c r="C18" s="62">
        <v>100</v>
      </c>
      <c r="D18" s="62" t="s">
        <v>61</v>
      </c>
      <c r="E18" s="63">
        <v>97328</v>
      </c>
      <c r="F18" s="63">
        <v>9878211</v>
      </c>
      <c r="G18" s="62">
        <v>2</v>
      </c>
      <c r="H18" s="62">
        <v>21</v>
      </c>
      <c r="I18" s="63">
        <f>F18*G18*($AE$2-H18)/(36500)</f>
        <v>0</v>
      </c>
      <c r="J18" s="62">
        <v>7.2499999999999995E-2</v>
      </c>
      <c r="K18" s="63">
        <f t="shared" si="1"/>
        <v>7056.28</v>
      </c>
      <c r="L18" s="62">
        <f>(E18*(1+J18/100)+I18/C18)/(1-J19/100)-(U18/C18)*(G18/365)*($AE$2/100)</f>
        <v>97470.82001720804</v>
      </c>
      <c r="M18" s="64"/>
      <c r="N18" s="62"/>
      <c r="O18" s="62"/>
      <c r="P18" s="62"/>
      <c r="Q18" s="64"/>
      <c r="R18" s="64"/>
      <c r="S18" s="64"/>
      <c r="T18" s="62"/>
      <c r="U18" s="63">
        <f>C18*E18+K18-F18</f>
        <v>-138354.72000000067</v>
      </c>
      <c r="AA18" t="s">
        <v>1018</v>
      </c>
      <c r="AB18">
        <v>8</v>
      </c>
    </row>
    <row r="19" spans="1:33">
      <c r="A19" s="62" t="s">
        <v>991</v>
      </c>
      <c r="B19" s="62" t="s">
        <v>910</v>
      </c>
      <c r="C19" s="62">
        <v>100</v>
      </c>
      <c r="D19" s="62" t="s">
        <v>912</v>
      </c>
      <c r="E19" s="63">
        <v>99998</v>
      </c>
      <c r="F19" s="63">
        <v>10142183</v>
      </c>
      <c r="G19" s="62"/>
      <c r="H19" s="62"/>
      <c r="I19" s="63"/>
      <c r="J19" s="62">
        <v>7.2499999999999995E-2</v>
      </c>
      <c r="K19" s="63">
        <f t="shared" si="1"/>
        <v>7249.8549999999996</v>
      </c>
      <c r="L19" s="62">
        <v>8</v>
      </c>
      <c r="M19" s="64">
        <f>F19-F18</f>
        <v>263972</v>
      </c>
      <c r="N19" s="62">
        <v>50</v>
      </c>
      <c r="O19" s="62">
        <v>50</v>
      </c>
      <c r="P19" s="62">
        <v>0</v>
      </c>
      <c r="Q19" s="64">
        <f>M19*N19/C18</f>
        <v>131986</v>
      </c>
      <c r="R19" s="64">
        <f>M19*O19/C18</f>
        <v>131986</v>
      </c>
      <c r="S19" s="64">
        <f>M19*P19/C18</f>
        <v>0</v>
      </c>
      <c r="T19" s="62"/>
      <c r="U19" s="63">
        <f>-C19*E19+K19+F19</f>
        <v>149632.85500000045</v>
      </c>
      <c r="AA19" t="s">
        <v>1019</v>
      </c>
      <c r="AB19">
        <v>70</v>
      </c>
    </row>
    <row r="20" spans="1:33">
      <c r="A20" s="65" t="s">
        <v>897</v>
      </c>
      <c r="B20" s="65" t="s">
        <v>910</v>
      </c>
      <c r="C20" s="65">
        <v>200</v>
      </c>
      <c r="D20" s="65" t="s">
        <v>61</v>
      </c>
      <c r="E20" s="66">
        <v>97328</v>
      </c>
      <c r="F20" s="66">
        <v>19756422</v>
      </c>
      <c r="G20" s="65">
        <v>2</v>
      </c>
      <c r="H20" s="65">
        <v>21</v>
      </c>
      <c r="I20" s="66">
        <f>F20*G20*($AE$2-H20)/(36500)</f>
        <v>0</v>
      </c>
      <c r="J20" s="65">
        <v>7.2499999999999995E-2</v>
      </c>
      <c r="K20" s="66">
        <f t="shared" si="1"/>
        <v>14112.56</v>
      </c>
      <c r="L20" s="65">
        <f>(E20*(1+J20/100)+I20/C20)/(1-J21/100)-(U20/C20)*(G20/365)*($AE$2/100)</f>
        <v>97470.82001720804</v>
      </c>
      <c r="M20" s="67"/>
      <c r="N20" s="65"/>
      <c r="O20" s="65"/>
      <c r="P20" s="65"/>
      <c r="Q20" s="67"/>
      <c r="R20" s="67"/>
      <c r="S20" s="67"/>
      <c r="T20" s="65"/>
      <c r="U20" s="66">
        <f>C20*E20+K20-F20</f>
        <v>-276709.44000000134</v>
      </c>
    </row>
    <row r="21" spans="1:33">
      <c r="A21" s="65" t="s">
        <v>991</v>
      </c>
      <c r="B21" s="65" t="s">
        <v>910</v>
      </c>
      <c r="C21" s="65">
        <v>200</v>
      </c>
      <c r="D21" s="65" t="s">
        <v>912</v>
      </c>
      <c r="E21" s="66">
        <v>99000</v>
      </c>
      <c r="F21" s="66">
        <v>20084731</v>
      </c>
      <c r="G21" s="65"/>
      <c r="H21" s="65"/>
      <c r="I21" s="66"/>
      <c r="J21" s="65">
        <v>7.2499999999999995E-2</v>
      </c>
      <c r="K21" s="66">
        <f t="shared" si="1"/>
        <v>14355</v>
      </c>
      <c r="L21" s="65">
        <v>9</v>
      </c>
      <c r="M21" s="67">
        <f>F21-F20</f>
        <v>328309</v>
      </c>
      <c r="N21" s="65">
        <v>100</v>
      </c>
      <c r="O21" s="65">
        <v>100</v>
      </c>
      <c r="P21" s="65">
        <v>0</v>
      </c>
      <c r="Q21" s="67">
        <f>M21*N21/C20</f>
        <v>164154.5</v>
      </c>
      <c r="R21" s="67">
        <f>M21*O21/C20</f>
        <v>164154.5</v>
      </c>
      <c r="S21" s="67">
        <f>M21*P21/C20</f>
        <v>0</v>
      </c>
      <c r="T21" s="65"/>
      <c r="U21" s="66">
        <f>-C21*E21+K21+F21</f>
        <v>299086</v>
      </c>
    </row>
    <row r="22" spans="1:33">
      <c r="A22" s="62" t="s">
        <v>897</v>
      </c>
      <c r="B22" s="62" t="s">
        <v>923</v>
      </c>
      <c r="C22" s="62">
        <v>100</v>
      </c>
      <c r="D22" s="62" t="s">
        <v>61</v>
      </c>
      <c r="E22" s="63">
        <v>97875</v>
      </c>
      <c r="F22" s="63">
        <v>10210616</v>
      </c>
      <c r="G22" s="62">
        <v>2</v>
      </c>
      <c r="H22" s="62">
        <v>21</v>
      </c>
      <c r="I22" s="63">
        <f>F22*G22*($AE$2-H22)/(36500)</f>
        <v>0</v>
      </c>
      <c r="J22" s="62">
        <v>7.2499999999999995E-2</v>
      </c>
      <c r="K22" s="63">
        <f t="shared" ref="K22:K43" si="2">C22*E22*J22/100</f>
        <v>7095.9375</v>
      </c>
      <c r="L22" s="62">
        <f>(E22*(1+J22/100)+I22/C22)/(1-J23/100)-(U22/C22)*(G22/365)*($AE$2/100)</f>
        <v>98021.808795915145</v>
      </c>
      <c r="M22" s="64"/>
      <c r="N22" s="62"/>
      <c r="O22" s="62"/>
      <c r="P22" s="62"/>
      <c r="Q22" s="64"/>
      <c r="R22" s="64"/>
      <c r="S22" s="64"/>
      <c r="T22" s="62"/>
      <c r="U22" s="63">
        <f>C22*E22+K22-F22</f>
        <v>-416020.0625</v>
      </c>
      <c r="Y22" s="11" t="s">
        <v>920</v>
      </c>
      <c r="Z22" s="11" t="s">
        <v>182</v>
      </c>
    </row>
    <row r="23" spans="1:33">
      <c r="A23" s="62" t="s">
        <v>991</v>
      </c>
      <c r="B23" s="62" t="s">
        <v>923</v>
      </c>
      <c r="C23" s="62">
        <v>100</v>
      </c>
      <c r="D23" s="62" t="s">
        <v>912</v>
      </c>
      <c r="E23" s="63">
        <v>99999</v>
      </c>
      <c r="F23" s="63">
        <v>10420633</v>
      </c>
      <c r="G23" s="62"/>
      <c r="H23" s="62"/>
      <c r="I23" s="63"/>
      <c r="J23" s="62">
        <v>7.2499999999999995E-2</v>
      </c>
      <c r="K23" s="63">
        <f t="shared" si="2"/>
        <v>7249.9274999999998</v>
      </c>
      <c r="L23" s="62">
        <v>10</v>
      </c>
      <c r="M23" s="64">
        <f>F23-F22</f>
        <v>210017</v>
      </c>
      <c r="N23" s="62">
        <v>50</v>
      </c>
      <c r="O23" s="62">
        <v>50</v>
      </c>
      <c r="P23" s="62">
        <v>0</v>
      </c>
      <c r="Q23" s="64">
        <f>M23*N23/C22</f>
        <v>105008.5</v>
      </c>
      <c r="R23" s="64">
        <f>M23*O23/C22</f>
        <v>105008.5</v>
      </c>
      <c r="S23" s="64">
        <f>M23*P23/C22</f>
        <v>0</v>
      </c>
      <c r="T23" s="62"/>
      <c r="U23" s="63">
        <f>-C23*E23+K23+F23</f>
        <v>427982.92750000022</v>
      </c>
      <c r="Y23" s="11" t="s">
        <v>921</v>
      </c>
      <c r="Z23" s="3">
        <v>0</v>
      </c>
      <c r="AG23" t="s">
        <v>25</v>
      </c>
    </row>
    <row r="24" spans="1:33">
      <c r="A24" s="65" t="s">
        <v>897</v>
      </c>
      <c r="B24" s="65" t="s">
        <v>910</v>
      </c>
      <c r="C24" s="65">
        <v>300</v>
      </c>
      <c r="D24" s="65" t="s">
        <v>61</v>
      </c>
      <c r="E24" s="66">
        <v>97328</v>
      </c>
      <c r="F24" s="66">
        <v>29634633</v>
      </c>
      <c r="G24" s="65">
        <v>2</v>
      </c>
      <c r="H24" s="65">
        <v>21</v>
      </c>
      <c r="I24" s="66">
        <f>F24*G24*($AE$2-H24)/(36500)</f>
        <v>0</v>
      </c>
      <c r="J24" s="65">
        <v>7.2499999999999995E-2</v>
      </c>
      <c r="K24" s="66">
        <f t="shared" si="2"/>
        <v>21168.84</v>
      </c>
      <c r="L24" s="65">
        <f>(E24*(1+J24/100)+I24/C24)/(1-J25/100)-(U24/C24)*(G24/365)*($AE$2/100)</f>
        <v>97470.82001720804</v>
      </c>
      <c r="M24" s="67"/>
      <c r="N24" s="65"/>
      <c r="O24" s="65"/>
      <c r="P24" s="65"/>
      <c r="Q24" s="67"/>
      <c r="R24" s="67"/>
      <c r="S24" s="67"/>
      <c r="T24" s="65"/>
      <c r="U24" s="66">
        <f>C24*E24+K24-F24</f>
        <v>-415064.16000000015</v>
      </c>
      <c r="Y24" s="11"/>
      <c r="Z24" s="3"/>
      <c r="AD24" s="7"/>
    </row>
    <row r="25" spans="1:33">
      <c r="A25" s="65" t="s">
        <v>991</v>
      </c>
      <c r="B25" s="65" t="s">
        <v>910</v>
      </c>
      <c r="C25" s="65">
        <v>300</v>
      </c>
      <c r="D25" s="65" t="s">
        <v>912</v>
      </c>
      <c r="E25" s="66">
        <v>99000</v>
      </c>
      <c r="F25" s="66">
        <v>30127096</v>
      </c>
      <c r="G25" s="65">
        <v>0</v>
      </c>
      <c r="H25" s="65"/>
      <c r="I25" s="66"/>
      <c r="J25" s="65">
        <v>7.2499999999999995E-2</v>
      </c>
      <c r="K25" s="66">
        <f t="shared" si="2"/>
        <v>21532.5</v>
      </c>
      <c r="L25" s="65">
        <v>11</v>
      </c>
      <c r="M25" s="67">
        <f>F25-F24</f>
        <v>492463</v>
      </c>
      <c r="N25" s="65">
        <v>150</v>
      </c>
      <c r="O25" s="65">
        <v>150</v>
      </c>
      <c r="P25" s="65">
        <v>0</v>
      </c>
      <c r="Q25" s="67">
        <f>M25*N25/C24</f>
        <v>246231.5</v>
      </c>
      <c r="R25" s="67">
        <f>M25*O25/C24</f>
        <v>246231.5</v>
      </c>
      <c r="S25" s="67">
        <f>M25*P25/C24</f>
        <v>0</v>
      </c>
      <c r="T25" s="65"/>
      <c r="U25" s="66">
        <f>-C25*E25+K25+F25</f>
        <v>448628.5</v>
      </c>
      <c r="Y25" s="11"/>
      <c r="Z25" s="3">
        <v>0</v>
      </c>
    </row>
    <row r="26" spans="1:33">
      <c r="A26" s="62" t="s">
        <v>897</v>
      </c>
      <c r="B26" s="62" t="s">
        <v>923</v>
      </c>
      <c r="C26" s="62">
        <v>200</v>
      </c>
      <c r="D26" s="62" t="s">
        <v>61</v>
      </c>
      <c r="E26" s="63">
        <v>97875</v>
      </c>
      <c r="F26" s="63">
        <v>20421232</v>
      </c>
      <c r="G26" s="62">
        <v>2</v>
      </c>
      <c r="H26" s="62">
        <v>21</v>
      </c>
      <c r="I26" s="63">
        <f>F26*G26*($AE$2-H26)/(36500)</f>
        <v>0</v>
      </c>
      <c r="J26" s="62">
        <v>7.2499999999999995E-2</v>
      </c>
      <c r="K26" s="63">
        <f t="shared" si="2"/>
        <v>14191.875</v>
      </c>
      <c r="L26" s="62">
        <f>(E26*(1+J26/100)+I26/C26)/(1-J27/100)-(U26/C26)*(G26/365)*($AE$2/100)</f>
        <v>98021.808795915145</v>
      </c>
      <c r="M26" s="64"/>
      <c r="N26" s="62"/>
      <c r="O26" s="62"/>
      <c r="P26" s="62"/>
      <c r="Q26" s="64"/>
      <c r="R26" s="64"/>
      <c r="S26" s="64"/>
      <c r="T26" s="62"/>
      <c r="U26" s="63">
        <f>C26*E26+K26-F26</f>
        <v>-832040.125</v>
      </c>
      <c r="Y26" s="11"/>
      <c r="Z26" s="3">
        <v>0</v>
      </c>
    </row>
    <row r="27" spans="1:33">
      <c r="A27" s="62" t="s">
        <v>991</v>
      </c>
      <c r="B27" s="62" t="s">
        <v>923</v>
      </c>
      <c r="C27" s="62">
        <v>200</v>
      </c>
      <c r="D27" s="62" t="s">
        <v>912</v>
      </c>
      <c r="E27" s="63">
        <v>99999</v>
      </c>
      <c r="F27" s="63">
        <v>20841265</v>
      </c>
      <c r="G27" s="62"/>
      <c r="H27" s="62"/>
      <c r="I27" s="63"/>
      <c r="J27" s="62">
        <v>7.2499999999999995E-2</v>
      </c>
      <c r="K27" s="63">
        <f t="shared" si="2"/>
        <v>14499.855</v>
      </c>
      <c r="L27" s="62">
        <v>12</v>
      </c>
      <c r="M27" s="64">
        <f>F27-F26</f>
        <v>420033</v>
      </c>
      <c r="N27" s="62">
        <v>100</v>
      </c>
      <c r="O27" s="62">
        <v>100</v>
      </c>
      <c r="P27" s="62">
        <v>0</v>
      </c>
      <c r="Q27" s="64">
        <f>M27*N27/C26</f>
        <v>210016.5</v>
      </c>
      <c r="R27" s="64">
        <f>M27*O27/C26</f>
        <v>210016.5</v>
      </c>
      <c r="S27" s="64">
        <f>M27*P27/C26</f>
        <v>0</v>
      </c>
      <c r="T27" s="62"/>
      <c r="U27" s="63">
        <f>-C27*E27+K27+F27</f>
        <v>855964.85500000045</v>
      </c>
      <c r="Y27" s="11"/>
      <c r="Z27" s="3">
        <v>0</v>
      </c>
      <c r="AD27" t="s">
        <v>25</v>
      </c>
    </row>
    <row r="28" spans="1:33">
      <c r="A28" s="73" t="s">
        <v>897</v>
      </c>
      <c r="B28" s="73" t="s">
        <v>923</v>
      </c>
      <c r="C28" s="73">
        <v>100</v>
      </c>
      <c r="D28" s="73" t="s">
        <v>61</v>
      </c>
      <c r="E28" s="74">
        <v>97875</v>
      </c>
      <c r="F28" s="74">
        <v>10210616</v>
      </c>
      <c r="G28" s="73">
        <v>8</v>
      </c>
      <c r="H28" s="73">
        <v>21</v>
      </c>
      <c r="I28" s="74">
        <f>F28*G28*($AE$2-H28)/(36500)</f>
        <v>0</v>
      </c>
      <c r="J28" s="73">
        <v>7.2499999999999995E-2</v>
      </c>
      <c r="K28" s="74">
        <f t="shared" si="2"/>
        <v>7095.9375</v>
      </c>
      <c r="L28" s="73">
        <f>(E28*(1+J28/100)+I28/C28)/(1-J29/100)-(U28/C28)*(G28/365)*($AE$2/100)</f>
        <v>98036.170036428855</v>
      </c>
      <c r="M28" s="73"/>
      <c r="N28" s="73"/>
      <c r="O28" s="73"/>
      <c r="P28" s="73"/>
      <c r="Q28" s="73"/>
      <c r="R28" s="73"/>
      <c r="S28" s="73"/>
      <c r="T28" s="74"/>
      <c r="U28" s="74">
        <f>C28*E28+K28-F28</f>
        <v>-416020.0625</v>
      </c>
      <c r="Y28" s="11"/>
      <c r="Z28" s="3">
        <v>0</v>
      </c>
    </row>
    <row r="29" spans="1:33">
      <c r="A29" s="73" t="s">
        <v>1028</v>
      </c>
      <c r="B29" s="73" t="s">
        <v>923</v>
      </c>
      <c r="C29" s="73">
        <v>100</v>
      </c>
      <c r="D29" s="73" t="s">
        <v>912</v>
      </c>
      <c r="E29" s="74">
        <v>99999</v>
      </c>
      <c r="F29" s="74">
        <v>10456533</v>
      </c>
      <c r="G29" s="73"/>
      <c r="H29" s="73"/>
      <c r="I29" s="74">
        <f>F29*G29*($AE$2-H29)/(36500)</f>
        <v>0</v>
      </c>
      <c r="J29" s="73">
        <v>7.2499999999999995E-2</v>
      </c>
      <c r="K29" s="74">
        <f t="shared" si="2"/>
        <v>7249.9274999999998</v>
      </c>
      <c r="L29" s="73">
        <v>13</v>
      </c>
      <c r="M29" s="74">
        <f>F29-F28</f>
        <v>245917</v>
      </c>
      <c r="N29" s="73">
        <v>50</v>
      </c>
      <c r="O29" s="73">
        <v>50</v>
      </c>
      <c r="P29" s="73">
        <v>0</v>
      </c>
      <c r="Q29" s="74">
        <f>M29*N29/C28</f>
        <v>122958.5</v>
      </c>
      <c r="R29" s="74">
        <f>M29*O29/C28</f>
        <v>122958.5</v>
      </c>
      <c r="S29" s="74">
        <f>M29*P29/C28</f>
        <v>0</v>
      </c>
      <c r="T29" s="73"/>
      <c r="U29" s="74">
        <f>-C29*E29+K29+F29</f>
        <v>463882.92750000022</v>
      </c>
      <c r="Y29" s="11"/>
      <c r="Z29" s="3"/>
      <c r="AB29" s="7"/>
      <c r="AC29" s="7"/>
    </row>
    <row r="30" spans="1:33">
      <c r="A30" s="65" t="s">
        <v>980</v>
      </c>
      <c r="B30" s="65" t="s">
        <v>970</v>
      </c>
      <c r="C30" s="65">
        <v>143</v>
      </c>
      <c r="D30" s="65" t="s">
        <v>61</v>
      </c>
      <c r="E30" s="66">
        <v>70003</v>
      </c>
      <c r="F30" s="66">
        <v>10017729</v>
      </c>
      <c r="G30" s="65">
        <v>0</v>
      </c>
      <c r="H30" s="65">
        <v>0</v>
      </c>
      <c r="I30" s="66">
        <f>F30*G30*($AE$2-H30)/(36500)</f>
        <v>0</v>
      </c>
      <c r="J30" s="65">
        <v>7.2499999999999995E-2</v>
      </c>
      <c r="K30" s="66">
        <f t="shared" si="2"/>
        <v>7257.5610249999991</v>
      </c>
      <c r="L30" s="65">
        <f>(E30*(1+J30/100)+I30/C30)/(1-J31/100)-(U30/C30)*(G30/365)*($AE$2/100)</f>
        <v>70104.577994045685</v>
      </c>
      <c r="M30" s="67"/>
      <c r="N30" s="65"/>
      <c r="O30" s="65"/>
      <c r="P30" s="65"/>
      <c r="Q30" s="67"/>
      <c r="R30" s="67"/>
      <c r="S30" s="67"/>
      <c r="T30" s="65"/>
      <c r="U30" s="66">
        <v>0</v>
      </c>
      <c r="Y30" s="11"/>
      <c r="Z30" s="3"/>
      <c r="AB30" s="7"/>
      <c r="AC30" s="7"/>
    </row>
    <row r="31" spans="1:33">
      <c r="A31" s="65" t="s">
        <v>980</v>
      </c>
      <c r="B31" s="65" t="s">
        <v>970</v>
      </c>
      <c r="C31" s="65">
        <v>143</v>
      </c>
      <c r="D31" s="65" t="s">
        <v>912</v>
      </c>
      <c r="E31" s="66">
        <v>70500</v>
      </c>
      <c r="F31" s="66">
        <v>10074191</v>
      </c>
      <c r="G31" s="65">
        <v>0</v>
      </c>
      <c r="H31" s="65">
        <v>0</v>
      </c>
      <c r="I31" s="66">
        <f>F31*G31*($AE$2-H31)/(36500)</f>
        <v>0</v>
      </c>
      <c r="J31" s="65">
        <v>7.2499999999999995E-2</v>
      </c>
      <c r="K31" s="66">
        <f t="shared" si="2"/>
        <v>7309.0874999999996</v>
      </c>
      <c r="L31" s="65">
        <v>14</v>
      </c>
      <c r="M31" s="67">
        <f>F31-F30</f>
        <v>56462</v>
      </c>
      <c r="N31" s="65">
        <v>71.5</v>
      </c>
      <c r="O31" s="65">
        <f>C30-N31</f>
        <v>71.5</v>
      </c>
      <c r="P31" s="65">
        <v>0</v>
      </c>
      <c r="Q31" s="67">
        <f>M31*N31/C30</f>
        <v>28231</v>
      </c>
      <c r="R31" s="67">
        <f>M31*O31/C30</f>
        <v>28231</v>
      </c>
      <c r="S31" s="67">
        <f>M31*P31/C30</f>
        <v>0</v>
      </c>
      <c r="T31" s="65"/>
      <c r="U31" s="66">
        <v>0</v>
      </c>
      <c r="Y31" s="11"/>
      <c r="Z31" s="3"/>
    </row>
    <row r="32" spans="1:33">
      <c r="A32" s="62" t="s">
        <v>980</v>
      </c>
      <c r="B32" s="62" t="s">
        <v>901</v>
      </c>
      <c r="C32" s="62">
        <v>500</v>
      </c>
      <c r="D32" s="62" t="s">
        <v>61</v>
      </c>
      <c r="E32" s="63">
        <v>80620</v>
      </c>
      <c r="F32" s="63">
        <v>40339223</v>
      </c>
      <c r="G32" s="62">
        <v>0</v>
      </c>
      <c r="H32" s="62">
        <v>0</v>
      </c>
      <c r="I32" s="63">
        <f>F32*G32*($AE$2-H32)/(36500)</f>
        <v>0</v>
      </c>
      <c r="J32" s="62">
        <v>7.2499999999999995E-2</v>
      </c>
      <c r="K32" s="63">
        <f t="shared" si="2"/>
        <v>29224.75</v>
      </c>
      <c r="L32" s="62">
        <f>(E32*(1+J32/100)+I32/C32)/(1-J33/100)-(U32/C32)*(G32/365)*($AE$2/100)</f>
        <v>80736.983813264611</v>
      </c>
      <c r="M32" s="64"/>
      <c r="N32" s="62"/>
      <c r="O32" s="62"/>
      <c r="P32" s="62"/>
      <c r="Q32" s="64"/>
      <c r="R32" s="64"/>
      <c r="S32" s="64"/>
      <c r="T32" s="62"/>
      <c r="U32" s="63">
        <v>0</v>
      </c>
      <c r="Y32" s="11" t="s">
        <v>6</v>
      </c>
      <c r="Z32" s="3">
        <f>SUM(Z23:Z31)</f>
        <v>0</v>
      </c>
    </row>
    <row r="33" spans="1:26">
      <c r="A33" s="62" t="s">
        <v>980</v>
      </c>
      <c r="B33" s="62" t="s">
        <v>901</v>
      </c>
      <c r="C33" s="62">
        <v>500</v>
      </c>
      <c r="D33" s="62" t="s">
        <v>912</v>
      </c>
      <c r="E33" s="63">
        <v>80980</v>
      </c>
      <c r="F33" s="63">
        <v>40460644</v>
      </c>
      <c r="G33" s="62">
        <v>0</v>
      </c>
      <c r="H33" s="62">
        <v>0</v>
      </c>
      <c r="I33" s="63"/>
      <c r="J33" s="62">
        <v>7.2499999999999995E-2</v>
      </c>
      <c r="K33" s="63">
        <f t="shared" si="2"/>
        <v>29355.25</v>
      </c>
      <c r="L33" s="62">
        <v>15</v>
      </c>
      <c r="M33" s="64">
        <f>F33-F32</f>
        <v>121421</v>
      </c>
      <c r="N33" s="62">
        <v>250</v>
      </c>
      <c r="O33" s="62">
        <v>250</v>
      </c>
      <c r="P33" s="62">
        <v>0</v>
      </c>
      <c r="Q33" s="64">
        <f>M33*N33/C32</f>
        <v>60710.5</v>
      </c>
      <c r="R33" s="64">
        <f>M33*O33/C32</f>
        <v>60710.5</v>
      </c>
      <c r="S33" s="64">
        <f>M33*P33/C32</f>
        <v>0</v>
      </c>
      <c r="T33" s="62"/>
      <c r="U33" s="63">
        <v>0</v>
      </c>
      <c r="Y33" s="11"/>
      <c r="Z33" s="3"/>
    </row>
    <row r="34" spans="1:26">
      <c r="A34" s="65" t="s">
        <v>980</v>
      </c>
      <c r="B34" s="65" t="s">
        <v>970</v>
      </c>
      <c r="C34" s="65">
        <v>140</v>
      </c>
      <c r="D34" s="65" t="s">
        <v>982</v>
      </c>
      <c r="E34" s="66">
        <v>70502</v>
      </c>
      <c r="F34" s="66">
        <v>9877463</v>
      </c>
      <c r="G34" s="65">
        <v>0</v>
      </c>
      <c r="H34" s="65">
        <v>0</v>
      </c>
      <c r="I34" s="66"/>
      <c r="J34" s="65">
        <v>7.2499999999999995E-2</v>
      </c>
      <c r="K34" s="66">
        <f t="shared" si="2"/>
        <v>7155.9529999999995</v>
      </c>
      <c r="L34" s="65">
        <f>(E34*(1+J34/100)+I34/C34)/(1-J35/100)-(U34/C34)*(G34/365)*($AE$2/100)</f>
        <v>70604.302069000027</v>
      </c>
      <c r="M34" s="67"/>
      <c r="N34" s="65"/>
      <c r="O34" s="65"/>
      <c r="P34" s="65"/>
      <c r="Q34" s="67"/>
      <c r="R34" s="67"/>
      <c r="S34" s="67"/>
      <c r="T34" s="65"/>
      <c r="U34" s="66">
        <v>0</v>
      </c>
      <c r="Y34" s="11" t="s">
        <v>916</v>
      </c>
      <c r="Z34" s="3">
        <f>Z32-AL12</f>
        <v>0</v>
      </c>
    </row>
    <row r="35" spans="1:26">
      <c r="A35" s="65" t="s">
        <v>980</v>
      </c>
      <c r="B35" s="65" t="s">
        <v>970</v>
      </c>
      <c r="C35" s="65">
        <v>140</v>
      </c>
      <c r="D35" s="65" t="s">
        <v>912</v>
      </c>
      <c r="E35" s="66">
        <v>71186</v>
      </c>
      <c r="F35" s="66">
        <v>9958940</v>
      </c>
      <c r="G35" s="65">
        <v>0</v>
      </c>
      <c r="H35" s="65">
        <v>0</v>
      </c>
      <c r="I35" s="66"/>
      <c r="J35" s="65">
        <v>7.2499999999999995E-2</v>
      </c>
      <c r="K35" s="66">
        <f t="shared" si="2"/>
        <v>7225.378999999999</v>
      </c>
      <c r="L35" s="65">
        <v>16</v>
      </c>
      <c r="M35" s="67">
        <f>F35-F34</f>
        <v>81477</v>
      </c>
      <c r="N35" s="65">
        <v>70</v>
      </c>
      <c r="O35" s="65">
        <v>70</v>
      </c>
      <c r="P35" s="65">
        <v>0</v>
      </c>
      <c r="Q35" s="67">
        <f>M35*N35/C34</f>
        <v>40738.5</v>
      </c>
      <c r="R35" s="67">
        <f>M35*O35/C34</f>
        <v>40738.5</v>
      </c>
      <c r="S35" s="67">
        <f>M35*P35/C34</f>
        <v>0</v>
      </c>
      <c r="T35" s="65"/>
      <c r="U35" s="66">
        <v>0</v>
      </c>
    </row>
    <row r="36" spans="1:26">
      <c r="A36" s="62" t="s">
        <v>991</v>
      </c>
      <c r="B36" s="62" t="s">
        <v>917</v>
      </c>
      <c r="C36" s="62">
        <v>100</v>
      </c>
      <c r="D36" s="62" t="s">
        <v>61</v>
      </c>
      <c r="E36" s="63">
        <v>99000</v>
      </c>
      <c r="F36" s="63">
        <v>9940881</v>
      </c>
      <c r="G36" s="62">
        <v>0</v>
      </c>
      <c r="H36" s="62">
        <v>21</v>
      </c>
      <c r="I36" s="63">
        <f>F36*G36*($AE$2-H36)/(36500)</f>
        <v>0</v>
      </c>
      <c r="J36" s="62">
        <v>7.2499999999999995E-2</v>
      </c>
      <c r="K36" s="63">
        <f t="shared" si="2"/>
        <v>7177.5</v>
      </c>
      <c r="L36" s="62">
        <f>(E36*(1+J36/100)+I36/C36)/(1-J37/100)-(U36/C36)*(G36/365)*($AE$2/100)</f>
        <v>99143.654149258218</v>
      </c>
      <c r="M36" s="64"/>
      <c r="N36" s="62"/>
      <c r="O36" s="62"/>
      <c r="P36" s="62"/>
      <c r="Q36" s="64"/>
      <c r="R36" s="64"/>
      <c r="S36" s="64"/>
      <c r="T36" s="62"/>
      <c r="U36" s="63">
        <f>C36*E36+K36-F36</f>
        <v>-33703.5</v>
      </c>
    </row>
    <row r="37" spans="1:26">
      <c r="A37" s="62" t="s">
        <v>991</v>
      </c>
      <c r="B37" s="62" t="s">
        <v>917</v>
      </c>
      <c r="C37" s="62">
        <v>100</v>
      </c>
      <c r="D37" s="62" t="s">
        <v>912</v>
      </c>
      <c r="E37" s="63">
        <v>99200</v>
      </c>
      <c r="F37" s="63">
        <v>9946511</v>
      </c>
      <c r="G37" s="62"/>
      <c r="H37" s="62"/>
      <c r="I37" s="63"/>
      <c r="J37" s="62">
        <v>7.2499999999999995E-2</v>
      </c>
      <c r="K37" s="63">
        <f t="shared" si="2"/>
        <v>7192</v>
      </c>
      <c r="L37" s="62">
        <v>17</v>
      </c>
      <c r="M37" s="64">
        <f>F37-F36</f>
        <v>5630</v>
      </c>
      <c r="N37" s="62">
        <v>50</v>
      </c>
      <c r="O37" s="62">
        <v>50</v>
      </c>
      <c r="P37" s="62">
        <v>0</v>
      </c>
      <c r="Q37" s="64">
        <f>M37*N37/C36</f>
        <v>2815</v>
      </c>
      <c r="R37" s="64">
        <f>M37*O37/C36</f>
        <v>2815</v>
      </c>
      <c r="S37" s="64">
        <f>M37*P37/C36</f>
        <v>0</v>
      </c>
      <c r="T37" s="62"/>
      <c r="U37" s="63">
        <f>-C37*E37+K37+F37</f>
        <v>33703</v>
      </c>
    </row>
    <row r="38" spans="1:26">
      <c r="A38" s="65" t="s">
        <v>991</v>
      </c>
      <c r="B38" s="65" t="s">
        <v>924</v>
      </c>
      <c r="C38" s="65">
        <v>500</v>
      </c>
      <c r="D38" s="65" t="s">
        <v>61</v>
      </c>
      <c r="E38" s="66">
        <v>91000</v>
      </c>
      <c r="F38" s="66">
        <v>46785986</v>
      </c>
      <c r="G38" s="65">
        <v>0</v>
      </c>
      <c r="H38" s="65">
        <v>16</v>
      </c>
      <c r="I38" s="66">
        <f>F38*G38*($AE$2-H38)/(36500)</f>
        <v>0</v>
      </c>
      <c r="J38" s="65">
        <v>7.2499999999999995E-2</v>
      </c>
      <c r="K38" s="66">
        <f t="shared" si="2"/>
        <v>32987.5</v>
      </c>
      <c r="L38" s="65">
        <f>(E38*(1+J38/100)+I38/C38)/(1-J39/100)-(U38/C38)*(G38/365)*($AE$2/100)</f>
        <v>91132.045733156541</v>
      </c>
      <c r="M38" s="67"/>
      <c r="N38" s="65"/>
      <c r="O38" s="65"/>
      <c r="P38" s="65"/>
      <c r="Q38" s="67"/>
      <c r="R38" s="67"/>
      <c r="S38" s="67"/>
      <c r="T38" s="65"/>
      <c r="U38" s="66">
        <f>C38*E38+K38-F38</f>
        <v>-1252998.5</v>
      </c>
    </row>
    <row r="39" spans="1:26">
      <c r="A39" s="65" t="s">
        <v>991</v>
      </c>
      <c r="B39" s="65" t="s">
        <v>924</v>
      </c>
      <c r="C39" s="65">
        <v>500</v>
      </c>
      <c r="D39" s="65" t="s">
        <v>912</v>
      </c>
      <c r="E39" s="66">
        <v>92000</v>
      </c>
      <c r="F39" s="66">
        <v>47219599</v>
      </c>
      <c r="G39" s="65"/>
      <c r="H39" s="65"/>
      <c r="I39" s="66"/>
      <c r="J39" s="65">
        <v>7.2499999999999995E-2</v>
      </c>
      <c r="K39" s="66">
        <f t="shared" si="2"/>
        <v>33350</v>
      </c>
      <c r="L39" s="65">
        <v>18</v>
      </c>
      <c r="M39" s="67">
        <f>F39-F38</f>
        <v>433613</v>
      </c>
      <c r="N39" s="65">
        <v>250</v>
      </c>
      <c r="O39" s="65">
        <v>250</v>
      </c>
      <c r="P39" s="65">
        <v>0</v>
      </c>
      <c r="Q39" s="67">
        <f>M39*N39/C38</f>
        <v>216806.5</v>
      </c>
      <c r="R39" s="67">
        <f>M39*O39/C38</f>
        <v>216806.5</v>
      </c>
      <c r="S39" s="67">
        <f>M39*P39/C38</f>
        <v>0</v>
      </c>
      <c r="T39" s="65"/>
      <c r="U39" s="66">
        <f>-C39*E39+K39+F39</f>
        <v>1252949</v>
      </c>
    </row>
    <row r="40" spans="1:26">
      <c r="A40" s="62" t="s">
        <v>991</v>
      </c>
      <c r="B40" s="62" t="s">
        <v>901</v>
      </c>
      <c r="C40" s="62">
        <v>8</v>
      </c>
      <c r="D40" s="63" t="s">
        <v>61</v>
      </c>
      <c r="E40" s="63">
        <v>82200</v>
      </c>
      <c r="F40" s="63">
        <v>658076</v>
      </c>
      <c r="G40" s="62">
        <v>6</v>
      </c>
      <c r="H40" s="62">
        <v>0</v>
      </c>
      <c r="I40" s="62">
        <f>F40*G40*($AE$2-H40)/(36500)</f>
        <v>2271.714410958904</v>
      </c>
      <c r="J40" s="62">
        <v>7.2499999999999995E-2</v>
      </c>
      <c r="K40" s="62">
        <f t="shared" si="2"/>
        <v>476.76</v>
      </c>
      <c r="L40" s="62">
        <f>(E40*(1+J40/100)+I40/C40)/(1-J41/100)-(U40/C40)*(G40/365)*($AE$2/100)</f>
        <v>82603.44680030008</v>
      </c>
      <c r="M40" s="62"/>
      <c r="N40" s="62"/>
      <c r="O40" s="62"/>
      <c r="P40" s="62"/>
      <c r="Q40" s="62"/>
      <c r="R40" s="62"/>
      <c r="S40" s="62"/>
      <c r="T40" s="63"/>
      <c r="U40" s="63">
        <v>0</v>
      </c>
    </row>
    <row r="41" spans="1:26">
      <c r="A41" s="62" t="s">
        <v>1028</v>
      </c>
      <c r="B41" s="62" t="s">
        <v>901</v>
      </c>
      <c r="C41" s="62">
        <v>8</v>
      </c>
      <c r="D41" s="62" t="s">
        <v>912</v>
      </c>
      <c r="E41" s="63">
        <v>82630</v>
      </c>
      <c r="F41" s="63">
        <v>660560</v>
      </c>
      <c r="G41" s="62"/>
      <c r="H41" s="63"/>
      <c r="I41" s="62">
        <f>F41*G41*($AE$2-H41)/(36500)</f>
        <v>0</v>
      </c>
      <c r="J41" s="62">
        <v>7.2499999999999995E-2</v>
      </c>
      <c r="K41" s="62">
        <f t="shared" si="2"/>
        <v>479.25399999999996</v>
      </c>
      <c r="L41" s="62">
        <v>19</v>
      </c>
      <c r="M41" s="63">
        <f>F41-F40</f>
        <v>2484</v>
      </c>
      <c r="N41" s="62">
        <v>4</v>
      </c>
      <c r="O41" s="63">
        <f>C40-N41</f>
        <v>4</v>
      </c>
      <c r="P41" s="63">
        <v>0</v>
      </c>
      <c r="Q41" s="63">
        <f>M41*N41/C40</f>
        <v>1242</v>
      </c>
      <c r="R41" s="62">
        <f>M41*O41/C40</f>
        <v>1242</v>
      </c>
      <c r="S41" s="62">
        <f>M41*P41/C40</f>
        <v>0</v>
      </c>
      <c r="T41" s="63"/>
      <c r="U41" s="63">
        <v>0</v>
      </c>
    </row>
    <row r="42" spans="1:26">
      <c r="A42" s="65" t="s">
        <v>991</v>
      </c>
      <c r="B42" s="65" t="s">
        <v>927</v>
      </c>
      <c r="C42" s="65">
        <v>1900</v>
      </c>
      <c r="D42" s="65" t="s">
        <v>61</v>
      </c>
      <c r="E42" s="66">
        <v>85537</v>
      </c>
      <c r="F42" s="66">
        <v>170893386</v>
      </c>
      <c r="G42" s="65">
        <v>8</v>
      </c>
      <c r="H42" s="65">
        <v>15</v>
      </c>
      <c r="I42" s="66">
        <f>F42*G42*($AE$2-H42)/(36500)</f>
        <v>224736.50761643835</v>
      </c>
      <c r="J42" s="65">
        <v>7.2499999999999995E-2</v>
      </c>
      <c r="K42" s="66">
        <f t="shared" si="2"/>
        <v>117827.2175</v>
      </c>
      <c r="L42" s="65">
        <f>(E42*(1+J42/100)+I42/C42)/(1-J43/100)-(U42/C42)*(G42/365)*($AE$2/100)</f>
        <v>85799.48514513961</v>
      </c>
      <c r="M42" s="67"/>
      <c r="N42" s="65"/>
      <c r="O42" s="65"/>
      <c r="P42" s="65"/>
      <c r="Q42" s="67"/>
      <c r="R42" s="67"/>
      <c r="S42" s="67"/>
      <c r="T42" s="65"/>
      <c r="U42" s="66">
        <f>C42*E42+K42-F42</f>
        <v>-8255258.7824999988</v>
      </c>
    </row>
    <row r="43" spans="1:26">
      <c r="A43" s="65" t="s">
        <v>1029</v>
      </c>
      <c r="B43" s="65" t="s">
        <v>927</v>
      </c>
      <c r="C43" s="65">
        <v>1900</v>
      </c>
      <c r="D43" s="65" t="s">
        <v>912</v>
      </c>
      <c r="E43" s="66">
        <v>85899</v>
      </c>
      <c r="F43" s="66">
        <v>171903709</v>
      </c>
      <c r="G43" s="65"/>
      <c r="H43" s="65"/>
      <c r="I43" s="66"/>
      <c r="J43" s="65">
        <v>7.2499999999999995E-2</v>
      </c>
      <c r="K43" s="66">
        <f t="shared" si="2"/>
        <v>118325.8725</v>
      </c>
      <c r="L43" s="65">
        <v>20</v>
      </c>
      <c r="M43" s="67">
        <f>F43-F42</f>
        <v>1010323</v>
      </c>
      <c r="N43" s="65">
        <v>950</v>
      </c>
      <c r="O43" s="65">
        <v>950</v>
      </c>
      <c r="P43" s="65">
        <v>0</v>
      </c>
      <c r="Q43" s="67">
        <f>M43*N43/C42</f>
        <v>505161.5</v>
      </c>
      <c r="R43" s="67">
        <f>M43*O43/C42</f>
        <v>505161.5</v>
      </c>
      <c r="S43" s="67">
        <f>M43*P43/C42</f>
        <v>0</v>
      </c>
      <c r="T43" s="65"/>
      <c r="U43" s="66">
        <f>-C43*E43+K43+F43</f>
        <v>8813934.8725000024</v>
      </c>
    </row>
    <row r="44" spans="1:26">
      <c r="A44" s="62" t="s">
        <v>1072</v>
      </c>
      <c r="B44" s="62" t="s">
        <v>1086</v>
      </c>
      <c r="C44" s="62">
        <v>100</v>
      </c>
      <c r="D44" s="62" t="s">
        <v>61</v>
      </c>
      <c r="E44" s="63">
        <v>183000</v>
      </c>
      <c r="F44" s="63">
        <v>18000000</v>
      </c>
      <c r="G44" s="62">
        <v>0</v>
      </c>
      <c r="H44" s="62">
        <v>0</v>
      </c>
      <c r="I44" s="63"/>
      <c r="J44" s="65">
        <v>0.125</v>
      </c>
      <c r="K44" s="63">
        <v>22875</v>
      </c>
      <c r="L44" s="62"/>
      <c r="M44" s="64"/>
      <c r="N44" s="62"/>
      <c r="O44" s="62"/>
      <c r="P44" s="64"/>
      <c r="Q44" s="64"/>
      <c r="R44" s="62"/>
      <c r="S44" s="63"/>
      <c r="T44" s="62" t="s">
        <v>1087</v>
      </c>
      <c r="U44" s="63"/>
    </row>
    <row r="45" spans="1:26">
      <c r="A45" s="62" t="s">
        <v>1072</v>
      </c>
      <c r="B45" s="62" t="s">
        <v>1088</v>
      </c>
      <c r="C45" s="62">
        <v>100</v>
      </c>
      <c r="D45" s="62" t="s">
        <v>912</v>
      </c>
      <c r="E45" s="63">
        <v>184000</v>
      </c>
      <c r="F45" s="63">
        <v>18068504</v>
      </c>
      <c r="G45" s="62"/>
      <c r="H45" s="62"/>
      <c r="I45" s="63"/>
      <c r="J45" s="65">
        <v>7.2499999999999995E-2</v>
      </c>
      <c r="K45" s="63"/>
      <c r="L45" s="62">
        <v>21</v>
      </c>
      <c r="M45" s="64">
        <f>F45-F44</f>
        <v>68504</v>
      </c>
      <c r="N45" s="62">
        <v>50</v>
      </c>
      <c r="O45" s="62">
        <v>50</v>
      </c>
      <c r="P45" s="64">
        <v>0</v>
      </c>
      <c r="Q45" s="64">
        <f>M45*N45/C44</f>
        <v>34252</v>
      </c>
      <c r="R45" s="62">
        <f>M45*O45/C44</f>
        <v>34252</v>
      </c>
      <c r="S45" s="63">
        <f>M45*P45/C44</f>
        <v>0</v>
      </c>
      <c r="T45" s="62"/>
      <c r="U45" s="63"/>
    </row>
    <row r="46" spans="1:26">
      <c r="A46" s="65" t="s">
        <v>1072</v>
      </c>
      <c r="B46" s="65" t="s">
        <v>901</v>
      </c>
      <c r="C46" s="65">
        <v>347</v>
      </c>
      <c r="D46" s="65" t="s">
        <v>61</v>
      </c>
      <c r="E46" s="66">
        <v>82535</v>
      </c>
      <c r="F46" s="66">
        <v>28660327</v>
      </c>
      <c r="G46" s="65">
        <v>16</v>
      </c>
      <c r="H46" s="65">
        <v>0</v>
      </c>
      <c r="I46" s="66">
        <f>F46*G46*($AE$2-H46)/(36500)</f>
        <v>263832.05128767126</v>
      </c>
      <c r="J46" s="65">
        <v>7.2499999999999995E-2</v>
      </c>
      <c r="K46" s="66">
        <f>C46*E46*J46/100</f>
        <v>20763.742624999999</v>
      </c>
      <c r="L46" s="65">
        <f>(E46*(1+J46/100)+I46/C46)/(1-J47/100)-(U46/C46)*(G46/365)*($AE$2/100)</f>
        <v>83415.634957759845</v>
      </c>
      <c r="M46" s="67"/>
      <c r="N46" s="65"/>
      <c r="O46" s="65"/>
      <c r="P46" s="65"/>
      <c r="Q46" s="67"/>
      <c r="R46" s="67"/>
      <c r="S46" s="67"/>
      <c r="T46" s="65">
        <v>83140</v>
      </c>
      <c r="U46" s="66">
        <f>C46*E46+K46-F46</f>
        <v>81.742625001817942</v>
      </c>
    </row>
    <row r="47" spans="1:26">
      <c r="A47" s="65"/>
      <c r="B47" s="65"/>
      <c r="C47" s="65">
        <v>347</v>
      </c>
      <c r="D47" s="65" t="s">
        <v>912</v>
      </c>
      <c r="E47" s="66">
        <f>T46</f>
        <v>83140</v>
      </c>
      <c r="F47" s="66">
        <v>28828629</v>
      </c>
      <c r="G47" s="65"/>
      <c r="H47" s="65"/>
      <c r="I47" s="66"/>
      <c r="J47" s="65">
        <v>7.2499999999999995E-2</v>
      </c>
      <c r="K47" s="66">
        <f>C47*E47*J47/100</f>
        <v>20915.945499999998</v>
      </c>
      <c r="L47" s="65">
        <v>20</v>
      </c>
      <c r="M47" s="67">
        <f>F47-F46</f>
        <v>168302</v>
      </c>
      <c r="N47" s="65">
        <v>174.5</v>
      </c>
      <c r="O47" s="65">
        <v>131.5</v>
      </c>
      <c r="P47" s="65">
        <v>41</v>
      </c>
      <c r="Q47" s="67">
        <f>M47*N47/C46</f>
        <v>84636.020172910663</v>
      </c>
      <c r="R47" s="67">
        <f>M47*O47/C46</f>
        <v>63780.152737752163</v>
      </c>
      <c r="S47" s="67">
        <f>M47*P47/C46</f>
        <v>19885.827089337177</v>
      </c>
      <c r="T47" s="65"/>
      <c r="U47" s="66">
        <f>-C47*E47+K47+F47</f>
        <v>-35.054499998688698</v>
      </c>
    </row>
    <row r="48" spans="1:26">
      <c r="A48" s="62" t="s">
        <v>3670</v>
      </c>
      <c r="B48" s="62" t="s">
        <v>917</v>
      </c>
      <c r="C48" s="62">
        <v>200</v>
      </c>
      <c r="D48" s="62" t="s">
        <v>61</v>
      </c>
      <c r="E48" s="63">
        <v>99000</v>
      </c>
      <c r="F48" s="63">
        <v>20693146</v>
      </c>
      <c r="G48" s="62">
        <v>12</v>
      </c>
      <c r="H48" s="62">
        <v>21</v>
      </c>
      <c r="I48" s="63">
        <f>F48*G48*($AE$2-H48)/(36500)</f>
        <v>0</v>
      </c>
      <c r="J48" s="65">
        <v>7.2499999999999995E-2</v>
      </c>
      <c r="K48" s="63">
        <f>C48*E48*J48/100</f>
        <v>14355</v>
      </c>
      <c r="L48" s="62">
        <f>(E48*(1+J48/100)+I48/C48)/(1-J49/100)-(U48/C48)*(G48/365)*($AE$2/100)</f>
        <v>99173.990496107537</v>
      </c>
      <c r="M48" s="64"/>
      <c r="N48" s="62">
        <v>0</v>
      </c>
      <c r="O48" s="62">
        <v>200</v>
      </c>
      <c r="P48" s="64">
        <v>0</v>
      </c>
      <c r="Q48" s="64"/>
      <c r="R48" s="62"/>
      <c r="S48" s="63"/>
      <c r="T48" s="62"/>
      <c r="U48" s="63">
        <f>C48*E48+K48-F48</f>
        <v>-878791</v>
      </c>
      <c r="Y48" t="s">
        <v>25</v>
      </c>
    </row>
    <row r="49" spans="1:22">
      <c r="A49" s="62" t="s">
        <v>25</v>
      </c>
      <c r="B49" s="62"/>
      <c r="C49" s="62">
        <v>200</v>
      </c>
      <c r="D49" s="62" t="s">
        <v>912</v>
      </c>
      <c r="E49" s="63">
        <v>99000</v>
      </c>
      <c r="F49" s="63">
        <v>20810578</v>
      </c>
      <c r="G49" s="62">
        <v>12</v>
      </c>
      <c r="H49" s="62"/>
      <c r="I49" s="63"/>
      <c r="J49" s="65">
        <v>7.2499999999999995E-2</v>
      </c>
      <c r="K49" s="63">
        <f>C49*E49*J49/100</f>
        <v>14355</v>
      </c>
      <c r="L49" s="62"/>
      <c r="M49" s="64"/>
      <c r="N49" s="62"/>
      <c r="O49" s="62"/>
      <c r="P49" s="64"/>
      <c r="Q49" s="64"/>
      <c r="R49" s="62"/>
      <c r="S49" s="63"/>
      <c r="T49" s="62"/>
      <c r="U49" s="63">
        <f>-C49*E49+K49+F49</f>
        <v>1024933</v>
      </c>
    </row>
    <row r="50" spans="1:22">
      <c r="A50" s="65"/>
      <c r="B50" s="65"/>
      <c r="C50" s="65"/>
      <c r="D50" s="65"/>
      <c r="E50" s="66"/>
      <c r="F50" s="66"/>
      <c r="G50" s="65"/>
      <c r="H50" s="65"/>
      <c r="I50" s="66"/>
      <c r="J50" s="65">
        <v>7.2499999999999995E-2</v>
      </c>
      <c r="K50" s="66"/>
      <c r="L50" s="65"/>
      <c r="M50" s="67"/>
      <c r="N50" s="65"/>
      <c r="O50" s="65"/>
      <c r="P50" s="65"/>
      <c r="Q50" s="67"/>
      <c r="R50" s="67"/>
      <c r="S50" s="67"/>
      <c r="T50" s="65"/>
      <c r="U50" s="66"/>
    </row>
    <row r="51" spans="1:22">
      <c r="A51" s="65"/>
      <c r="B51" s="65"/>
      <c r="C51" s="65"/>
      <c r="D51" s="65"/>
      <c r="E51" s="66"/>
      <c r="F51" s="66"/>
      <c r="G51" s="65"/>
      <c r="H51" s="65"/>
      <c r="I51" s="66"/>
      <c r="J51" s="65">
        <v>7.2499999999999995E-2</v>
      </c>
      <c r="K51" s="66"/>
      <c r="L51" s="65"/>
      <c r="M51" s="67"/>
      <c r="N51" s="65"/>
      <c r="O51" s="65"/>
      <c r="P51" s="65"/>
      <c r="Q51" s="67"/>
      <c r="R51" s="67"/>
      <c r="S51" s="67"/>
      <c r="T51" s="65"/>
      <c r="U51" s="66"/>
    </row>
    <row r="52" spans="1:22">
      <c r="A52" s="62"/>
      <c r="B52" s="62"/>
      <c r="C52" s="62">
        <v>1</v>
      </c>
      <c r="D52" s="62"/>
      <c r="E52" s="63"/>
      <c r="F52" s="63"/>
      <c r="G52" s="62"/>
      <c r="H52" s="62"/>
      <c r="I52" s="63">
        <f>F52*G52*($AE$2-H52)/(36500)</f>
        <v>0</v>
      </c>
      <c r="J52" s="62">
        <v>7.2499999999999995E-2</v>
      </c>
      <c r="K52" s="63">
        <f>C52*E52*J52/100</f>
        <v>0</v>
      </c>
      <c r="L52" s="62">
        <f>(E52*(1+J52/100)+I52/C52)/(1-J53/100)</f>
        <v>0</v>
      </c>
      <c r="M52" s="64"/>
      <c r="N52" s="62"/>
      <c r="O52" s="62"/>
      <c r="P52" s="62"/>
      <c r="Q52" s="64"/>
      <c r="R52" s="64"/>
      <c r="S52" s="64"/>
      <c r="T52" s="62"/>
      <c r="U52" s="72">
        <f>C52*E52+K52-F52</f>
        <v>0</v>
      </c>
      <c r="V52" t="s">
        <v>25</v>
      </c>
    </row>
    <row r="53" spans="1:22">
      <c r="A53" s="62"/>
      <c r="B53" s="62"/>
      <c r="C53" s="62">
        <v>1</v>
      </c>
      <c r="D53" s="62"/>
      <c r="E53" s="63"/>
      <c r="F53" s="63"/>
      <c r="G53" s="62"/>
      <c r="H53" s="62"/>
      <c r="I53" s="63"/>
      <c r="J53" s="62">
        <v>7.2499999999999995E-2</v>
      </c>
      <c r="K53" s="63">
        <f>C53*E53*J53/100</f>
        <v>0</v>
      </c>
      <c r="L53" s="62">
        <v>21</v>
      </c>
      <c r="M53" s="64">
        <f>F53-F52</f>
        <v>0</v>
      </c>
      <c r="N53" s="62">
        <v>50</v>
      </c>
      <c r="O53" s="62">
        <v>50</v>
      </c>
      <c r="P53" s="62"/>
      <c r="Q53" s="64">
        <f>M53*N53/C52</f>
        <v>0</v>
      </c>
      <c r="R53" s="64">
        <f>M53*O53/C52</f>
        <v>0</v>
      </c>
      <c r="S53" s="64"/>
      <c r="T53" s="62"/>
      <c r="U53" s="72">
        <f>-C53*E53+K53+F53</f>
        <v>0</v>
      </c>
    </row>
    <row r="54" spans="1:22">
      <c r="A54" s="65"/>
      <c r="B54" s="65"/>
      <c r="C54" s="65">
        <v>1</v>
      </c>
      <c r="D54" s="65"/>
      <c r="E54" s="65"/>
      <c r="F54" s="65"/>
      <c r="G54" s="65"/>
      <c r="H54" s="65"/>
      <c r="I54" s="65">
        <f>F54*G54*($AE$2-H54)/(36500)</f>
        <v>0</v>
      </c>
      <c r="J54" s="65">
        <v>7.2499999999999995E-2</v>
      </c>
      <c r="K54" s="65">
        <f>C54*E54*J54/100</f>
        <v>0</v>
      </c>
      <c r="L54" s="65">
        <f>(E54*(1+J54/100)+I54/C54)/(1-J55/100)</f>
        <v>0</v>
      </c>
      <c r="M54" s="65"/>
      <c r="N54" s="65"/>
      <c r="O54" s="65"/>
      <c r="P54" s="65"/>
      <c r="Q54" s="65"/>
      <c r="R54" s="65"/>
      <c r="S54" s="65"/>
      <c r="T54" s="65"/>
      <c r="U54" s="66">
        <f>C54*E54+K54-F54</f>
        <v>0</v>
      </c>
    </row>
    <row r="55" spans="1:22">
      <c r="A55" s="65"/>
      <c r="B55" s="65"/>
      <c r="C55" s="65">
        <v>1</v>
      </c>
      <c r="D55" s="65"/>
      <c r="E55" s="65"/>
      <c r="F55" s="65"/>
      <c r="G55" s="65"/>
      <c r="H55" s="65"/>
      <c r="I55" s="65"/>
      <c r="J55" s="65">
        <v>7.2499999999999995E-2</v>
      </c>
      <c r="K55" s="65">
        <f>C55*E55*J55/100</f>
        <v>0</v>
      </c>
      <c r="L55" s="65">
        <v>22</v>
      </c>
      <c r="M55" s="65">
        <f>F55-F54</f>
        <v>0</v>
      </c>
      <c r="N55" s="65">
        <v>50</v>
      </c>
      <c r="O55" s="65">
        <v>50</v>
      </c>
      <c r="P55" s="65"/>
      <c r="Q55" s="65">
        <f>M55*N55/C54</f>
        <v>0</v>
      </c>
      <c r="R55" s="65">
        <f>M55*O55/C54</f>
        <v>0</v>
      </c>
      <c r="S55" s="65"/>
      <c r="T55" s="65"/>
      <c r="U55" s="66">
        <f>-C55*E55+K55+F55</f>
        <v>0</v>
      </c>
    </row>
    <row r="56" spans="1:22">
      <c r="V56" t="s">
        <v>25</v>
      </c>
    </row>
    <row r="60" spans="1:22">
      <c r="A60" s="16" t="s">
        <v>3670</v>
      </c>
      <c r="B60" s="16" t="s">
        <v>901</v>
      </c>
      <c r="C60" s="16">
        <v>4</v>
      </c>
      <c r="D60" s="16" t="s">
        <v>61</v>
      </c>
      <c r="E60" s="16">
        <v>84400</v>
      </c>
      <c r="F60" s="66">
        <v>337844</v>
      </c>
      <c r="G60" s="16">
        <v>12</v>
      </c>
      <c r="H60" s="16">
        <v>0</v>
      </c>
      <c r="I60" s="14">
        <f>F60*G60*($AE$2-H60)/(36500)</f>
        <v>2332.5120000000002</v>
      </c>
      <c r="J60" s="69">
        <v>7.2499999999999995E-2</v>
      </c>
      <c r="K60" s="16">
        <f>C60*E60*J60/100</f>
        <v>244.76</v>
      </c>
      <c r="L60" s="16">
        <f>(E60*(1+J60/100)+I60/C60)/(1-J61/100)-(U60/C60)*(G60/365)*($AE$2/100)</f>
        <v>85106.018552620866</v>
      </c>
      <c r="M60" s="16"/>
      <c r="N60" s="16">
        <v>0</v>
      </c>
      <c r="O60" s="16">
        <v>4</v>
      </c>
      <c r="P60" s="16">
        <v>0</v>
      </c>
      <c r="Q60" s="16"/>
      <c r="R60" s="16"/>
      <c r="S60" s="16"/>
      <c r="T60" s="16"/>
      <c r="U60" s="14">
        <f>C60*E60+K60-F60</f>
        <v>0.76000000000931323</v>
      </c>
    </row>
    <row r="61" spans="1:22">
      <c r="A61" s="16"/>
      <c r="B61" s="16"/>
      <c r="C61" s="16">
        <v>4</v>
      </c>
      <c r="D61" s="16"/>
      <c r="E61" s="16">
        <v>84400</v>
      </c>
      <c r="F61" s="16">
        <v>335000</v>
      </c>
      <c r="G61" s="16"/>
      <c r="H61" s="16"/>
      <c r="I61" s="14"/>
      <c r="J61" s="69">
        <v>7.2499999999999995E-2</v>
      </c>
      <c r="K61" s="16">
        <f>C61*E61*J61/100</f>
        <v>244.76</v>
      </c>
      <c r="L61" s="16"/>
      <c r="M61" s="16"/>
      <c r="N61" s="16"/>
      <c r="O61" s="16"/>
      <c r="P61" s="16"/>
      <c r="Q61" s="16"/>
      <c r="R61" s="16"/>
      <c r="S61" s="16"/>
      <c r="T61" s="16"/>
      <c r="U61" s="14">
        <f>-C61*E61+K61+F61</f>
        <v>-2355.2399999999907</v>
      </c>
    </row>
    <row r="62" spans="1:22">
      <c r="A62" s="69" t="s">
        <v>3718</v>
      </c>
      <c r="B62" s="69" t="s">
        <v>1048</v>
      </c>
      <c r="C62" s="69">
        <v>9</v>
      </c>
      <c r="D62" s="69" t="s">
        <v>61</v>
      </c>
      <c r="E62" s="63">
        <v>2349500</v>
      </c>
      <c r="F62" s="63">
        <v>21160329</v>
      </c>
      <c r="G62" s="69">
        <v>1</v>
      </c>
      <c r="H62" s="69">
        <v>0</v>
      </c>
      <c r="I62" s="70"/>
      <c r="J62" s="69"/>
      <c r="K62" s="69"/>
      <c r="L62" s="69"/>
      <c r="M62" s="69"/>
      <c r="N62" s="69"/>
      <c r="O62" s="69"/>
      <c r="P62" s="69"/>
      <c r="Q62" s="69"/>
      <c r="R62" s="69"/>
      <c r="S62" s="69"/>
      <c r="T62" s="69"/>
      <c r="U62" s="70">
        <f>-C62*E62+K62+F62</f>
        <v>14829</v>
      </c>
      <c r="V62" t="s">
        <v>25</v>
      </c>
    </row>
    <row r="63" spans="1:22">
      <c r="A63" s="69"/>
      <c r="B63" s="69"/>
      <c r="C63" s="69"/>
      <c r="D63" s="69"/>
      <c r="E63" s="69"/>
      <c r="F63" s="69"/>
      <c r="G63" s="69"/>
      <c r="H63" s="69"/>
      <c r="I63" s="70"/>
      <c r="J63" s="69"/>
      <c r="K63" s="69"/>
      <c r="L63" s="69"/>
      <c r="M63" s="69"/>
      <c r="N63" s="69"/>
      <c r="O63" s="69"/>
      <c r="P63" s="69"/>
      <c r="Q63" s="69"/>
      <c r="R63" s="69"/>
      <c r="S63" s="69"/>
      <c r="T63" s="69"/>
      <c r="U63" s="70">
        <f>C63*E63+K63-F63</f>
        <v>0</v>
      </c>
    </row>
    <row r="64" spans="1:22">
      <c r="A64" s="16"/>
      <c r="B64" s="16"/>
      <c r="C64" s="16"/>
      <c r="D64" s="16"/>
      <c r="E64" s="16"/>
      <c r="F64" s="16"/>
      <c r="G64" s="16"/>
      <c r="H64" s="16"/>
      <c r="I64" s="14"/>
      <c r="J64" s="16"/>
      <c r="K64" s="16"/>
      <c r="L64" s="16"/>
      <c r="M64" s="16"/>
      <c r="N64" s="16"/>
      <c r="O64" s="16"/>
      <c r="P64" s="16"/>
      <c r="Q64" s="16"/>
      <c r="R64" s="16"/>
      <c r="S64" s="16"/>
      <c r="T64" s="16"/>
      <c r="U64" s="14">
        <f>-C64*E64+K64+F64</f>
        <v>0</v>
      </c>
    </row>
    <row r="65" spans="1:21">
      <c r="A65" s="16"/>
      <c r="B65" s="16"/>
      <c r="C65" s="16"/>
      <c r="D65" s="16"/>
      <c r="E65" s="16"/>
      <c r="F65" s="16"/>
      <c r="G65" s="16"/>
      <c r="H65" s="16"/>
      <c r="I65" s="14" t="s">
        <v>25</v>
      </c>
      <c r="J65" s="16"/>
      <c r="K65" s="16"/>
      <c r="L65" s="16"/>
      <c r="M65" s="16"/>
      <c r="N65" s="16"/>
      <c r="O65" s="16"/>
      <c r="P65" s="16"/>
      <c r="Q65" s="16"/>
      <c r="R65" s="16"/>
      <c r="S65" s="16"/>
      <c r="T65" s="16"/>
      <c r="U65" s="14">
        <f>C65*E65+K65-F65</f>
        <v>0</v>
      </c>
    </row>
    <row r="66" spans="1:21">
      <c r="A66" s="69"/>
      <c r="B66" s="69"/>
      <c r="C66" s="69"/>
      <c r="D66" s="69"/>
      <c r="E66" s="69"/>
      <c r="F66" s="69"/>
      <c r="G66" s="69"/>
      <c r="H66" s="69"/>
      <c r="I66" s="70"/>
      <c r="J66" s="69"/>
      <c r="K66" s="69"/>
      <c r="L66" s="69"/>
      <c r="M66" s="69"/>
      <c r="N66" s="69"/>
      <c r="O66" s="69"/>
      <c r="P66" s="69"/>
      <c r="Q66" s="69"/>
      <c r="R66" s="69"/>
      <c r="S66" s="69"/>
      <c r="T66" s="69"/>
      <c r="U66" s="70">
        <f>-C66*E66+K66+F66</f>
        <v>0</v>
      </c>
    </row>
    <row r="67" spans="1:21">
      <c r="A67" s="69"/>
      <c r="B67" s="69"/>
      <c r="C67" s="69"/>
      <c r="D67" s="69"/>
      <c r="E67" s="69"/>
      <c r="F67" s="69"/>
      <c r="G67" s="69"/>
      <c r="H67" s="69"/>
      <c r="I67" s="70"/>
      <c r="J67" s="69"/>
      <c r="K67" s="69"/>
      <c r="L67" s="69"/>
      <c r="M67" s="69"/>
      <c r="N67" s="69"/>
      <c r="O67" s="69"/>
      <c r="P67" s="69"/>
      <c r="Q67" s="69"/>
      <c r="R67" s="69"/>
      <c r="S67" s="69"/>
      <c r="T67" s="69"/>
      <c r="U67" s="70">
        <f>C67*E67+K67-F67</f>
        <v>0</v>
      </c>
    </row>
    <row r="68" spans="1:21">
      <c r="A68" s="69"/>
      <c r="B68" s="69"/>
      <c r="C68" s="69"/>
      <c r="D68" s="69"/>
      <c r="E68" s="69"/>
      <c r="F68" s="69"/>
      <c r="G68" s="69"/>
      <c r="H68" s="69"/>
      <c r="I68" s="70"/>
      <c r="J68" s="69"/>
      <c r="K68" s="69"/>
      <c r="L68" s="69"/>
      <c r="M68" s="69"/>
      <c r="N68" s="69"/>
      <c r="O68" s="69"/>
      <c r="P68" s="69"/>
      <c r="Q68" s="69"/>
      <c r="R68" s="69"/>
      <c r="S68" s="69"/>
      <c r="T68" s="69"/>
      <c r="U68" s="70">
        <f>-C68*E68+K68+F68</f>
        <v>0</v>
      </c>
    </row>
    <row r="69" spans="1:21">
      <c r="A69" s="20"/>
      <c r="B69" s="11"/>
      <c r="C69" s="11"/>
      <c r="D69" s="11"/>
      <c r="E69" s="11"/>
      <c r="F69" s="11"/>
      <c r="G69" s="11"/>
      <c r="H69" s="11"/>
      <c r="I69" s="11"/>
      <c r="J69" s="11"/>
      <c r="K69" s="11"/>
      <c r="L69" s="11"/>
      <c r="M69" s="11"/>
      <c r="N69" s="68"/>
      <c r="O69" s="68"/>
      <c r="P69" s="68"/>
      <c r="Q69" s="11"/>
      <c r="R69" s="11"/>
      <c r="S69" s="11"/>
      <c r="T69" s="11"/>
    </row>
    <row r="70" spans="1:21">
      <c r="A70" s="20"/>
      <c r="B70" s="11"/>
      <c r="C70" s="11"/>
      <c r="D70" s="11"/>
      <c r="E70" s="11"/>
      <c r="F70" s="11"/>
      <c r="G70" s="11"/>
      <c r="H70" s="11"/>
      <c r="I70" s="11"/>
      <c r="J70" s="11"/>
      <c r="K70" s="11"/>
      <c r="L70" s="11"/>
      <c r="M70" s="3">
        <f>SUM(M48:M68)</f>
        <v>0</v>
      </c>
      <c r="N70" s="11"/>
      <c r="O70" s="11"/>
      <c r="P70" s="11"/>
      <c r="Q70" s="3">
        <f>SUM(Q48:Q69)</f>
        <v>0</v>
      </c>
      <c r="R70" s="3">
        <f>SUM(R48:R69)</f>
        <v>0</v>
      </c>
      <c r="S70" s="3">
        <f>SUM(S48:S69)</f>
        <v>0</v>
      </c>
      <c r="T70" s="11"/>
      <c r="U70" t="s">
        <v>25</v>
      </c>
    </row>
    <row r="71" spans="1:21">
      <c r="A71" s="11"/>
      <c r="B71" s="11"/>
      <c r="C71" s="11"/>
      <c r="D71" s="11"/>
      <c r="E71" s="11"/>
      <c r="F71" s="11"/>
      <c r="G71" s="11"/>
      <c r="H71" s="11"/>
      <c r="I71" s="11"/>
      <c r="J71" s="11"/>
      <c r="K71" s="11"/>
      <c r="L71" s="11"/>
      <c r="M71" s="11" t="s">
        <v>191</v>
      </c>
      <c r="N71" s="11"/>
      <c r="O71" s="11"/>
      <c r="P71" s="11"/>
      <c r="Q71" s="11" t="s">
        <v>978</v>
      </c>
      <c r="R71" s="11" t="s">
        <v>979</v>
      </c>
      <c r="S71" s="11" t="s">
        <v>1085</v>
      </c>
      <c r="T71" s="11"/>
      <c r="U71" t="s">
        <v>25</v>
      </c>
    </row>
    <row r="74" spans="1:21">
      <c r="F74" s="7"/>
    </row>
    <row r="81" spans="3:9">
      <c r="H81">
        <v>180000000</v>
      </c>
    </row>
    <row r="82" spans="3:9">
      <c r="C82">
        <v>80</v>
      </c>
      <c r="D82">
        <v>1759999</v>
      </c>
      <c r="E82" t="s">
        <v>1066</v>
      </c>
      <c r="F82">
        <f>C82*D82</f>
        <v>140799920</v>
      </c>
      <c r="G82">
        <f>F82*0.00125</f>
        <v>175999.9</v>
      </c>
      <c r="H82">
        <f>-F82-G82</f>
        <v>-140975919.90000001</v>
      </c>
    </row>
    <row r="83" spans="3:9">
      <c r="C83">
        <v>20</v>
      </c>
      <c r="D83">
        <v>1760000</v>
      </c>
      <c r="E83" t="s">
        <v>61</v>
      </c>
      <c r="F83">
        <f t="shared" ref="F83:F90" si="3">C83*D83</f>
        <v>35200000</v>
      </c>
      <c r="G83">
        <f t="shared" ref="G83:G90" si="4">F83*0.00125</f>
        <v>44000</v>
      </c>
      <c r="H83">
        <f>-F83-G83</f>
        <v>-35244000</v>
      </c>
    </row>
    <row r="84" spans="3:9">
      <c r="C84">
        <v>100</v>
      </c>
      <c r="D84">
        <v>1769999</v>
      </c>
      <c r="E84" t="s">
        <v>912</v>
      </c>
      <c r="F84">
        <f t="shared" si="3"/>
        <v>176999900</v>
      </c>
      <c r="G84">
        <f t="shared" si="4"/>
        <v>221249.875</v>
      </c>
      <c r="H84">
        <f>F84-G84</f>
        <v>176778650.125</v>
      </c>
    </row>
    <row r="85" spans="3:9">
      <c r="C85">
        <v>20</v>
      </c>
      <c r="D85">
        <v>1779000</v>
      </c>
      <c r="E85" t="s">
        <v>61</v>
      </c>
      <c r="F85">
        <f t="shared" si="3"/>
        <v>35580000</v>
      </c>
      <c r="G85">
        <f t="shared" si="4"/>
        <v>44475</v>
      </c>
      <c r="H85">
        <f>-F85-G85</f>
        <v>-35624475</v>
      </c>
    </row>
    <row r="86" spans="3:9">
      <c r="C86">
        <v>80</v>
      </c>
      <c r="D86">
        <v>1780000</v>
      </c>
      <c r="E86" t="s">
        <v>61</v>
      </c>
      <c r="F86">
        <f t="shared" si="3"/>
        <v>142400000</v>
      </c>
      <c r="G86">
        <f t="shared" si="4"/>
        <v>178000</v>
      </c>
      <c r="H86">
        <f>-F86-G86</f>
        <v>-142578000</v>
      </c>
    </row>
    <row r="87" spans="3:9">
      <c r="C87">
        <v>30</v>
      </c>
      <c r="D87">
        <v>1774001</v>
      </c>
      <c r="E87" t="s">
        <v>912</v>
      </c>
      <c r="F87">
        <f t="shared" si="3"/>
        <v>53220030</v>
      </c>
      <c r="G87">
        <f t="shared" si="4"/>
        <v>66525.037500000006</v>
      </c>
      <c r="H87">
        <f>F87-G87</f>
        <v>53153504.962499999</v>
      </c>
    </row>
    <row r="88" spans="3:9">
      <c r="C88">
        <v>10</v>
      </c>
      <c r="D88">
        <v>1774000</v>
      </c>
      <c r="E88" t="s">
        <v>912</v>
      </c>
      <c r="F88">
        <f t="shared" si="3"/>
        <v>17740000</v>
      </c>
      <c r="G88">
        <f t="shared" si="4"/>
        <v>22175</v>
      </c>
      <c r="H88">
        <f>F88-G88</f>
        <v>17717825</v>
      </c>
    </row>
    <row r="89" spans="3:9">
      <c r="C89">
        <v>40</v>
      </c>
      <c r="D89">
        <v>1771000</v>
      </c>
      <c r="E89" t="s">
        <v>912</v>
      </c>
      <c r="F89">
        <f t="shared" si="3"/>
        <v>70840000</v>
      </c>
      <c r="G89">
        <f t="shared" si="4"/>
        <v>88550</v>
      </c>
      <c r="H89">
        <f>F89-G89</f>
        <v>70751450</v>
      </c>
      <c r="I89" s="7"/>
    </row>
    <row r="90" spans="3:9">
      <c r="C90">
        <v>20</v>
      </c>
      <c r="D90">
        <v>1790000</v>
      </c>
      <c r="E90" t="s">
        <v>912</v>
      </c>
      <c r="F90">
        <f t="shared" si="3"/>
        <v>35800000</v>
      </c>
      <c r="G90">
        <f t="shared" si="4"/>
        <v>44750</v>
      </c>
      <c r="H90">
        <f>F90-G90</f>
        <v>35755250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922</v>
      </c>
      <c r="B1" s="11">
        <v>25</v>
      </c>
      <c r="C1" s="11">
        <v>21</v>
      </c>
      <c r="D1" s="11">
        <v>20.5</v>
      </c>
      <c r="E1" s="11">
        <v>20</v>
      </c>
      <c r="F1" s="11">
        <v>19.5</v>
      </c>
      <c r="G1" s="11">
        <v>19</v>
      </c>
      <c r="H1" s="11">
        <v>18.5</v>
      </c>
      <c r="I1" s="11">
        <v>18</v>
      </c>
      <c r="J1" s="11">
        <v>17.5</v>
      </c>
      <c r="K1" s="11">
        <v>17</v>
      </c>
      <c r="L1" s="11" t="s">
        <v>1014</v>
      </c>
      <c r="M1" s="11" t="s">
        <v>931</v>
      </c>
      <c r="N1" s="11" t="s">
        <v>1004</v>
      </c>
      <c r="O1" s="11" t="s">
        <v>933</v>
      </c>
      <c r="P1" s="11" t="s">
        <v>1010</v>
      </c>
      <c r="Q1" s="11" t="s">
        <v>934</v>
      </c>
      <c r="R1" s="11" t="s">
        <v>963</v>
      </c>
      <c r="S1" s="11" t="s">
        <v>945</v>
      </c>
      <c r="T1" s="11" t="s">
        <v>904</v>
      </c>
      <c r="U1" s="11" t="s">
        <v>1009</v>
      </c>
      <c r="W1">
        <v>96</v>
      </c>
      <c r="X1">
        <v>12</v>
      </c>
      <c r="Y1" s="3">
        <v>85500</v>
      </c>
      <c r="Z1" s="3">
        <f>Y1</f>
        <v>85500</v>
      </c>
      <c r="AA1" s="3">
        <v>0</v>
      </c>
      <c r="AC1" t="s">
        <v>918</v>
      </c>
      <c r="AD1" t="s">
        <v>968</v>
      </c>
      <c r="AE1" t="s">
        <v>969</v>
      </c>
      <c r="AI1">
        <v>0.51500000000000001</v>
      </c>
      <c r="AJ1" t="s">
        <v>995</v>
      </c>
      <c r="AL1" t="s">
        <v>1005</v>
      </c>
      <c r="AM1" t="s">
        <v>1006</v>
      </c>
    </row>
    <row r="2" spans="1:39" ht="19.5" customHeight="1">
      <c r="A2" s="106" t="s">
        <v>928</v>
      </c>
      <c r="B2" s="72">
        <f>$S2/(1+($B$1-$O2+$P2)/36500)^$N2</f>
        <v>79068.85842186345</v>
      </c>
      <c r="C2" s="72">
        <f t="shared" ref="C2:C20" si="0">$S2/(1+($C$1-$O2+$P2)/36500)^$N2</f>
        <v>82095.603807312829</v>
      </c>
      <c r="D2" s="72">
        <f>$S2/(1+($D$1-$O2+$P2)/36500)^$N2</f>
        <v>82482.028127861122</v>
      </c>
      <c r="E2" s="72">
        <f>$S2/(1+($E$1-$O2+$P2)/36500)^$N2</f>
        <v>82870.276677098853</v>
      </c>
      <c r="F2" s="72">
        <f>$S2/(1+($F$1-$O2+$P2)/36500)^$N2</f>
        <v>83260.358091991075</v>
      </c>
      <c r="G2" s="72">
        <f>$S2/(1+($G$1-$O2+$P2)/36500)^$N2</f>
        <v>83652.281050495862</v>
      </c>
      <c r="H2" s="72">
        <f>$S2/(1+($H$1-$O2+$P2)/36500)^$N2</f>
        <v>84046.054271796573</v>
      </c>
      <c r="I2" s="72">
        <f>$S2/(1+($I$1-$O2+$P2)/36500)^$N2</f>
        <v>84441.686516464833</v>
      </c>
      <c r="J2" s="72">
        <f>$S2/(1+($J$1-$O2+$P2)/36500)^$N2</f>
        <v>84839.186586678727</v>
      </c>
      <c r="K2" s="72">
        <f>$S2/(1+($K$1-$O2+$P2)/36500)^$N2</f>
        <v>85238.56332642585</v>
      </c>
      <c r="L2" s="72">
        <f t="shared" ref="L2:L38" si="1">$S2/(1+($AC$5-$O2+$P2)/36500)^$N2</f>
        <v>82870.276677098853</v>
      </c>
      <c r="M2" s="106" t="s">
        <v>954</v>
      </c>
      <c r="N2" s="106">
        <f>601-$AD$19</f>
        <v>343</v>
      </c>
      <c r="O2" s="106">
        <v>0</v>
      </c>
      <c r="P2" s="106">
        <v>0</v>
      </c>
      <c r="Q2" s="106">
        <v>0</v>
      </c>
      <c r="R2" s="106">
        <f t="shared" ref="R2:R38" si="2">N2/30.5</f>
        <v>11.245901639344263</v>
      </c>
      <c r="S2" s="72">
        <v>100000</v>
      </c>
      <c r="T2" s="72">
        <v>73200</v>
      </c>
      <c r="U2" s="72">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996</v>
      </c>
    </row>
    <row r="3" spans="1:39" ht="18" customHeight="1">
      <c r="A3" s="139" t="s">
        <v>4171</v>
      </c>
      <c r="B3" s="140">
        <f>$S3/(1+($B$1-$O3+$P3)/36500)^$N3</f>
        <v>99046.003825865118</v>
      </c>
      <c r="C3" s="140">
        <f t="shared" si="0"/>
        <v>99197.985607816503</v>
      </c>
      <c r="D3" s="140">
        <f t="shared" ref="D3:D38" si="5">$S3/(1+($D$1-$O3+$P3)/36500)^$N3</f>
        <v>99217.000892295604</v>
      </c>
      <c r="E3" s="140">
        <f t="shared" ref="E3:E38" si="6">$S3/(1+($E$1-$O3+$P3)/36500)^$N3</f>
        <v>99236.020082232528</v>
      </c>
      <c r="F3" s="140">
        <f t="shared" ref="F3:F38" si="7">$S3/(1+($F$1-$O3+$P3)/36500)^$N3</f>
        <v>99255.043178483247</v>
      </c>
      <c r="G3" s="140">
        <f t="shared" ref="G3:G38" si="8">$S3/(1+($G$1-$O3+$P3)/36500)^$N3</f>
        <v>99274.070181903095</v>
      </c>
      <c r="H3" s="140">
        <f t="shared" ref="H3:H38" si="9">$S3/(1+($H$1-$O3+$P3)/36500)^$N3</f>
        <v>99293.101093348567</v>
      </c>
      <c r="I3" s="140">
        <f t="shared" ref="I3:I38" si="10">$S3/(1+($I$1-$O3+$P3)/36500)^$N3</f>
        <v>99312.13591367552</v>
      </c>
      <c r="J3" s="140">
        <f t="shared" ref="J3:J38" si="11">$S3/(1+($J$1-$O3+$P3)/36500)^$N3</f>
        <v>99331.174643740407</v>
      </c>
      <c r="K3" s="140">
        <f t="shared" ref="K3:K38" si="12">$S3/(1+($K$1-$O3+$P3)/36500)^$N3</f>
        <v>99350.21728440038</v>
      </c>
      <c r="L3" s="140">
        <f t="shared" si="1"/>
        <v>99236.020082232528</v>
      </c>
      <c r="M3" s="139" t="s">
        <v>4180</v>
      </c>
      <c r="N3" s="139">
        <f>272-$AD$19</f>
        <v>14</v>
      </c>
      <c r="O3" s="139">
        <v>0</v>
      </c>
      <c r="P3" s="139">
        <v>0</v>
      </c>
      <c r="Q3" s="139">
        <v>0</v>
      </c>
      <c r="R3" s="139"/>
      <c r="S3" s="140">
        <v>100000</v>
      </c>
      <c r="T3" s="140"/>
      <c r="U3" s="140"/>
      <c r="W3">
        <v>97</v>
      </c>
      <c r="X3">
        <v>2</v>
      </c>
      <c r="Y3">
        <f>$AF$2</f>
        <v>1185</v>
      </c>
      <c r="Z3" s="3">
        <f t="shared" ref="Z3:Z49" si="13">Z2*(1+($AC$2+0.1875)/1200)</f>
        <v>89126.886853027347</v>
      </c>
      <c r="AA3" s="3">
        <f t="shared" si="4"/>
        <v>2394.6875</v>
      </c>
      <c r="AC3">
        <v>21</v>
      </c>
    </row>
    <row r="4" spans="1:39" ht="22.5" customHeight="1">
      <c r="A4" s="73" t="s">
        <v>929</v>
      </c>
      <c r="B4" s="74">
        <f t="shared" ref="B4:B38" si="14">$S4/(1+($B$1-$O4+$P4)/36500)^$N4</f>
        <v>80599.3524827972</v>
      </c>
      <c r="C4" s="74">
        <f t="shared" si="0"/>
        <v>83428.453877742548</v>
      </c>
      <c r="D4" s="74">
        <f t="shared" si="5"/>
        <v>83789.025774910406</v>
      </c>
      <c r="E4" s="74">
        <f t="shared" si="6"/>
        <v>84151.161007035116</v>
      </c>
      <c r="F4" s="74">
        <f t="shared" si="7"/>
        <v>84514.86637383404</v>
      </c>
      <c r="G4" s="74">
        <f t="shared" si="8"/>
        <v>84880.148704676365</v>
      </c>
      <c r="H4" s="74">
        <f t="shared" si="9"/>
        <v>85247.014858747309</v>
      </c>
      <c r="I4" s="74">
        <f t="shared" si="10"/>
        <v>85615.471725147727</v>
      </c>
      <c r="J4" s="74">
        <f t="shared" si="11"/>
        <v>85985.526223044595</v>
      </c>
      <c r="K4" s="74">
        <f t="shared" si="12"/>
        <v>86357.185301807083</v>
      </c>
      <c r="L4" s="74">
        <f t="shared" si="1"/>
        <v>84151.161007035116</v>
      </c>
      <c r="M4" s="73" t="s">
        <v>955</v>
      </c>
      <c r="N4" s="73">
        <f>573-$AD$19</f>
        <v>315</v>
      </c>
      <c r="O4" s="73">
        <v>0</v>
      </c>
      <c r="P4" s="73">
        <v>0</v>
      </c>
      <c r="Q4" s="73">
        <v>0</v>
      </c>
      <c r="R4" s="73">
        <f t="shared" si="2"/>
        <v>10.327868852459016</v>
      </c>
      <c r="S4" s="74">
        <v>100000</v>
      </c>
      <c r="T4" s="74">
        <v>73600</v>
      </c>
      <c r="U4" s="74">
        <f t="shared" si="3"/>
        <v>100000.00000000001</v>
      </c>
      <c r="W4">
        <v>97</v>
      </c>
      <c r="X4">
        <v>3</v>
      </c>
      <c r="Y4">
        <f t="shared" ref="Y4:Y49" si="15">$AF$2</f>
        <v>1185</v>
      </c>
      <c r="Z4" s="3">
        <f t="shared" si="13"/>
        <v>90997.62307186953</v>
      </c>
      <c r="AA4" s="3">
        <f t="shared" si="4"/>
        <v>3629.5768229166665</v>
      </c>
      <c r="AC4">
        <v>20.5</v>
      </c>
    </row>
    <row r="5" spans="1:39" ht="21" customHeight="1">
      <c r="A5" s="12" t="s">
        <v>930</v>
      </c>
      <c r="B5" s="47">
        <f t="shared" si="14"/>
        <v>98101.108738732859</v>
      </c>
      <c r="C5" s="47">
        <f t="shared" si="0"/>
        <v>98402.403486485666</v>
      </c>
      <c r="D5" s="47">
        <f t="shared" si="5"/>
        <v>98440.132660617877</v>
      </c>
      <c r="E5" s="47">
        <f t="shared" si="6"/>
        <v>98477.876817612574</v>
      </c>
      <c r="F5" s="47">
        <f t="shared" si="7"/>
        <v>98515.63596362574</v>
      </c>
      <c r="G5" s="47">
        <f t="shared" si="8"/>
        <v>98553.410104814233</v>
      </c>
      <c r="H5" s="47">
        <f t="shared" si="9"/>
        <v>98591.199247339377</v>
      </c>
      <c r="I5" s="47">
        <f t="shared" si="10"/>
        <v>98629.003397363587</v>
      </c>
      <c r="J5" s="47">
        <f t="shared" si="11"/>
        <v>98666.822561052541</v>
      </c>
      <c r="K5" s="47">
        <f t="shared" si="12"/>
        <v>98704.656744575681</v>
      </c>
      <c r="L5" s="47">
        <f t="shared" si="1"/>
        <v>98477.876817612574</v>
      </c>
      <c r="M5" s="12" t="s">
        <v>957</v>
      </c>
      <c r="N5" s="12">
        <f>286-$AD$19</f>
        <v>28</v>
      </c>
      <c r="O5" s="12">
        <v>0</v>
      </c>
      <c r="P5" s="12">
        <v>0</v>
      </c>
      <c r="Q5" s="12">
        <v>0</v>
      </c>
      <c r="R5" s="12">
        <f t="shared" si="2"/>
        <v>0.91803278688524592</v>
      </c>
      <c r="S5" s="47">
        <v>100000</v>
      </c>
      <c r="T5" s="47">
        <v>86700</v>
      </c>
      <c r="U5" s="47">
        <f t="shared" si="3"/>
        <v>100000</v>
      </c>
      <c r="W5">
        <v>97</v>
      </c>
      <c r="X5">
        <v>4</v>
      </c>
      <c r="Y5">
        <f t="shared" si="15"/>
        <v>1185</v>
      </c>
      <c r="Z5" s="3">
        <f t="shared" si="13"/>
        <v>92907.62526447179</v>
      </c>
      <c r="AA5" s="3">
        <f t="shared" si="4"/>
        <v>4890.1930067274297</v>
      </c>
      <c r="AB5" t="s">
        <v>912</v>
      </c>
      <c r="AC5">
        <v>20</v>
      </c>
    </row>
    <row r="6" spans="1:39" ht="21.75" customHeight="1">
      <c r="A6" s="106" t="s">
        <v>946</v>
      </c>
      <c r="B6" s="72">
        <f>$S6/(1+($B$1-$O6+$P6)/36500)^$N6</f>
        <v>86547.994414879649</v>
      </c>
      <c r="C6" s="72">
        <f t="shared" si="0"/>
        <v>88571.296231699031</v>
      </c>
      <c r="D6" s="72">
        <f t="shared" si="5"/>
        <v>88827.528140362279</v>
      </c>
      <c r="E6" s="72">
        <f t="shared" si="6"/>
        <v>89084.5048372124</v>
      </c>
      <c r="F6" s="72">
        <f t="shared" si="7"/>
        <v>89342.228497369317</v>
      </c>
      <c r="G6" s="72">
        <f t="shared" si="8"/>
        <v>89600.701302322937</v>
      </c>
      <c r="H6" s="72">
        <f t="shared" si="9"/>
        <v>89859.925439976432</v>
      </c>
      <c r="I6" s="72">
        <f t="shared" si="10"/>
        <v>90119.903104643236</v>
      </c>
      <c r="J6" s="72">
        <f t="shared" si="11"/>
        <v>90380.636497079715</v>
      </c>
      <c r="K6" s="72">
        <f t="shared" si="12"/>
        <v>90642.12782450729</v>
      </c>
      <c r="L6" s="72">
        <f t="shared" si="1"/>
        <v>89084.5048372124</v>
      </c>
      <c r="M6" s="106" t="s">
        <v>956</v>
      </c>
      <c r="N6" s="106">
        <f>469-$AD$19</f>
        <v>211</v>
      </c>
      <c r="O6" s="106">
        <v>0</v>
      </c>
      <c r="P6" s="106">
        <v>0</v>
      </c>
      <c r="Q6" s="106">
        <v>0</v>
      </c>
      <c r="R6" s="106">
        <f t="shared" si="2"/>
        <v>6.918032786885246</v>
      </c>
      <c r="S6" s="72">
        <v>100000</v>
      </c>
      <c r="T6" s="72">
        <v>78300</v>
      </c>
      <c r="U6" s="72">
        <f t="shared" si="3"/>
        <v>100000</v>
      </c>
      <c r="W6">
        <v>97</v>
      </c>
      <c r="X6">
        <v>5</v>
      </c>
      <c r="Y6">
        <f t="shared" si="15"/>
        <v>1185</v>
      </c>
      <c r="Z6" s="3">
        <f t="shared" si="13"/>
        <v>94857.71760726253</v>
      </c>
      <c r="AA6" s="3">
        <f t="shared" si="4"/>
        <v>6177.0720277009177</v>
      </c>
      <c r="AC6">
        <v>19.5</v>
      </c>
    </row>
    <row r="7" spans="1:39" ht="21.75" customHeight="1">
      <c r="A7" s="139" t="s">
        <v>947</v>
      </c>
      <c r="B7" s="140">
        <f t="shared" si="14"/>
        <v>86547.994414879649</v>
      </c>
      <c r="C7" s="140">
        <f t="shared" si="0"/>
        <v>88571.296231699031</v>
      </c>
      <c r="D7" s="140">
        <f t="shared" si="5"/>
        <v>88827.528140362279</v>
      </c>
      <c r="E7" s="140">
        <f t="shared" si="6"/>
        <v>89084.5048372124</v>
      </c>
      <c r="F7" s="140">
        <f t="shared" si="7"/>
        <v>89342.228497369317</v>
      </c>
      <c r="G7" s="140">
        <f t="shared" si="8"/>
        <v>89600.701302322937</v>
      </c>
      <c r="H7" s="140">
        <f t="shared" si="9"/>
        <v>89859.925439976432</v>
      </c>
      <c r="I7" s="140">
        <f t="shared" si="10"/>
        <v>90119.903104643236</v>
      </c>
      <c r="J7" s="140">
        <f t="shared" si="11"/>
        <v>90380.636497079715</v>
      </c>
      <c r="K7" s="140">
        <f t="shared" si="12"/>
        <v>90642.12782450729</v>
      </c>
      <c r="L7" s="140">
        <f t="shared" si="1"/>
        <v>89084.5048372124</v>
      </c>
      <c r="M7" s="139" t="s">
        <v>956</v>
      </c>
      <c r="N7" s="139">
        <f>469-$AD$19</f>
        <v>211</v>
      </c>
      <c r="O7" s="139">
        <v>0</v>
      </c>
      <c r="P7" s="139">
        <v>0</v>
      </c>
      <c r="Q7" s="139">
        <v>0</v>
      </c>
      <c r="R7" s="139">
        <f t="shared" si="2"/>
        <v>6.918032786885246</v>
      </c>
      <c r="S7" s="140">
        <v>100000</v>
      </c>
      <c r="T7" s="140">
        <v>77700</v>
      </c>
      <c r="U7" s="140">
        <f t="shared" si="3"/>
        <v>100000</v>
      </c>
      <c r="W7">
        <v>97</v>
      </c>
      <c r="X7">
        <v>6</v>
      </c>
      <c r="Y7">
        <f t="shared" si="15"/>
        <v>1185</v>
      </c>
      <c r="Z7" s="3">
        <f t="shared" si="13"/>
        <v>96848.741575789973</v>
      </c>
      <c r="AA7" s="3">
        <f t="shared" si="4"/>
        <v>7490.7610282780197</v>
      </c>
      <c r="AC7">
        <v>19</v>
      </c>
    </row>
    <row r="8" spans="1:39" ht="19.5" customHeight="1">
      <c r="A8" s="73" t="s">
        <v>948</v>
      </c>
      <c r="B8" s="74">
        <f t="shared" si="14"/>
        <v>77940.090448643386</v>
      </c>
      <c r="C8" s="74">
        <f t="shared" si="0"/>
        <v>81109.958854781042</v>
      </c>
      <c r="D8" s="74">
        <f t="shared" si="5"/>
        <v>81515.1766200563</v>
      </c>
      <c r="E8" s="74">
        <f t="shared" si="6"/>
        <v>81922.424404838806</v>
      </c>
      <c r="F8" s="74">
        <f t="shared" si="7"/>
        <v>82331.712406929291</v>
      </c>
      <c r="G8" s="74">
        <f t="shared" si="8"/>
        <v>82743.050875478133</v>
      </c>
      <c r="H8" s="74">
        <f t="shared" si="9"/>
        <v>83156.450111284095</v>
      </c>
      <c r="I8" s="74">
        <f t="shared" si="10"/>
        <v>83571.920467019809</v>
      </c>
      <c r="J8" s="74">
        <f t="shared" si="11"/>
        <v>83989.472347516115</v>
      </c>
      <c r="K8" s="74">
        <f t="shared" si="12"/>
        <v>84409.116210030712</v>
      </c>
      <c r="L8" s="74">
        <f t="shared" si="1"/>
        <v>81922.424404838806</v>
      </c>
      <c r="M8" s="73" t="s">
        <v>960</v>
      </c>
      <c r="N8" s="73">
        <f>622-$AD$19</f>
        <v>364</v>
      </c>
      <c r="O8" s="73">
        <v>0</v>
      </c>
      <c r="P8" s="73">
        <v>0</v>
      </c>
      <c r="Q8" s="73">
        <v>0</v>
      </c>
      <c r="R8" s="73">
        <f t="shared" si="2"/>
        <v>11.934426229508198</v>
      </c>
      <c r="S8" s="74">
        <v>100000</v>
      </c>
      <c r="T8" s="74">
        <v>71800</v>
      </c>
      <c r="U8" s="76">
        <f t="shared" si="3"/>
        <v>100000</v>
      </c>
      <c r="W8">
        <v>97</v>
      </c>
      <c r="X8">
        <v>7</v>
      </c>
      <c r="Y8">
        <f t="shared" si="15"/>
        <v>1185</v>
      </c>
      <c r="Z8" s="3">
        <f t="shared" si="13"/>
        <v>98881.556307823485</v>
      </c>
      <c r="AA8" s="3">
        <f t="shared" si="4"/>
        <v>8831.8185497004779</v>
      </c>
      <c r="AC8">
        <v>18.5</v>
      </c>
    </row>
    <row r="9" spans="1:39" ht="20.25" customHeight="1">
      <c r="A9" s="106" t="s">
        <v>4172</v>
      </c>
      <c r="B9" s="72">
        <f t="shared" si="14"/>
        <v>99931.553730321699</v>
      </c>
      <c r="C9" s="72">
        <f t="shared" si="0"/>
        <v>99942.498836285959</v>
      </c>
      <c r="D9" s="72">
        <f t="shared" si="5"/>
        <v>99943.867143111405</v>
      </c>
      <c r="E9" s="72">
        <f t="shared" si="6"/>
        <v>99945.235487404148</v>
      </c>
      <c r="F9" s="72">
        <f t="shared" si="7"/>
        <v>99946.603869165789</v>
      </c>
      <c r="G9" s="72">
        <f t="shared" si="8"/>
        <v>99947.972288397825</v>
      </c>
      <c r="H9" s="72">
        <f t="shared" si="9"/>
        <v>99949.340745101814</v>
      </c>
      <c r="I9" s="72">
        <f t="shared" si="10"/>
        <v>99950.709239279255</v>
      </c>
      <c r="J9" s="72">
        <f t="shared" si="11"/>
        <v>99952.077770931734</v>
      </c>
      <c r="K9" s="72">
        <f t="shared" si="12"/>
        <v>99953.446340060793</v>
      </c>
      <c r="L9" s="72">
        <f t="shared" si="1"/>
        <v>99945.235487404148</v>
      </c>
      <c r="M9" s="106" t="s">
        <v>4181</v>
      </c>
      <c r="N9" s="106">
        <f>259-$AD$19</f>
        <v>1</v>
      </c>
      <c r="O9" s="106">
        <v>0</v>
      </c>
      <c r="P9" s="106">
        <v>0</v>
      </c>
      <c r="Q9" s="106">
        <v>0</v>
      </c>
      <c r="R9" s="106">
        <f t="shared" si="2"/>
        <v>3.2786885245901641E-2</v>
      </c>
      <c r="S9" s="72">
        <v>100000</v>
      </c>
      <c r="T9" s="72"/>
      <c r="U9" s="72"/>
      <c r="W9">
        <v>97</v>
      </c>
      <c r="X9">
        <v>8</v>
      </c>
      <c r="Y9">
        <f t="shared" si="15"/>
        <v>1185</v>
      </c>
      <c r="Z9" s="3">
        <f t="shared" si="13"/>
        <v>100957.03897407623</v>
      </c>
      <c r="AA9" s="3">
        <f t="shared" si="4"/>
        <v>10200.814769485904</v>
      </c>
      <c r="AC9">
        <v>18</v>
      </c>
    </row>
    <row r="10" spans="1:39" ht="21" customHeight="1">
      <c r="A10" s="139" t="s">
        <v>949</v>
      </c>
      <c r="B10" s="140">
        <f t="shared" si="14"/>
        <v>74649.553771356703</v>
      </c>
      <c r="C10" s="140">
        <f t="shared" si="0"/>
        <v>78223.459687256604</v>
      </c>
      <c r="D10" s="140">
        <f t="shared" si="5"/>
        <v>78682.092656479595</v>
      </c>
      <c r="E10" s="140">
        <f t="shared" si="6"/>
        <v>79143.420976993148</v>
      </c>
      <c r="F10" s="140">
        <f t="shared" si="7"/>
        <v>79607.460526411698</v>
      </c>
      <c r="G10" s="140">
        <f t="shared" si="8"/>
        <v>80074.227276077727</v>
      </c>
      <c r="H10" s="140">
        <f t="shared" si="9"/>
        <v>80543.737291660771</v>
      </c>
      <c r="I10" s="140">
        <f t="shared" si="10"/>
        <v>81016.00673367588</v>
      </c>
      <c r="J10" s="140">
        <f t="shared" si="11"/>
        <v>81491.051858070176</v>
      </c>
      <c r="K10" s="140">
        <f t="shared" si="12"/>
        <v>81968.88901679343</v>
      </c>
      <c r="L10" s="140">
        <f t="shared" si="1"/>
        <v>79143.420976993148</v>
      </c>
      <c r="M10" s="139" t="s">
        <v>961</v>
      </c>
      <c r="N10" s="139">
        <f>685-$AD$19</f>
        <v>427</v>
      </c>
      <c r="O10" s="139">
        <v>0</v>
      </c>
      <c r="P10" s="139">
        <v>0</v>
      </c>
      <c r="Q10" s="139">
        <v>0</v>
      </c>
      <c r="R10" s="139">
        <f t="shared" si="2"/>
        <v>14</v>
      </c>
      <c r="S10" s="140">
        <v>100000</v>
      </c>
      <c r="T10" s="140">
        <v>70000</v>
      </c>
      <c r="U10" s="140">
        <f t="shared" si="3"/>
        <v>100000.00000000001</v>
      </c>
      <c r="W10">
        <v>97</v>
      </c>
      <c r="X10">
        <v>9</v>
      </c>
      <c r="Y10">
        <f t="shared" si="15"/>
        <v>1185</v>
      </c>
      <c r="Z10" s="3">
        <f t="shared" si="13"/>
        <v>103076.08515670919</v>
      </c>
      <c r="AA10" s="3">
        <f t="shared" si="4"/>
        <v>11598.331743850193</v>
      </c>
      <c r="AC10">
        <v>17.5</v>
      </c>
      <c r="AF10" s="25"/>
    </row>
    <row r="11" spans="1:39" ht="21.75" customHeight="1">
      <c r="A11" s="73" t="s">
        <v>950</v>
      </c>
      <c r="B11" s="74">
        <f t="shared" si="14"/>
        <v>76094.505690212565</v>
      </c>
      <c r="C11" s="74">
        <f t="shared" si="0"/>
        <v>79493.444179947925</v>
      </c>
      <c r="D11" s="74">
        <f t="shared" si="5"/>
        <v>79928.877105178122</v>
      </c>
      <c r="E11" s="74">
        <f t="shared" si="6"/>
        <v>80366.701166366431</v>
      </c>
      <c r="F11" s="74">
        <f t="shared" si="7"/>
        <v>80806.929527211934</v>
      </c>
      <c r="G11" s="74">
        <f t="shared" si="8"/>
        <v>81249.575424043243</v>
      </c>
      <c r="H11" s="74">
        <f t="shared" si="9"/>
        <v>81694.652166262575</v>
      </c>
      <c r="I11" s="74">
        <f t="shared" si="10"/>
        <v>82142.17313671195</v>
      </c>
      <c r="J11" s="74">
        <f t="shared" si="11"/>
        <v>82592.151792103745</v>
      </c>
      <c r="K11" s="74">
        <f t="shared" si="12"/>
        <v>83044.601663434718</v>
      </c>
      <c r="L11" s="74">
        <f t="shared" si="1"/>
        <v>80366.701166366431</v>
      </c>
      <c r="M11" s="73" t="s">
        <v>962</v>
      </c>
      <c r="N11" s="73">
        <f>657-$AD$19</f>
        <v>399</v>
      </c>
      <c r="O11" s="73">
        <v>0</v>
      </c>
      <c r="P11" s="73">
        <v>0</v>
      </c>
      <c r="Q11" s="73">
        <v>0</v>
      </c>
      <c r="R11" s="73">
        <f t="shared" si="2"/>
        <v>13.081967213114755</v>
      </c>
      <c r="S11" s="74">
        <v>100000</v>
      </c>
      <c r="T11" s="74">
        <v>70700</v>
      </c>
      <c r="U11" s="74">
        <f t="shared" si="3"/>
        <v>100000</v>
      </c>
      <c r="W11">
        <v>97</v>
      </c>
      <c r="X11">
        <v>10</v>
      </c>
      <c r="Y11">
        <f t="shared" si="15"/>
        <v>1185</v>
      </c>
      <c r="Z11" s="3">
        <f t="shared" si="13"/>
        <v>105239.6092357797</v>
      </c>
      <c r="AA11" s="3">
        <f t="shared" si="4"/>
        <v>13024.963655180403</v>
      </c>
      <c r="AC11">
        <v>17</v>
      </c>
      <c r="AF11" s="25"/>
    </row>
    <row r="12" spans="1:39" ht="20.25" customHeight="1">
      <c r="A12" s="106" t="s">
        <v>951</v>
      </c>
      <c r="B12" s="72">
        <f t="shared" si="14"/>
        <v>76094.505690212565</v>
      </c>
      <c r="C12" s="72">
        <f t="shared" si="0"/>
        <v>79493.444179947925</v>
      </c>
      <c r="D12" s="72">
        <f t="shared" si="5"/>
        <v>79928.877105178122</v>
      </c>
      <c r="E12" s="72">
        <f t="shared" si="6"/>
        <v>80366.701166366431</v>
      </c>
      <c r="F12" s="72">
        <f t="shared" si="7"/>
        <v>80806.929527211934</v>
      </c>
      <c r="G12" s="72">
        <f t="shared" si="8"/>
        <v>81249.575424043243</v>
      </c>
      <c r="H12" s="72">
        <f t="shared" si="9"/>
        <v>81694.652166262575</v>
      </c>
      <c r="I12" s="72">
        <f t="shared" si="10"/>
        <v>82142.17313671195</v>
      </c>
      <c r="J12" s="72">
        <f t="shared" si="11"/>
        <v>82592.151792103745</v>
      </c>
      <c r="K12" s="72">
        <f t="shared" si="12"/>
        <v>83044.601663434718</v>
      </c>
      <c r="L12" s="72">
        <f t="shared" si="1"/>
        <v>80366.701166366431</v>
      </c>
      <c r="M12" s="106" t="s">
        <v>962</v>
      </c>
      <c r="N12" s="106">
        <f>657-$AD$19</f>
        <v>399</v>
      </c>
      <c r="O12" s="106">
        <v>0</v>
      </c>
      <c r="P12" s="106">
        <v>0</v>
      </c>
      <c r="Q12" s="106">
        <v>0</v>
      </c>
      <c r="R12" s="106">
        <f t="shared" si="2"/>
        <v>13.081967213114755</v>
      </c>
      <c r="S12" s="72">
        <v>100000</v>
      </c>
      <c r="T12" s="72">
        <v>71000</v>
      </c>
      <c r="U12" s="72">
        <f t="shared" si="3"/>
        <v>100000</v>
      </c>
      <c r="W12">
        <v>97</v>
      </c>
      <c r="X12">
        <v>11</v>
      </c>
      <c r="Y12">
        <f t="shared" si="15"/>
        <v>1185</v>
      </c>
      <c r="Z12" s="3">
        <f t="shared" si="13"/>
        <v>107448.54478380154</v>
      </c>
      <c r="AA12" s="3">
        <f t="shared" si="4"/>
        <v>14481.317064663328</v>
      </c>
      <c r="AF12" s="25"/>
    </row>
    <row r="13" spans="1:39" ht="25.5" customHeight="1">
      <c r="A13" s="139" t="s">
        <v>952</v>
      </c>
      <c r="B13" s="140">
        <f t="shared" si="14"/>
        <v>79068.85842186345</v>
      </c>
      <c r="C13" s="140">
        <f t="shared" si="0"/>
        <v>82095.603807312829</v>
      </c>
      <c r="D13" s="140">
        <f t="shared" si="5"/>
        <v>82482.028127861122</v>
      </c>
      <c r="E13" s="140">
        <f t="shared" si="6"/>
        <v>82870.276677098853</v>
      </c>
      <c r="F13" s="140">
        <f t="shared" si="7"/>
        <v>83260.358091991075</v>
      </c>
      <c r="G13" s="140">
        <f t="shared" si="8"/>
        <v>83652.281050495862</v>
      </c>
      <c r="H13" s="140">
        <f t="shared" si="9"/>
        <v>84046.054271796573</v>
      </c>
      <c r="I13" s="140">
        <f t="shared" si="10"/>
        <v>84441.686516464833</v>
      </c>
      <c r="J13" s="140">
        <f t="shared" si="11"/>
        <v>84839.186586678727</v>
      </c>
      <c r="K13" s="140">
        <f t="shared" si="12"/>
        <v>85238.56332642585</v>
      </c>
      <c r="L13" s="140">
        <f t="shared" si="1"/>
        <v>82870.276677098853</v>
      </c>
      <c r="M13" s="139" t="s">
        <v>954</v>
      </c>
      <c r="N13" s="139">
        <f>601-$AD$19</f>
        <v>343</v>
      </c>
      <c r="O13" s="139">
        <v>0</v>
      </c>
      <c r="P13" s="139">
        <v>0</v>
      </c>
      <c r="Q13" s="139">
        <v>0</v>
      </c>
      <c r="R13" s="139">
        <f t="shared" si="2"/>
        <v>11.245901639344263</v>
      </c>
      <c r="S13" s="140">
        <v>100000</v>
      </c>
      <c r="T13" s="140">
        <v>73100</v>
      </c>
      <c r="U13" s="140">
        <f t="shared" si="3"/>
        <v>100000</v>
      </c>
      <c r="W13">
        <v>97</v>
      </c>
      <c r="X13">
        <v>12</v>
      </c>
      <c r="Y13">
        <f t="shared" si="15"/>
        <v>1185</v>
      </c>
      <c r="Z13" s="3">
        <f t="shared" si="13"/>
        <v>109703.84496858653</v>
      </c>
      <c r="AA13" s="3">
        <f t="shared" si="4"/>
        <v>15968.011170177146</v>
      </c>
      <c r="AF13" s="25"/>
    </row>
    <row r="14" spans="1:39" ht="21.75" customHeight="1">
      <c r="A14" s="73" t="s">
        <v>3814</v>
      </c>
      <c r="B14" s="74">
        <f t="shared" si="14"/>
        <v>84036.996442112853</v>
      </c>
      <c r="C14" s="74">
        <f t="shared" si="0"/>
        <v>86407.564406254474</v>
      </c>
      <c r="D14" s="74">
        <f t="shared" si="5"/>
        <v>86708.567625146796</v>
      </c>
      <c r="E14" s="74">
        <f t="shared" si="6"/>
        <v>87010.623539942841</v>
      </c>
      <c r="F14" s="74">
        <f t="shared" si="7"/>
        <v>87313.735846721756</v>
      </c>
      <c r="G14" s="74">
        <f t="shared" si="8"/>
        <v>87617.908254576352</v>
      </c>
      <c r="H14" s="74">
        <f t="shared" si="9"/>
        <v>87923.144485687997</v>
      </c>
      <c r="I14" s="74">
        <f t="shared" si="10"/>
        <v>88229.448275346891</v>
      </c>
      <c r="J14" s="74">
        <f t="shared" si="11"/>
        <v>88536.823372014915</v>
      </c>
      <c r="K14" s="74">
        <f t="shared" si="12"/>
        <v>88845.273537376081</v>
      </c>
      <c r="L14" s="74">
        <f t="shared" si="1"/>
        <v>87010.623539942841</v>
      </c>
      <c r="M14" s="73" t="s">
        <v>3815</v>
      </c>
      <c r="N14" s="73">
        <f>512-$AD$19</f>
        <v>254</v>
      </c>
      <c r="O14" s="73">
        <v>0</v>
      </c>
      <c r="P14" s="73">
        <v>0</v>
      </c>
      <c r="Q14" s="73">
        <v>0</v>
      </c>
      <c r="R14" s="73">
        <f t="shared" si="2"/>
        <v>8.3278688524590159</v>
      </c>
      <c r="S14" s="74">
        <v>100000</v>
      </c>
      <c r="T14" s="74">
        <v>50000</v>
      </c>
      <c r="U14" s="74">
        <f>B14*(1+$AC$2/36500)^N14</f>
        <v>100000</v>
      </c>
      <c r="W14">
        <v>98</v>
      </c>
      <c r="X14">
        <v>1</v>
      </c>
      <c r="Y14">
        <f t="shared" si="15"/>
        <v>1185</v>
      </c>
      <c r="Z14" s="3">
        <f t="shared" si="13"/>
        <v>112006.48296454176</v>
      </c>
      <c r="AA14" s="3">
        <f t="shared" si="4"/>
        <v>17485.678069555834</v>
      </c>
      <c r="AF14" s="25"/>
    </row>
    <row r="15" spans="1:39" ht="20.25" customHeight="1">
      <c r="A15" s="12" t="s">
        <v>3867</v>
      </c>
      <c r="B15" s="47">
        <f t="shared" si="14"/>
        <v>65229.983172622</v>
      </c>
      <c r="C15" s="47">
        <f t="shared" si="0"/>
        <v>69843.688637185798</v>
      </c>
      <c r="D15" s="47">
        <f t="shared" si="5"/>
        <v>70442.92547376077</v>
      </c>
      <c r="E15" s="47">
        <f t="shared" si="6"/>
        <v>71047.311883488321</v>
      </c>
      <c r="F15" s="47">
        <f t="shared" si="7"/>
        <v>71656.892190923027</v>
      </c>
      <c r="G15" s="47">
        <f t="shared" si="8"/>
        <v>72271.711102725123</v>
      </c>
      <c r="H15" s="47">
        <f t="shared" si="9"/>
        <v>72891.813711018433</v>
      </c>
      <c r="I15" s="47">
        <f t="shared" si="10"/>
        <v>73517.245496666525</v>
      </c>
      <c r="J15" s="47">
        <f t="shared" si="11"/>
        <v>74148.052332662599</v>
      </c>
      <c r="K15" s="47">
        <f t="shared" si="12"/>
        <v>74784.280487523909</v>
      </c>
      <c r="L15" s="47">
        <f t="shared" si="1"/>
        <v>71047.311883488321</v>
      </c>
      <c r="M15" s="12" t="s">
        <v>3868</v>
      </c>
      <c r="N15" s="12">
        <f>882-$AD$19</f>
        <v>624</v>
      </c>
      <c r="O15" s="12">
        <v>0</v>
      </c>
      <c r="P15" s="12">
        <v>0</v>
      </c>
      <c r="Q15" s="12">
        <v>0</v>
      </c>
      <c r="R15" s="12">
        <f t="shared" si="2"/>
        <v>20.459016393442624</v>
      </c>
      <c r="S15" s="47">
        <v>100000</v>
      </c>
      <c r="T15" s="47"/>
      <c r="U15" s="47">
        <v>100000</v>
      </c>
      <c r="W15">
        <v>98</v>
      </c>
      <c r="X15">
        <v>2</v>
      </c>
      <c r="Y15">
        <f t="shared" si="15"/>
        <v>1185</v>
      </c>
      <c r="Z15" s="3">
        <f t="shared" si="13"/>
        <v>114357.4523725996</v>
      </c>
      <c r="AA15" s="3">
        <f t="shared" si="4"/>
        <v>19034.963029338247</v>
      </c>
      <c r="AC15" s="71">
        <f>AE2*((1+$AC$2/36500)^365)</f>
        <v>128391.55378787059</v>
      </c>
      <c r="AD15">
        <v>21.4</v>
      </c>
      <c r="AF15" s="25"/>
    </row>
    <row r="16" spans="1:39" ht="20.25" customHeight="1">
      <c r="A16" s="106" t="s">
        <v>3915</v>
      </c>
      <c r="B16" s="72">
        <f t="shared" si="14"/>
        <v>63991.336722431064</v>
      </c>
      <c r="C16" s="72">
        <f t="shared" si="0"/>
        <v>68727.868302608302</v>
      </c>
      <c r="D16" s="72">
        <f t="shared" si="5"/>
        <v>69344.109286390303</v>
      </c>
      <c r="E16" s="72">
        <f t="shared" si="6"/>
        <v>69965.884278846643</v>
      </c>
      <c r="F16" s="72">
        <f t="shared" si="7"/>
        <v>70593.243053657512</v>
      </c>
      <c r="G16" s="72">
        <f t="shared" si="8"/>
        <v>71226.235832835271</v>
      </c>
      <c r="H16" s="72">
        <f t="shared" si="9"/>
        <v>71864.913290829631</v>
      </c>
      <c r="I16" s="72">
        <f t="shared" si="10"/>
        <v>72509.326558555345</v>
      </c>
      <c r="J16" s="72">
        <f t="shared" si="11"/>
        <v>73159.527227544575</v>
      </c>
      <c r="K16" s="72">
        <f t="shared" si="12"/>
        <v>73815.567354111161</v>
      </c>
      <c r="L16" s="72">
        <f t="shared" si="1"/>
        <v>69965.884278846643</v>
      </c>
      <c r="M16" s="106" t="s">
        <v>4158</v>
      </c>
      <c r="N16" s="106">
        <f>910-$AD$19</f>
        <v>652</v>
      </c>
      <c r="O16" s="106">
        <v>0</v>
      </c>
      <c r="P16" s="106">
        <v>0</v>
      </c>
      <c r="Q16" s="106">
        <v>0</v>
      </c>
      <c r="R16" s="106">
        <f t="shared" si="2"/>
        <v>21.377049180327869</v>
      </c>
      <c r="S16" s="72">
        <v>100000</v>
      </c>
      <c r="T16" s="72"/>
      <c r="U16" s="72"/>
      <c r="W16">
        <v>98</v>
      </c>
      <c r="X16">
        <v>3</v>
      </c>
      <c r="Y16">
        <f t="shared" si="15"/>
        <v>1185</v>
      </c>
      <c r="Z16" s="3">
        <f t="shared" si="13"/>
        <v>116757.76764896198</v>
      </c>
      <c r="AA16" s="3">
        <f t="shared" si="4"/>
        <v>20616.524759116124</v>
      </c>
      <c r="AF16" s="25"/>
    </row>
    <row r="17" spans="1:32" ht="17.25" customHeight="1">
      <c r="A17" s="139" t="s">
        <v>4173</v>
      </c>
      <c r="B17" s="140">
        <f t="shared" si="14"/>
        <v>99453.739818107439</v>
      </c>
      <c r="C17" s="140">
        <f t="shared" si="0"/>
        <v>99540.915413847426</v>
      </c>
      <c r="D17" s="140">
        <f t="shared" si="5"/>
        <v>99551.818406454418</v>
      </c>
      <c r="E17" s="140">
        <f t="shared" si="6"/>
        <v>99562.722742594109</v>
      </c>
      <c r="F17" s="140">
        <f t="shared" si="7"/>
        <v>99573.628422450667</v>
      </c>
      <c r="G17" s="140">
        <f t="shared" si="8"/>
        <v>99584.53544620781</v>
      </c>
      <c r="H17" s="140">
        <f t="shared" si="9"/>
        <v>99595.443814049795</v>
      </c>
      <c r="I17" s="140">
        <f t="shared" si="10"/>
        <v>99606.353526160514</v>
      </c>
      <c r="J17" s="140">
        <f t="shared" si="11"/>
        <v>99617.264582724019</v>
      </c>
      <c r="K17" s="140">
        <f t="shared" si="12"/>
        <v>99628.176983924757</v>
      </c>
      <c r="L17" s="140">
        <f t="shared" si="1"/>
        <v>99562.722742594109</v>
      </c>
      <c r="M17" s="139" t="s">
        <v>4182</v>
      </c>
      <c r="N17" s="139">
        <f>266-$AD$19</f>
        <v>8</v>
      </c>
      <c r="O17" s="139">
        <v>0</v>
      </c>
      <c r="P17" s="139">
        <v>0</v>
      </c>
      <c r="Q17" s="139">
        <v>0</v>
      </c>
      <c r="R17" s="139">
        <f t="shared" si="2"/>
        <v>0.26229508196721313</v>
      </c>
      <c r="S17" s="140">
        <v>100000</v>
      </c>
      <c r="T17" s="140"/>
      <c r="U17" s="140"/>
      <c r="W17">
        <v>98</v>
      </c>
      <c r="X17">
        <v>4</v>
      </c>
      <c r="Y17">
        <f t="shared" si="15"/>
        <v>1185</v>
      </c>
      <c r="Z17" s="3">
        <f t="shared" si="13"/>
        <v>119208.46454284384</v>
      </c>
      <c r="AA17" s="3">
        <f t="shared" si="4"/>
        <v>22231.03569159771</v>
      </c>
      <c r="AF17" s="25"/>
    </row>
    <row r="18" spans="1:32" ht="21.75" customHeight="1">
      <c r="A18" s="73" t="s">
        <v>4174</v>
      </c>
      <c r="B18" s="74">
        <f t="shared" si="14"/>
        <v>97165.227914581468</v>
      </c>
      <c r="C18" s="74">
        <f t="shared" si="0"/>
        <v>97613.202048269552</v>
      </c>
      <c r="D18" s="74">
        <f t="shared" si="5"/>
        <v>97669.347300262249</v>
      </c>
      <c r="E18" s="74">
        <f t="shared" si="6"/>
        <v>97725.52561528224</v>
      </c>
      <c r="F18" s="74">
        <f t="shared" si="7"/>
        <v>97781.737013254096</v>
      </c>
      <c r="G18" s="74">
        <f t="shared" si="8"/>
        <v>97837.981514112078</v>
      </c>
      <c r="H18" s="74">
        <f t="shared" si="9"/>
        <v>97894.259137805391</v>
      </c>
      <c r="I18" s="74">
        <f t="shared" si="10"/>
        <v>97950.569904293356</v>
      </c>
      <c r="J18" s="74">
        <f t="shared" si="11"/>
        <v>98006.913833548562</v>
      </c>
      <c r="K18" s="74">
        <f t="shared" si="12"/>
        <v>98063.290945557514</v>
      </c>
      <c r="L18" s="74">
        <f t="shared" si="1"/>
        <v>97725.52561528224</v>
      </c>
      <c r="M18" s="73" t="s">
        <v>4183</v>
      </c>
      <c r="N18" s="73">
        <f>300-$AD$19</f>
        <v>42</v>
      </c>
      <c r="O18" s="73">
        <v>0</v>
      </c>
      <c r="P18" s="73">
        <v>0</v>
      </c>
      <c r="Q18" s="73">
        <v>0</v>
      </c>
      <c r="R18" s="73">
        <f t="shared" si="2"/>
        <v>1.3770491803278688</v>
      </c>
      <c r="S18" s="74">
        <v>100000</v>
      </c>
      <c r="T18" s="74"/>
      <c r="U18" s="74"/>
      <c r="W18">
        <v>98</v>
      </c>
      <c r="X18">
        <v>5</v>
      </c>
      <c r="Y18">
        <f t="shared" si="15"/>
        <v>1185</v>
      </c>
      <c r="Z18" s="3">
        <f t="shared" si="13"/>
        <v>121710.60054340457</v>
      </c>
      <c r="AA18" s="3">
        <f t="shared" si="4"/>
        <v>23879.182268505992</v>
      </c>
      <c r="AC18" t="s">
        <v>964</v>
      </c>
      <c r="AD18" t="s">
        <v>1003</v>
      </c>
      <c r="AF18" s="25"/>
    </row>
    <row r="19" spans="1:32" ht="21.75" customHeight="1">
      <c r="A19" s="12" t="s">
        <v>4175</v>
      </c>
      <c r="B19" s="47">
        <f t="shared" si="14"/>
        <v>59024.549984026846</v>
      </c>
      <c r="C19" s="47">
        <f t="shared" si="0"/>
        <v>64218.021549223231</v>
      </c>
      <c r="D19" s="47">
        <f t="shared" si="5"/>
        <v>64898.585796507279</v>
      </c>
      <c r="E19" s="47">
        <f t="shared" si="6"/>
        <v>65586.371935355317</v>
      </c>
      <c r="F19" s="47">
        <f t="shared" si="7"/>
        <v>66281.456702230847</v>
      </c>
      <c r="G19" s="47">
        <f t="shared" si="8"/>
        <v>66983.917649997369</v>
      </c>
      <c r="H19" s="47">
        <f t="shared" si="9"/>
        <v>67693.833156682434</v>
      </c>
      <c r="I19" s="47">
        <f t="shared" si="10"/>
        <v>68411.28243420861</v>
      </c>
      <c r="J19" s="47">
        <f t="shared" si="11"/>
        <v>69136.345537315239</v>
      </c>
      <c r="K19" s="47">
        <f t="shared" si="12"/>
        <v>69869.103372547193</v>
      </c>
      <c r="L19" s="47">
        <f t="shared" si="1"/>
        <v>65586.371935355317</v>
      </c>
      <c r="M19" s="12" t="s">
        <v>4184</v>
      </c>
      <c r="N19" s="12">
        <f>1028-$AD$19</f>
        <v>770</v>
      </c>
      <c r="O19" s="12">
        <v>0</v>
      </c>
      <c r="P19" s="12">
        <v>0</v>
      </c>
      <c r="Q19" s="12">
        <v>0</v>
      </c>
      <c r="R19" s="12">
        <f t="shared" si="2"/>
        <v>25.245901639344261</v>
      </c>
      <c r="S19" s="47">
        <v>100000</v>
      </c>
      <c r="T19" s="47"/>
      <c r="U19" s="47"/>
      <c r="W19">
        <v>98</v>
      </c>
      <c r="X19">
        <v>6</v>
      </c>
      <c r="Y19">
        <f t="shared" si="15"/>
        <v>1185</v>
      </c>
      <c r="Z19" s="3">
        <f t="shared" si="13"/>
        <v>124265.25533606041</v>
      </c>
      <c r="AA19" s="3">
        <f t="shared" si="4"/>
        <v>25561.665232433199</v>
      </c>
      <c r="AC19" t="s">
        <v>1012</v>
      </c>
      <c r="AD19">
        <v>258</v>
      </c>
      <c r="AF19" s="25"/>
    </row>
    <row r="20" spans="1:32" ht="22.5" customHeight="1">
      <c r="A20" s="106" t="s">
        <v>4176</v>
      </c>
      <c r="B20" s="72">
        <f t="shared" si="14"/>
        <v>84036.996442112853</v>
      </c>
      <c r="C20" s="72">
        <f t="shared" si="0"/>
        <v>86407.564406254474</v>
      </c>
      <c r="D20" s="72">
        <f t="shared" si="5"/>
        <v>86708.567625146796</v>
      </c>
      <c r="E20" s="72">
        <f t="shared" si="6"/>
        <v>87010.623539942841</v>
      </c>
      <c r="F20" s="72">
        <f t="shared" si="7"/>
        <v>87313.735846721756</v>
      </c>
      <c r="G20" s="72">
        <f t="shared" si="8"/>
        <v>87617.908254576352</v>
      </c>
      <c r="H20" s="72">
        <f t="shared" si="9"/>
        <v>87923.144485687997</v>
      </c>
      <c r="I20" s="72">
        <f t="shared" si="10"/>
        <v>88229.448275346891</v>
      </c>
      <c r="J20" s="72">
        <f t="shared" si="11"/>
        <v>88536.823372014915</v>
      </c>
      <c r="K20" s="72">
        <f t="shared" si="12"/>
        <v>88845.273537376081</v>
      </c>
      <c r="L20" s="72">
        <f t="shared" si="1"/>
        <v>87010.623539942841</v>
      </c>
      <c r="M20" s="106" t="s">
        <v>3815</v>
      </c>
      <c r="N20" s="106">
        <f>512-$AD$19</f>
        <v>254</v>
      </c>
      <c r="O20" s="106">
        <v>0</v>
      </c>
      <c r="P20" s="106">
        <v>0</v>
      </c>
      <c r="Q20" s="106">
        <v>0</v>
      </c>
      <c r="R20" s="106">
        <f t="shared" si="2"/>
        <v>8.3278688524590159</v>
      </c>
      <c r="S20" s="72">
        <v>100000</v>
      </c>
      <c r="T20" s="72"/>
      <c r="U20" s="72"/>
      <c r="W20">
        <v>98</v>
      </c>
      <c r="X20" s="9">
        <v>7</v>
      </c>
      <c r="Y20">
        <f t="shared" si="15"/>
        <v>1185</v>
      </c>
      <c r="Z20" s="3">
        <f t="shared" si="13"/>
        <v>126873.53126837459</v>
      </c>
      <c r="AA20" s="3">
        <f t="shared" si="4"/>
        <v>27279.199924775556</v>
      </c>
      <c r="AF20" s="25"/>
    </row>
    <row r="21" spans="1:32" ht="20.25" customHeight="1">
      <c r="A21" s="139" t="s">
        <v>4177</v>
      </c>
      <c r="B21" s="140">
        <f t="shared" si="14"/>
        <v>66857.823112987317</v>
      </c>
      <c r="C21" s="140">
        <f>$S21/(1+($C$1-$O21+$P21)/36500)^$N21</f>
        <v>71304.974843349148</v>
      </c>
      <c r="D21" s="140">
        <f t="shared" si="5"/>
        <v>71881.312145205186</v>
      </c>
      <c r="E21" s="140">
        <f t="shared" si="6"/>
        <v>72462.31579975826</v>
      </c>
      <c r="F21" s="140">
        <f t="shared" si="7"/>
        <v>73048.023653116747</v>
      </c>
      <c r="G21" s="140">
        <f t="shared" si="8"/>
        <v>73638.473858833444</v>
      </c>
      <c r="H21" s="140">
        <f t="shared" si="9"/>
        <v>74233.704880463745</v>
      </c>
      <c r="I21" s="140">
        <f t="shared" si="10"/>
        <v>74833.755494038065</v>
      </c>
      <c r="J21" s="140">
        <f t="shared" si="11"/>
        <v>75438.664790636714</v>
      </c>
      <c r="K21" s="140">
        <f t="shared" si="12"/>
        <v>76048.472178961587</v>
      </c>
      <c r="L21" s="140">
        <f t="shared" si="1"/>
        <v>72462.31579975826</v>
      </c>
      <c r="M21" s="139" t="s">
        <v>4185</v>
      </c>
      <c r="N21" s="139">
        <f>846-$AD$19</f>
        <v>588</v>
      </c>
      <c r="O21" s="139">
        <v>0</v>
      </c>
      <c r="P21" s="139">
        <v>0</v>
      </c>
      <c r="Q21" s="139">
        <v>0</v>
      </c>
      <c r="R21" s="139">
        <f t="shared" si="2"/>
        <v>19.278688524590162</v>
      </c>
      <c r="S21" s="140">
        <v>100000</v>
      </c>
      <c r="T21" s="140"/>
      <c r="U21" s="140"/>
      <c r="W21">
        <v>98</v>
      </c>
      <c r="X21">
        <v>8</v>
      </c>
      <c r="Y21">
        <f t="shared" si="15"/>
        <v>1185</v>
      </c>
      <c r="Z21" s="3">
        <f t="shared" si="13"/>
        <v>129536.55382572641</v>
      </c>
      <c r="AA21" s="3">
        <f t="shared" si="4"/>
        <v>29032.516589875046</v>
      </c>
      <c r="AF21" s="25"/>
    </row>
    <row r="22" spans="1:32" ht="19.5" customHeight="1">
      <c r="A22" s="142" t="s">
        <v>4290</v>
      </c>
      <c r="B22" s="39">
        <f t="shared" si="14"/>
        <v>82047.03981151247</v>
      </c>
      <c r="C22" s="39">
        <f>$S22/(1+($C$1-$O22+$P22)/36500)^$N22</f>
        <v>84685.468897250714</v>
      </c>
      <c r="D22" s="39">
        <f t="shared" si="5"/>
        <v>85021.203818028414</v>
      </c>
      <c r="E22" s="39">
        <f t="shared" si="6"/>
        <v>85358.274381351963</v>
      </c>
      <c r="F22" s="39">
        <f t="shared" si="7"/>
        <v>85696.685919165073</v>
      </c>
      <c r="G22" s="39">
        <f t="shared" si="8"/>
        <v>86036.443784753879</v>
      </c>
      <c r="H22" s="39">
        <f t="shared" si="9"/>
        <v>86377.553352865332</v>
      </c>
      <c r="I22" s="39">
        <f t="shared" si="10"/>
        <v>86720.020019764401</v>
      </c>
      <c r="J22" s="39">
        <f t="shared" si="11"/>
        <v>87063.849203338759</v>
      </c>
      <c r="K22" s="39">
        <f t="shared" si="12"/>
        <v>87409.046343190101</v>
      </c>
      <c r="L22" s="39">
        <f t="shared" si="1"/>
        <v>85358.274381351963</v>
      </c>
      <c r="M22" s="142" t="s">
        <v>4291</v>
      </c>
      <c r="N22" s="142">
        <f>547-$AD$19</f>
        <v>289</v>
      </c>
      <c r="O22" s="142">
        <v>0</v>
      </c>
      <c r="P22" s="142">
        <v>0</v>
      </c>
      <c r="Q22" s="142">
        <v>0</v>
      </c>
      <c r="R22" s="142">
        <f t="shared" si="2"/>
        <v>9.4754098360655732</v>
      </c>
      <c r="S22" s="39">
        <v>100000</v>
      </c>
      <c r="T22" s="39"/>
      <c r="U22" s="39"/>
      <c r="W22">
        <v>98</v>
      </c>
      <c r="X22" s="9">
        <v>9</v>
      </c>
      <c r="Y22">
        <f t="shared" si="15"/>
        <v>1185</v>
      </c>
      <c r="Z22" s="3">
        <f t="shared" si="13"/>
        <v>132255.47211696432</v>
      </c>
      <c r="AA22" s="3">
        <f t="shared" si="4"/>
        <v>30822.360685497439</v>
      </c>
      <c r="AF22" s="25"/>
    </row>
    <row r="23" spans="1:32" ht="19.5" customHeight="1">
      <c r="A23" s="139" t="s">
        <v>4228</v>
      </c>
      <c r="B23" s="140">
        <f t="shared" si="14"/>
        <v>80544.185232637843</v>
      </c>
      <c r="C23" s="140">
        <f>$S23/(1+($C$1-$O23+$P23)/36500)^$N23</f>
        <v>83380.481545894218</v>
      </c>
      <c r="D23" s="140">
        <f t="shared" si="5"/>
        <v>83741.992600983838</v>
      </c>
      <c r="E23" s="140">
        <f t="shared" si="6"/>
        <v>84105.076033865858</v>
      </c>
      <c r="F23" s="140">
        <f t="shared" si="7"/>
        <v>84469.738705210722</v>
      </c>
      <c r="G23" s="140">
        <f t="shared" si="8"/>
        <v>84835.987505700788</v>
      </c>
      <c r="H23" s="140">
        <f t="shared" si="9"/>
        <v>85203.829356196904</v>
      </c>
      <c r="I23" s="140">
        <f t="shared" si="10"/>
        <v>85573.271207839774</v>
      </c>
      <c r="J23" s="140">
        <f t="shared" si="11"/>
        <v>85944.320042202409</v>
      </c>
      <c r="K23" s="140">
        <f t="shared" si="12"/>
        <v>86316.982871428612</v>
      </c>
      <c r="L23" s="140">
        <f t="shared" si="1"/>
        <v>84105.076033865858</v>
      </c>
      <c r="M23" s="139" t="s">
        <v>4229</v>
      </c>
      <c r="N23" s="139">
        <f>574-$AD$19</f>
        <v>316</v>
      </c>
      <c r="O23" s="139">
        <v>0</v>
      </c>
      <c r="P23" s="139"/>
      <c r="Q23" s="139">
        <v>0</v>
      </c>
      <c r="R23" s="139">
        <f t="shared" si="2"/>
        <v>10.360655737704919</v>
      </c>
      <c r="S23" s="140">
        <v>100000</v>
      </c>
      <c r="T23" s="140"/>
      <c r="U23" s="140"/>
      <c r="W23">
        <v>98</v>
      </c>
      <c r="X23">
        <v>10</v>
      </c>
      <c r="Y23">
        <f t="shared" si="15"/>
        <v>1185</v>
      </c>
      <c r="Z23" s="3">
        <f t="shared" si="13"/>
        <v>135031.45937025268</v>
      </c>
      <c r="AA23" s="3">
        <f t="shared" si="4"/>
        <v>32649.493199778633</v>
      </c>
      <c r="AC23" t="s">
        <v>913</v>
      </c>
      <c r="AD23" t="s">
        <v>1013</v>
      </c>
      <c r="AF23" s="25"/>
    </row>
    <row r="24" spans="1:32">
      <c r="A24" s="73" t="s">
        <v>4178</v>
      </c>
      <c r="B24" s="74">
        <f t="shared" si="14"/>
        <v>85429.362499077877</v>
      </c>
      <c r="C24" s="74">
        <f t="shared" ref="C24:C38" si="16">$S24/(1+($C$1-$O24+$P24)/36500)^$N24</f>
        <v>87608.626703974835</v>
      </c>
      <c r="D24" s="74">
        <f t="shared" si="5"/>
        <v>87884.931853218863</v>
      </c>
      <c r="E24" s="74">
        <f t="shared" si="6"/>
        <v>88162.11223041729</v>
      </c>
      <c r="F24" s="74">
        <f t="shared" si="7"/>
        <v>88440.170620000266</v>
      </c>
      <c r="G24" s="74">
        <f t="shared" si="8"/>
        <v>88719.109815281219</v>
      </c>
      <c r="H24" s="74">
        <f t="shared" si="9"/>
        <v>88998.93261851203</v>
      </c>
      <c r="I24" s="74">
        <f t="shared" si="10"/>
        <v>89279.641840887896</v>
      </c>
      <c r="J24" s="74">
        <f t="shared" si="11"/>
        <v>89561.24030259093</v>
      </c>
      <c r="K24" s="74">
        <f t="shared" si="12"/>
        <v>89843.730832822563</v>
      </c>
      <c r="L24" s="74">
        <f t="shared" si="1"/>
        <v>88162.11223041729</v>
      </c>
      <c r="M24" s="73" t="s">
        <v>4186</v>
      </c>
      <c r="N24" s="73">
        <f>488-$AD$19</f>
        <v>230</v>
      </c>
      <c r="O24" s="73">
        <v>0</v>
      </c>
      <c r="P24" s="73">
        <v>0</v>
      </c>
      <c r="Q24" s="73">
        <v>0</v>
      </c>
      <c r="R24" s="73">
        <f t="shared" si="2"/>
        <v>7.5409836065573774</v>
      </c>
      <c r="S24" s="74">
        <v>100000</v>
      </c>
      <c r="T24" s="74"/>
      <c r="U24" s="74"/>
      <c r="W24">
        <v>98</v>
      </c>
      <c r="X24">
        <v>11</v>
      </c>
      <c r="Y24">
        <f t="shared" si="15"/>
        <v>1185</v>
      </c>
      <c r="Z24" s="3">
        <f t="shared" si="13"/>
        <v>137865.71343932621</v>
      </c>
      <c r="AA24" s="3">
        <f t="shared" si="4"/>
        <v>34514.690974774021</v>
      </c>
      <c r="AC24">
        <v>85600</v>
      </c>
      <c r="AD24">
        <v>980</v>
      </c>
      <c r="AE24" s="3">
        <f>AC24*(1+AC2/36500)^AD24</f>
        <v>167450.6013573173</v>
      </c>
      <c r="AF24" s="25"/>
    </row>
    <row r="25" spans="1:32">
      <c r="A25" s="106" t="s">
        <v>4179</v>
      </c>
      <c r="B25" s="72">
        <f t="shared" si="14"/>
        <v>83635.180953992793</v>
      </c>
      <c r="C25" s="72">
        <f t="shared" si="16"/>
        <v>86060.366308919693</v>
      </c>
      <c r="D25" s="72">
        <f t="shared" si="5"/>
        <v>86368.436856081258</v>
      </c>
      <c r="E25" s="72">
        <f t="shared" si="6"/>
        <v>86677.614444755993</v>
      </c>
      <c r="F25" s="72">
        <f t="shared" si="7"/>
        <v>86987.903068307132</v>
      </c>
      <c r="G25" s="72">
        <f t="shared" si="8"/>
        <v>87299.306734543017</v>
      </c>
      <c r="H25" s="72">
        <f t="shared" si="9"/>
        <v>87611.829465799281</v>
      </c>
      <c r="I25" s="72">
        <f t="shared" si="10"/>
        <v>87925.475298965146</v>
      </c>
      <c r="J25" s="72">
        <f t="shared" si="11"/>
        <v>88240.248285552982</v>
      </c>
      <c r="K25" s="72">
        <f t="shared" si="12"/>
        <v>88556.152491755318</v>
      </c>
      <c r="L25" s="72">
        <f t="shared" si="1"/>
        <v>86677.614444755993</v>
      </c>
      <c r="M25" s="106" t="s">
        <v>4187</v>
      </c>
      <c r="N25" s="106">
        <f>519-$AD$19</f>
        <v>261</v>
      </c>
      <c r="O25" s="106">
        <v>0</v>
      </c>
      <c r="P25" s="106">
        <v>0</v>
      </c>
      <c r="Q25" s="106">
        <v>0</v>
      </c>
      <c r="R25" s="106">
        <f t="shared" si="2"/>
        <v>8.557377049180328</v>
      </c>
      <c r="S25" s="72">
        <v>100000</v>
      </c>
      <c r="T25" s="72"/>
      <c r="U25" s="72"/>
      <c r="W25">
        <v>98</v>
      </c>
      <c r="X25">
        <v>12</v>
      </c>
      <c r="Y25">
        <f t="shared" si="15"/>
        <v>1185</v>
      </c>
      <c r="Z25" s="3">
        <f t="shared" si="13"/>
        <v>140759.45732037039</v>
      </c>
      <c r="AA25" s="3">
        <f t="shared" si="4"/>
        <v>36418.747036748478</v>
      </c>
      <c r="AF25" s="25"/>
    </row>
    <row r="26" spans="1:32">
      <c r="A26" s="139" t="s">
        <v>966</v>
      </c>
      <c r="B26" s="140">
        <f t="shared" si="14"/>
        <v>76608.387094321617</v>
      </c>
      <c r="C26" s="140">
        <f t="shared" si="16"/>
        <v>86791.27684456823</v>
      </c>
      <c r="D26" s="140">
        <f t="shared" si="5"/>
        <v>88155.91653347385</v>
      </c>
      <c r="E26" s="140">
        <f t="shared" si="6"/>
        <v>89542.031907794983</v>
      </c>
      <c r="F26" s="140">
        <f t="shared" si="7"/>
        <v>90949.961236987176</v>
      </c>
      <c r="G26" s="140">
        <f t="shared" si="8"/>
        <v>92380.048123502231</v>
      </c>
      <c r="H26" s="140">
        <f t="shared" si="9"/>
        <v>93832.641586874553</v>
      </c>
      <c r="I26" s="140">
        <f t="shared" si="10"/>
        <v>95308.096149068151</v>
      </c>
      <c r="J26" s="140">
        <f t="shared" si="11"/>
        <v>96806.771921588792</v>
      </c>
      <c r="K26" s="140">
        <f t="shared" si="12"/>
        <v>98329.034693387526</v>
      </c>
      <c r="L26" s="140">
        <f t="shared" si="1"/>
        <v>89542.031907794983</v>
      </c>
      <c r="M26" s="139" t="s">
        <v>967</v>
      </c>
      <c r="N26" s="139">
        <f>1397-$AD$19</f>
        <v>1139</v>
      </c>
      <c r="O26" s="139">
        <v>17</v>
      </c>
      <c r="P26" s="139">
        <f>$AI$2</f>
        <v>0.54</v>
      </c>
      <c r="Q26" s="139">
        <v>6</v>
      </c>
      <c r="R26" s="139">
        <f t="shared" si="2"/>
        <v>37.344262295081968</v>
      </c>
      <c r="S26" s="140">
        <v>100000</v>
      </c>
      <c r="T26" s="140">
        <v>96000</v>
      </c>
      <c r="U26" s="140">
        <f t="shared" si="3"/>
        <v>167097.33732914107</v>
      </c>
      <c r="W26">
        <v>99</v>
      </c>
      <c r="X26">
        <v>1</v>
      </c>
      <c r="Y26">
        <f t="shared" si="15"/>
        <v>1185</v>
      </c>
      <c r="Z26" s="3">
        <f t="shared" si="13"/>
        <v>143713.93967975109</v>
      </c>
      <c r="AA26" s="3">
        <f t="shared" si="4"/>
        <v>38362.470933347402</v>
      </c>
      <c r="AF26" s="25"/>
    </row>
    <row r="27" spans="1:32">
      <c r="A27" s="73" t="s">
        <v>923</v>
      </c>
      <c r="B27" s="74">
        <f t="shared" si="14"/>
        <v>96285.789795203469</v>
      </c>
      <c r="C27" s="74">
        <f t="shared" si="16"/>
        <v>99569.180323273889</v>
      </c>
      <c r="D27" s="74">
        <f t="shared" si="5"/>
        <v>99987.425450782524</v>
      </c>
      <c r="E27" s="74">
        <f t="shared" si="6"/>
        <v>100407.43320260345</v>
      </c>
      <c r="F27" s="74">
        <f t="shared" si="7"/>
        <v>100829.21103132689</v>
      </c>
      <c r="G27" s="74">
        <f t="shared" si="8"/>
        <v>101252.76642114812</v>
      </c>
      <c r="H27" s="74">
        <f t="shared" si="9"/>
        <v>101678.10688801693</v>
      </c>
      <c r="I27" s="74">
        <f t="shared" si="10"/>
        <v>102105.2399797531</v>
      </c>
      <c r="J27" s="74">
        <f t="shared" si="11"/>
        <v>102534.17327621111</v>
      </c>
      <c r="K27" s="74">
        <f t="shared" si="12"/>
        <v>102964.91438939216</v>
      </c>
      <c r="L27" s="74">
        <f t="shared" si="1"/>
        <v>100407.43320260345</v>
      </c>
      <c r="M27" s="73" t="s">
        <v>938</v>
      </c>
      <c r="N27" s="73">
        <f>564-$AD$19</f>
        <v>306</v>
      </c>
      <c r="O27" s="73">
        <v>21</v>
      </c>
      <c r="P27" s="73">
        <f t="shared" ref="P27:P32" si="17">$AI$1</f>
        <v>0.51500000000000001</v>
      </c>
      <c r="Q27" s="73">
        <v>3</v>
      </c>
      <c r="R27" s="73">
        <f t="shared" si="2"/>
        <v>10.032786885245901</v>
      </c>
      <c r="S27" s="74">
        <v>100000</v>
      </c>
      <c r="T27" s="74">
        <v>100000</v>
      </c>
      <c r="U27" s="74">
        <f t="shared" si="3"/>
        <v>118728.34196936323</v>
      </c>
      <c r="W27">
        <v>99</v>
      </c>
      <c r="X27">
        <v>2</v>
      </c>
      <c r="Y27">
        <f t="shared" si="15"/>
        <v>1185</v>
      </c>
      <c r="Z27" s="3">
        <f t="shared" si="13"/>
        <v>146730.43539282086</v>
      </c>
      <c r="AA27" s="3">
        <f t="shared" si="4"/>
        <v>40346.689077792136</v>
      </c>
      <c r="AF27" s="25"/>
    </row>
    <row r="28" spans="1:32">
      <c r="A28" s="12" t="s">
        <v>924</v>
      </c>
      <c r="B28" s="47">
        <f t="shared" si="14"/>
        <v>91925.634193996884</v>
      </c>
      <c r="C28" s="47">
        <f t="shared" si="16"/>
        <v>95237.131265371121</v>
      </c>
      <c r="D28" s="47">
        <f t="shared" si="5"/>
        <v>95659.395544193569</v>
      </c>
      <c r="E28" s="47">
        <f t="shared" si="6"/>
        <v>96083.537888937673</v>
      </c>
      <c r="F28" s="47">
        <f t="shared" si="7"/>
        <v>96509.566678383257</v>
      </c>
      <c r="G28" s="47">
        <f t="shared" si="8"/>
        <v>96937.490328836939</v>
      </c>
      <c r="H28" s="47">
        <f t="shared" si="9"/>
        <v>97367.31729424528</v>
      </c>
      <c r="I28" s="47">
        <f t="shared" si="10"/>
        <v>97799.056066405028</v>
      </c>
      <c r="J28" s="47">
        <f t="shared" si="11"/>
        <v>98232.715175119345</v>
      </c>
      <c r="K28" s="47">
        <f t="shared" si="12"/>
        <v>98668.303188348553</v>
      </c>
      <c r="L28" s="47">
        <f t="shared" si="1"/>
        <v>96083.537888937673</v>
      </c>
      <c r="M28" s="12" t="s">
        <v>939</v>
      </c>
      <c r="N28" s="12">
        <f>581-$AD$19</f>
        <v>323</v>
      </c>
      <c r="O28" s="12">
        <v>16</v>
      </c>
      <c r="P28" s="12">
        <f t="shared" si="17"/>
        <v>0.51500000000000001</v>
      </c>
      <c r="Q28" s="12">
        <v>3</v>
      </c>
      <c r="R28" s="12">
        <f t="shared" si="2"/>
        <v>10.590163934426229</v>
      </c>
      <c r="S28" s="47">
        <v>100000</v>
      </c>
      <c r="T28" s="47">
        <v>92000</v>
      </c>
      <c r="U28" s="47">
        <f t="shared" si="3"/>
        <v>114679.01740212817</v>
      </c>
      <c r="W28">
        <v>99</v>
      </c>
      <c r="X28">
        <v>3</v>
      </c>
      <c r="Y28">
        <f t="shared" si="15"/>
        <v>1185</v>
      </c>
      <c r="Z28" s="3">
        <f t="shared" si="13"/>
        <v>149810.24609403475</v>
      </c>
      <c r="AA28" s="3">
        <f t="shared" si="4"/>
        <v>42372.245100246138</v>
      </c>
      <c r="AC28" s="71">
        <f>AD28*((1+$AC$2/36500)^30)</f>
        <v>10207533.278872114</v>
      </c>
      <c r="AD28" s="3">
        <v>10000000</v>
      </c>
      <c r="AF28" s="25"/>
    </row>
    <row r="29" spans="1:32">
      <c r="A29" s="106" t="s">
        <v>917</v>
      </c>
      <c r="B29" s="72">
        <f t="shared" si="14"/>
        <v>95467.518427419433</v>
      </c>
      <c r="C29" s="72">
        <f t="shared" si="16"/>
        <v>99472.291443233684</v>
      </c>
      <c r="D29" s="72">
        <f t="shared" si="5"/>
        <v>99984.590231691254</v>
      </c>
      <c r="E29" s="72">
        <f t="shared" si="6"/>
        <v>100499.53451593168</v>
      </c>
      <c r="F29" s="72">
        <f t="shared" si="7"/>
        <v>101017.13799374478</v>
      </c>
      <c r="G29" s="72">
        <f t="shared" si="8"/>
        <v>101537.41443402359</v>
      </c>
      <c r="H29" s="72">
        <f t="shared" si="9"/>
        <v>102060.37767715298</v>
      </c>
      <c r="I29" s="72">
        <f t="shared" si="10"/>
        <v>102586.04163535734</v>
      </c>
      <c r="J29" s="72">
        <f t="shared" si="11"/>
        <v>103114.42029311057</v>
      </c>
      <c r="K29" s="72">
        <f t="shared" si="12"/>
        <v>103645.52770748203</v>
      </c>
      <c r="L29" s="72">
        <f t="shared" si="1"/>
        <v>100499.53451593168</v>
      </c>
      <c r="M29" s="106" t="s">
        <v>940</v>
      </c>
      <c r="N29" s="106">
        <f>633-$AD$19</f>
        <v>375</v>
      </c>
      <c r="O29" s="106">
        <v>21</v>
      </c>
      <c r="P29" s="106">
        <f t="shared" si="17"/>
        <v>0.51500000000000001</v>
      </c>
      <c r="Q29" s="106">
        <v>3</v>
      </c>
      <c r="R29" s="106">
        <f t="shared" si="2"/>
        <v>12.295081967213115</v>
      </c>
      <c r="S29" s="72">
        <v>100000</v>
      </c>
      <c r="T29" s="72">
        <v>100000</v>
      </c>
      <c r="U29" s="72">
        <f t="shared" si="3"/>
        <v>123414.35843777862</v>
      </c>
      <c r="W29">
        <v>99</v>
      </c>
      <c r="X29">
        <v>4</v>
      </c>
      <c r="Y29">
        <f t="shared" si="15"/>
        <v>1185</v>
      </c>
      <c r="Z29" s="3">
        <f t="shared" si="13"/>
        <v>152954.70073861268</v>
      </c>
      <c r="AA29" s="3">
        <f t="shared" si="4"/>
        <v>44440.000206501267</v>
      </c>
      <c r="AF29" s="25"/>
    </row>
    <row r="30" spans="1:32">
      <c r="A30" s="77" t="s">
        <v>910</v>
      </c>
      <c r="B30" s="76">
        <f t="shared" si="14"/>
        <v>94667.909867234514</v>
      </c>
      <c r="C30" s="80">
        <f t="shared" si="16"/>
        <v>99376.898991345413</v>
      </c>
      <c r="D30" s="76">
        <f t="shared" si="5"/>
        <v>99981.796181387297</v>
      </c>
      <c r="E30" s="76">
        <f t="shared" si="6"/>
        <v>100590.38368186183</v>
      </c>
      <c r="F30" s="76">
        <f t="shared" si="7"/>
        <v>101202.68405735628</v>
      </c>
      <c r="G30" s="76">
        <f t="shared" si="8"/>
        <v>101818.72001073025</v>
      </c>
      <c r="H30" s="76">
        <f t="shared" si="9"/>
        <v>102438.51438398685</v>
      </c>
      <c r="I30" s="76">
        <f t="shared" si="10"/>
        <v>103062.09015909859</v>
      </c>
      <c r="J30" s="76">
        <f t="shared" si="11"/>
        <v>103689.47045890962</v>
      </c>
      <c r="K30" s="76">
        <f t="shared" si="12"/>
        <v>104320.67854796544</v>
      </c>
      <c r="L30" s="78">
        <f t="shared" si="1"/>
        <v>100590.38368186183</v>
      </c>
      <c r="M30" s="77" t="s">
        <v>941</v>
      </c>
      <c r="N30" s="77">
        <f>701-$AD$19</f>
        <v>443</v>
      </c>
      <c r="O30" s="77">
        <v>21</v>
      </c>
      <c r="P30" s="77">
        <f t="shared" si="17"/>
        <v>0.51500000000000001</v>
      </c>
      <c r="Q30" s="77">
        <v>3</v>
      </c>
      <c r="R30" s="77">
        <f t="shared" si="2"/>
        <v>14.524590163934427</v>
      </c>
      <c r="S30" s="78">
        <v>100000</v>
      </c>
      <c r="T30" s="78">
        <v>100000</v>
      </c>
      <c r="U30" s="78">
        <f t="shared" si="3"/>
        <v>128213.37576851119</v>
      </c>
      <c r="W30">
        <v>99</v>
      </c>
      <c r="X30">
        <v>5</v>
      </c>
      <c r="Y30">
        <f t="shared" si="15"/>
        <v>1185</v>
      </c>
      <c r="Z30" s="3">
        <f t="shared" si="13"/>
        <v>156165.15617599085</v>
      </c>
      <c r="AA30" s="3">
        <f t="shared" si="4"/>
        <v>46550.833544136709</v>
      </c>
      <c r="AE30" s="25"/>
    </row>
    <row r="31" spans="1:32">
      <c r="A31" s="79" t="s">
        <v>925</v>
      </c>
      <c r="B31" s="76">
        <f t="shared" si="14"/>
        <v>90777.517772334249</v>
      </c>
      <c r="C31" s="80">
        <f t="shared" si="16"/>
        <v>95574.946650936647</v>
      </c>
      <c r="D31" s="76">
        <f t="shared" si="5"/>
        <v>96192.221968395461</v>
      </c>
      <c r="E31" s="76">
        <f t="shared" si="6"/>
        <v>96813.492524928341</v>
      </c>
      <c r="F31" s="76">
        <f t="shared" si="7"/>
        <v>97438.784234500388</v>
      </c>
      <c r="G31" s="76">
        <f t="shared" si="8"/>
        <v>98068.123179493312</v>
      </c>
      <c r="H31" s="76">
        <f t="shared" si="9"/>
        <v>98701.535611855419</v>
      </c>
      <c r="I31" s="76">
        <f t="shared" si="10"/>
        <v>99339.047954145019</v>
      </c>
      <c r="J31" s="76">
        <f t="shared" si="11"/>
        <v>99980.686800716619</v>
      </c>
      <c r="K31" s="76">
        <f t="shared" si="12"/>
        <v>100626.47891876215</v>
      </c>
      <c r="L31" s="80">
        <f t="shared" si="1"/>
        <v>96813.492524928341</v>
      </c>
      <c r="M31" s="79" t="s">
        <v>965</v>
      </c>
      <c r="N31" s="79">
        <f>728-$AD$19</f>
        <v>470</v>
      </c>
      <c r="O31" s="79">
        <v>18</v>
      </c>
      <c r="P31" s="79">
        <f t="shared" si="17"/>
        <v>0.51500000000000001</v>
      </c>
      <c r="Q31" s="79">
        <v>3</v>
      </c>
      <c r="R31" s="79">
        <f t="shared" si="2"/>
        <v>15.409836065573771</v>
      </c>
      <c r="S31" s="80">
        <v>100000</v>
      </c>
      <c r="T31" s="80">
        <v>95000</v>
      </c>
      <c r="U31" s="80">
        <f t="shared" si="3"/>
        <v>125238.41817538605</v>
      </c>
      <c r="W31">
        <v>99</v>
      </c>
      <c r="X31">
        <v>6</v>
      </c>
      <c r="Y31">
        <f t="shared" si="15"/>
        <v>1185</v>
      </c>
      <c r="Z31" s="3">
        <f t="shared" si="13"/>
        <v>159442.99773530982</v>
      </c>
      <c r="AA31" s="3">
        <f t="shared" si="4"/>
        <v>48705.642576306222</v>
      </c>
      <c r="AE31" s="25"/>
    </row>
    <row r="32" spans="1:32">
      <c r="A32" s="106" t="s">
        <v>926</v>
      </c>
      <c r="B32" s="72">
        <f t="shared" si="14"/>
        <v>89794.285720576532</v>
      </c>
      <c r="C32" s="72">
        <f t="shared" si="16"/>
        <v>93950.899228169306</v>
      </c>
      <c r="D32" s="72">
        <f t="shared" si="5"/>
        <v>94483.858978092423</v>
      </c>
      <c r="E32" s="72">
        <f t="shared" si="6"/>
        <v>95019.849436294535</v>
      </c>
      <c r="F32" s="72">
        <f t="shared" si="7"/>
        <v>95558.887878929192</v>
      </c>
      <c r="G32" s="72">
        <f t="shared" si="8"/>
        <v>96100.991680907289</v>
      </c>
      <c r="H32" s="72">
        <f t="shared" si="9"/>
        <v>96646.178316392863</v>
      </c>
      <c r="I32" s="72">
        <f t="shared" si="10"/>
        <v>97194.465359423804</v>
      </c>
      <c r="J32" s="72">
        <f t="shared" si="11"/>
        <v>97745.870484466825</v>
      </c>
      <c r="K32" s="72">
        <f t="shared" si="12"/>
        <v>98300.411466967285</v>
      </c>
      <c r="L32" s="72">
        <f t="shared" si="1"/>
        <v>95019.849436294535</v>
      </c>
      <c r="M32" s="106" t="s">
        <v>942</v>
      </c>
      <c r="N32" s="106">
        <f>671-$AD$19</f>
        <v>413</v>
      </c>
      <c r="O32" s="106">
        <v>16</v>
      </c>
      <c r="P32" s="106">
        <f t="shared" si="17"/>
        <v>0.51500000000000001</v>
      </c>
      <c r="Q32" s="106">
        <v>3</v>
      </c>
      <c r="R32" s="106">
        <f t="shared" si="2"/>
        <v>13.540983606557377</v>
      </c>
      <c r="S32" s="72">
        <v>100000</v>
      </c>
      <c r="T32" s="72">
        <v>90600</v>
      </c>
      <c r="U32" s="72">
        <f t="shared" si="3"/>
        <v>119140.23216081999</v>
      </c>
      <c r="W32">
        <v>99</v>
      </c>
      <c r="X32">
        <v>7</v>
      </c>
      <c r="Y32">
        <f t="shared" si="15"/>
        <v>1185</v>
      </c>
      <c r="Z32" s="3">
        <f t="shared" si="13"/>
        <v>162789.6398231916</v>
      </c>
      <c r="AA32" s="3">
        <f t="shared" si="4"/>
        <v>50905.343463312594</v>
      </c>
      <c r="AE32" s="25"/>
    </row>
    <row r="33" spans="1:31">
      <c r="A33" s="77" t="s">
        <v>927</v>
      </c>
      <c r="B33" s="76">
        <f t="shared" si="14"/>
        <v>81066.255746874755</v>
      </c>
      <c r="C33" s="80">
        <f t="shared" si="16"/>
        <v>87787.523478339048</v>
      </c>
      <c r="D33" s="76">
        <f t="shared" si="5"/>
        <v>88666.006724582636</v>
      </c>
      <c r="E33" s="76">
        <f t="shared" si="6"/>
        <v>89553.293100721261</v>
      </c>
      <c r="F33" s="76">
        <f t="shared" si="7"/>
        <v>90449.470943804321</v>
      </c>
      <c r="G33" s="76">
        <f t="shared" si="8"/>
        <v>91354.629478566014</v>
      </c>
      <c r="H33" s="76">
        <f t="shared" si="9"/>
        <v>92268.858826278083</v>
      </c>
      <c r="I33" s="76">
        <f t="shared" si="10"/>
        <v>93192.250013902754</v>
      </c>
      <c r="J33" s="76">
        <f t="shared" si="11"/>
        <v>94124.894983070932</v>
      </c>
      <c r="K33" s="76">
        <f t="shared" si="12"/>
        <v>95066.886599402831</v>
      </c>
      <c r="L33" s="78">
        <f t="shared" si="1"/>
        <v>89553.293100721261</v>
      </c>
      <c r="M33" s="77" t="s">
        <v>943</v>
      </c>
      <c r="N33" s="77">
        <f>985-$AD$19</f>
        <v>727</v>
      </c>
      <c r="O33" s="77">
        <v>15</v>
      </c>
      <c r="P33" s="77">
        <f>$AI$2</f>
        <v>0.54</v>
      </c>
      <c r="Q33" s="77">
        <v>6</v>
      </c>
      <c r="R33" s="77">
        <f t="shared" si="2"/>
        <v>23.83606557377049</v>
      </c>
      <c r="S33" s="78">
        <v>100000</v>
      </c>
      <c r="T33" s="78">
        <v>85800</v>
      </c>
      <c r="U33" s="78">
        <f t="shared" si="3"/>
        <v>133358.57414695289</v>
      </c>
      <c r="W33">
        <v>99</v>
      </c>
      <c r="X33">
        <v>8</v>
      </c>
      <c r="Y33">
        <f t="shared" si="15"/>
        <v>1185</v>
      </c>
      <c r="Z33" s="3">
        <f t="shared" si="13"/>
        <v>166206.5265340638</v>
      </c>
      <c r="AA33" s="3">
        <f t="shared" si="4"/>
        <v>53150.8714521316</v>
      </c>
      <c r="AE33" s="25"/>
    </row>
    <row r="34" spans="1:31">
      <c r="A34" s="79" t="s">
        <v>901</v>
      </c>
      <c r="B34" s="76">
        <f t="shared" si="14"/>
        <v>93063.029105606183</v>
      </c>
      <c r="C34" s="80">
        <f t="shared" si="16"/>
        <v>94139.394017418657</v>
      </c>
      <c r="D34" s="76">
        <f t="shared" si="5"/>
        <v>94274.820378495206</v>
      </c>
      <c r="E34" s="76">
        <f t="shared" si="6"/>
        <v>94410.443418363648</v>
      </c>
      <c r="F34" s="76">
        <f t="shared" si="7"/>
        <v>94546.263425360958</v>
      </c>
      <c r="G34" s="76">
        <f t="shared" si="8"/>
        <v>94682.280688244296</v>
      </c>
      <c r="H34" s="76">
        <f t="shared" si="9"/>
        <v>94818.495496204647</v>
      </c>
      <c r="I34" s="76">
        <f t="shared" si="10"/>
        <v>94954.90813885571</v>
      </c>
      <c r="J34" s="76">
        <f t="shared" si="11"/>
        <v>95091.518906242025</v>
      </c>
      <c r="K34" s="76">
        <f t="shared" si="12"/>
        <v>95228.328088841183</v>
      </c>
      <c r="L34" s="80">
        <f t="shared" si="1"/>
        <v>94410.443418363648</v>
      </c>
      <c r="M34" s="79" t="s">
        <v>944</v>
      </c>
      <c r="N34" s="79">
        <f>363-$AD$19</f>
        <v>105</v>
      </c>
      <c r="O34" s="79">
        <v>0</v>
      </c>
      <c r="P34" s="79">
        <v>0</v>
      </c>
      <c r="Q34" s="79">
        <v>0</v>
      </c>
      <c r="R34" s="79">
        <f t="shared" si="2"/>
        <v>3.442622950819672</v>
      </c>
      <c r="S34" s="80">
        <v>100000</v>
      </c>
      <c r="T34" s="80">
        <v>82800</v>
      </c>
      <c r="U34" s="80">
        <f>B34*(1+$AC$2/36500)^N34</f>
        <v>100000</v>
      </c>
      <c r="W34">
        <v>99</v>
      </c>
      <c r="X34" s="9">
        <v>9</v>
      </c>
      <c r="Y34">
        <f t="shared" si="15"/>
        <v>1185</v>
      </c>
      <c r="Z34" s="3">
        <f>Z33*(1+($AC$2+0.1875)/1200)</f>
        <v>169695.13227329441</v>
      </c>
      <c r="AA34" s="3">
        <f t="shared" si="4"/>
        <v>55443.181274051007</v>
      </c>
      <c r="AE34" s="25"/>
    </row>
    <row r="35" spans="1:31">
      <c r="A35" s="75" t="s">
        <v>932</v>
      </c>
      <c r="B35" s="76">
        <f>$S35/(1+($B$1-$O35+$P35)/36500)^$N35</f>
        <v>85762.311489454893</v>
      </c>
      <c r="C35" s="80">
        <f t="shared" si="16"/>
        <v>95820.150731680144</v>
      </c>
      <c r="D35" s="76">
        <f t="shared" si="5"/>
        <v>97157.709397818995</v>
      </c>
      <c r="E35" s="76">
        <f t="shared" si="6"/>
        <v>98513.957824857382</v>
      </c>
      <c r="F35" s="76">
        <f t="shared" si="7"/>
        <v>99889.15742699735</v>
      </c>
      <c r="G35" s="76">
        <f t="shared" si="8"/>
        <v>101283.57327846868</v>
      </c>
      <c r="H35" s="76">
        <f t="shared" si="9"/>
        <v>102697.47416489084</v>
      </c>
      <c r="I35" s="76">
        <f t="shared" si="10"/>
        <v>104131.13263524249</v>
      </c>
      <c r="J35" s="76">
        <f t="shared" si="11"/>
        <v>105584.82505460805</v>
      </c>
      <c r="K35" s="76">
        <f t="shared" si="12"/>
        <v>107058.83165771188</v>
      </c>
      <c r="L35" s="76">
        <f t="shared" si="1"/>
        <v>98513.957824857382</v>
      </c>
      <c r="M35" s="75" t="s">
        <v>935</v>
      </c>
      <c r="N35" s="75">
        <f>1270-$AD$19</f>
        <v>1012</v>
      </c>
      <c r="O35" s="75">
        <v>20</v>
      </c>
      <c r="P35" s="75">
        <f>$AI$2</f>
        <v>0.54</v>
      </c>
      <c r="Q35" s="75">
        <v>6</v>
      </c>
      <c r="R35" s="75">
        <f t="shared" si="2"/>
        <v>33.180327868852459</v>
      </c>
      <c r="S35" s="76">
        <v>100000</v>
      </c>
      <c r="T35" s="76">
        <v>100000</v>
      </c>
      <c r="U35" s="76">
        <f t="shared" si="3"/>
        <v>171484.53075500517</v>
      </c>
      <c r="W35">
        <v>99</v>
      </c>
      <c r="X35">
        <v>10</v>
      </c>
      <c r="Y35">
        <f t="shared" si="15"/>
        <v>1185</v>
      </c>
      <c r="Z35" s="3">
        <f t="shared" si="13"/>
        <v>173256.96239340576</v>
      </c>
      <c r="AA35" s="3">
        <f t="shared" si="4"/>
        <v>57783.247550593733</v>
      </c>
      <c r="AE35" s="25"/>
    </row>
    <row r="36" spans="1:31">
      <c r="A36" s="106" t="s">
        <v>936</v>
      </c>
      <c r="B36" s="72">
        <f t="shared" si="14"/>
        <v>99079.811250926767</v>
      </c>
      <c r="C36" s="72">
        <f t="shared" si="16"/>
        <v>100127.64388689422</v>
      </c>
      <c r="D36" s="72">
        <f t="shared" si="5"/>
        <v>100259.40787033676</v>
      </c>
      <c r="E36" s="72">
        <f t="shared" si="6"/>
        <v>100391.34705853397</v>
      </c>
      <c r="F36" s="72">
        <f t="shared" si="7"/>
        <v>100523.46168685949</v>
      </c>
      <c r="G36" s="72">
        <f t="shared" si="8"/>
        <v>100655.75199100233</v>
      </c>
      <c r="H36" s="72">
        <f t="shared" si="9"/>
        <v>100788.21820697647</v>
      </c>
      <c r="I36" s="72">
        <f t="shared" si="10"/>
        <v>100920.86057111368</v>
      </c>
      <c r="J36" s="72">
        <f t="shared" si="11"/>
        <v>101053.67932006613</v>
      </c>
      <c r="K36" s="72">
        <f t="shared" si="12"/>
        <v>101186.67469080798</v>
      </c>
      <c r="L36" s="72">
        <f t="shared" si="1"/>
        <v>100391.34705853397</v>
      </c>
      <c r="M36" s="106" t="s">
        <v>937</v>
      </c>
      <c r="N36" s="106">
        <f>354-$AD$19</f>
        <v>96</v>
      </c>
      <c r="O36" s="106">
        <v>22</v>
      </c>
      <c r="P36" s="106">
        <f>AI1</f>
        <v>0.51500000000000001</v>
      </c>
      <c r="Q36" s="106">
        <v>3</v>
      </c>
      <c r="R36" s="106">
        <f t="shared" si="2"/>
        <v>3.1475409836065573</v>
      </c>
      <c r="S36" s="72">
        <v>100000</v>
      </c>
      <c r="T36" s="72">
        <v>103000</v>
      </c>
      <c r="U36" s="72">
        <f t="shared" si="3"/>
        <v>105811.2256387013</v>
      </c>
      <c r="W36">
        <v>99</v>
      </c>
      <c r="X36">
        <v>11</v>
      </c>
      <c r="Y36">
        <f t="shared" si="15"/>
        <v>1185</v>
      </c>
      <c r="Z36" s="3">
        <f t="shared" si="13"/>
        <v>176893.55384364235</v>
      </c>
      <c r="AA36" s="3">
        <f t="shared" si="4"/>
        <v>60172.065207897766</v>
      </c>
      <c r="AE36" s="25"/>
    </row>
    <row r="37" spans="1:31">
      <c r="A37" s="139" t="s">
        <v>958</v>
      </c>
      <c r="B37" s="140">
        <f t="shared" si="14"/>
        <v>94492.054919304806</v>
      </c>
      <c r="C37" s="140">
        <f t="shared" si="16"/>
        <v>100000</v>
      </c>
      <c r="D37" s="140">
        <f t="shared" si="5"/>
        <v>100710.73786634975</v>
      </c>
      <c r="E37" s="140">
        <f t="shared" si="6"/>
        <v>101426.53705614226</v>
      </c>
      <c r="F37" s="140">
        <f t="shared" si="7"/>
        <v>102147.43368228078</v>
      </c>
      <c r="G37" s="140">
        <f t="shared" si="8"/>
        <v>102873.46411580827</v>
      </c>
      <c r="H37" s="140">
        <f t="shared" si="9"/>
        <v>103604.66498782684</v>
      </c>
      <c r="I37" s="140">
        <f t="shared" si="10"/>
        <v>104341.07319128426</v>
      </c>
      <c r="J37" s="140">
        <f t="shared" si="11"/>
        <v>105082.72588289958</v>
      </c>
      <c r="K37" s="140">
        <f t="shared" si="12"/>
        <v>105829.66048502472</v>
      </c>
      <c r="L37" s="140">
        <f t="shared" si="1"/>
        <v>101426.53705614226</v>
      </c>
      <c r="M37" s="139" t="s">
        <v>959</v>
      </c>
      <c r="N37" s="139">
        <f>775-$AD$19</f>
        <v>517</v>
      </c>
      <c r="O37" s="139">
        <v>21</v>
      </c>
      <c r="P37" s="139">
        <v>0</v>
      </c>
      <c r="Q37" s="139">
        <v>1</v>
      </c>
      <c r="R37" s="139">
        <f t="shared" si="2"/>
        <v>16.950819672131146</v>
      </c>
      <c r="S37" s="140">
        <v>100000</v>
      </c>
      <c r="T37" s="140">
        <v>104000</v>
      </c>
      <c r="U37" s="140">
        <f t="shared" si="3"/>
        <v>134626.48014818403</v>
      </c>
      <c r="W37">
        <v>99</v>
      </c>
      <c r="X37">
        <v>12</v>
      </c>
      <c r="Y37">
        <f t="shared" si="15"/>
        <v>1185</v>
      </c>
      <c r="Z37" s="3">
        <f t="shared" si="13"/>
        <v>180606.47583317297</v>
      </c>
      <c r="AA37" s="3">
        <f t="shared" si="4"/>
        <v>62610.649899728967</v>
      </c>
      <c r="AE37" s="25"/>
    </row>
    <row r="38" spans="1:31">
      <c r="A38" s="73" t="s">
        <v>1007</v>
      </c>
      <c r="B38" s="74">
        <f t="shared" si="14"/>
        <v>77800.42923926728</v>
      </c>
      <c r="C38" s="74">
        <f t="shared" si="16"/>
        <v>87506.661683618819</v>
      </c>
      <c r="D38" s="74">
        <f t="shared" si="5"/>
        <v>88802.235722855723</v>
      </c>
      <c r="E38" s="74">
        <f t="shared" si="6"/>
        <v>90117.009438225054</v>
      </c>
      <c r="F38" s="74">
        <f t="shared" si="7"/>
        <v>91451.267626892921</v>
      </c>
      <c r="G38" s="74">
        <f t="shared" si="8"/>
        <v>92805.299314607139</v>
      </c>
      <c r="H38" s="74">
        <f t="shared" si="9"/>
        <v>94179.397818478858</v>
      </c>
      <c r="I38" s="74">
        <f t="shared" si="10"/>
        <v>95573.860810634258</v>
      </c>
      <c r="J38" s="74">
        <f t="shared" si="11"/>
        <v>96988.990383207973</v>
      </c>
      <c r="K38" s="74">
        <f t="shared" si="12"/>
        <v>98425.093113750365</v>
      </c>
      <c r="L38" s="74">
        <f t="shared" si="1"/>
        <v>90117.009438225054</v>
      </c>
      <c r="M38" s="73" t="s">
        <v>1008</v>
      </c>
      <c r="N38" s="73">
        <f>1331-$AD$19</f>
        <v>1073</v>
      </c>
      <c r="O38" s="73">
        <v>17</v>
      </c>
      <c r="P38" s="73">
        <f>AI2</f>
        <v>0.54</v>
      </c>
      <c r="Q38" s="73">
        <v>6</v>
      </c>
      <c r="R38" s="73">
        <f t="shared" si="2"/>
        <v>35.180327868852459</v>
      </c>
      <c r="S38" s="74">
        <v>100000</v>
      </c>
      <c r="T38" s="74"/>
      <c r="U38" s="74">
        <f t="shared" si="3"/>
        <v>162199.47115531887</v>
      </c>
      <c r="W38">
        <v>100</v>
      </c>
      <c r="X38">
        <v>1</v>
      </c>
      <c r="Y38">
        <f t="shared" si="15"/>
        <v>1185</v>
      </c>
      <c r="Z38" s="3">
        <f t="shared" si="13"/>
        <v>184397.330508213</v>
      </c>
      <c r="AA38" s="3">
        <f t="shared" si="4"/>
        <v>65100.038439306649</v>
      </c>
      <c r="AE38" s="25"/>
    </row>
    <row r="39" spans="1:31">
      <c r="W39">
        <v>100</v>
      </c>
      <c r="X39">
        <v>2</v>
      </c>
      <c r="Y39">
        <f t="shared" si="15"/>
        <v>1185</v>
      </c>
      <c r="Z39" s="3">
        <f t="shared" si="13"/>
        <v>188267.75364335935</v>
      </c>
      <c r="AA39" s="3">
        <f t="shared" si="4"/>
        <v>67641.289240125538</v>
      </c>
      <c r="AE39" s="25"/>
    </row>
    <row r="40" spans="1:31">
      <c r="B40" s="127" t="s">
        <v>3997</v>
      </c>
      <c r="W40">
        <v>100</v>
      </c>
      <c r="X40">
        <v>3</v>
      </c>
      <c r="Y40">
        <f t="shared" si="15"/>
        <v>1185</v>
      </c>
      <c r="Z40" s="3">
        <f t="shared" si="13"/>
        <v>192219.41534743612</v>
      </c>
      <c r="AA40" s="3">
        <f t="shared" si="4"/>
        <v>70235.482765961482</v>
      </c>
      <c r="AE40" s="25"/>
    </row>
    <row r="41" spans="1:31">
      <c r="W41">
        <v>100</v>
      </c>
      <c r="X41">
        <v>4</v>
      </c>
      <c r="Y41">
        <f t="shared" si="15"/>
        <v>1185</v>
      </c>
      <c r="Z41" s="3">
        <f t="shared" si="13"/>
        <v>196254.02078415576</v>
      </c>
      <c r="AA41" s="3">
        <f t="shared" si="4"/>
        <v>72883.721990252336</v>
      </c>
      <c r="AE41" s="25"/>
    </row>
    <row r="42" spans="1:31">
      <c r="W42">
        <v>100</v>
      </c>
      <c r="X42">
        <v>5</v>
      </c>
      <c r="Y42">
        <f t="shared" si="15"/>
        <v>1185</v>
      </c>
      <c r="Z42" s="3">
        <f t="shared" si="13"/>
        <v>200373.31090790653</v>
      </c>
      <c r="AA42" s="3">
        <f t="shared" si="4"/>
        <v>75587.132865049251</v>
      </c>
      <c r="AE42" s="25"/>
    </row>
    <row r="43" spans="1:31">
      <c r="W43">
        <v>100</v>
      </c>
      <c r="X43" s="9">
        <v>6</v>
      </c>
      <c r="Y43">
        <f t="shared" si="15"/>
        <v>1185</v>
      </c>
      <c r="Z43" s="3">
        <f t="shared" si="13"/>
        <v>204579.06321498394</v>
      </c>
      <c r="AA43" s="3">
        <f t="shared" si="4"/>
        <v>78346.86479973777</v>
      </c>
      <c r="AE43" s="25"/>
    </row>
    <row r="44" spans="1:31">
      <c r="F44" t="s">
        <v>25</v>
      </c>
      <c r="W44">
        <v>100</v>
      </c>
      <c r="X44">
        <v>7</v>
      </c>
      <c r="Y44">
        <f t="shared" si="15"/>
        <v>1185</v>
      </c>
      <c r="Z44" s="3">
        <f t="shared" si="13"/>
        <v>208873.0925105901</v>
      </c>
      <c r="AA44" s="3">
        <f t="shared" si="4"/>
        <v>81164.091149732296</v>
      </c>
      <c r="AE44" s="25"/>
    </row>
    <row r="45" spans="1:31">
      <c r="M45" t="s">
        <v>25</v>
      </c>
      <c r="W45">
        <v>100</v>
      </c>
      <c r="X45">
        <v>8</v>
      </c>
      <c r="Y45">
        <f t="shared" si="15"/>
        <v>1185</v>
      </c>
      <c r="Z45" s="3">
        <f t="shared" si="13"/>
        <v>213257.25169193218</v>
      </c>
      <c r="AA45" s="3">
        <f t="shared" si="4"/>
        <v>84040.009715351713</v>
      </c>
      <c r="AE45" s="25"/>
    </row>
    <row r="46" spans="1:31">
      <c r="H46" t="s">
        <v>25</v>
      </c>
      <c r="W46">
        <v>100</v>
      </c>
      <c r="X46">
        <v>9</v>
      </c>
      <c r="Y46">
        <f t="shared" si="15"/>
        <v>1185</v>
      </c>
      <c r="Z46" s="3">
        <f t="shared" si="13"/>
        <v>217733.43254775763</v>
      </c>
      <c r="AA46" s="3">
        <f t="shared" si="4"/>
        <v>86975.843251088198</v>
      </c>
      <c r="AE46" s="25"/>
    </row>
    <row r="47" spans="1:31">
      <c r="W47">
        <v>100</v>
      </c>
      <c r="X47">
        <v>10</v>
      </c>
      <c r="Y47">
        <f t="shared" si="15"/>
        <v>1185</v>
      </c>
      <c r="Z47" s="3">
        <f t="shared" si="13"/>
        <v>222303.56657467151</v>
      </c>
      <c r="AA47" s="3">
        <f t="shared" si="4"/>
        <v>89972.839985485858</v>
      </c>
      <c r="AE47" s="25"/>
    </row>
    <row r="48" spans="1:31">
      <c r="W48">
        <v>100</v>
      </c>
      <c r="X48">
        <v>11</v>
      </c>
      <c r="Y48">
        <f t="shared" si="15"/>
        <v>1185</v>
      </c>
      <c r="Z48" s="3">
        <f t="shared" si="13"/>
        <v>226969.62581058778</v>
      </c>
      <c r="AA48" s="3">
        <f t="shared" si="4"/>
        <v>93032.274151850143</v>
      </c>
      <c r="AE48" s="25"/>
    </row>
    <row r="49" spans="1:31">
      <c r="W49">
        <v>100</v>
      </c>
      <c r="X49">
        <v>12</v>
      </c>
      <c r="Y49">
        <f t="shared" si="15"/>
        <v>1185</v>
      </c>
      <c r="Z49" s="3">
        <f t="shared" si="13"/>
        <v>231733.6236856746</v>
      </c>
      <c r="AA49" s="3">
        <f t="shared" si="4"/>
        <v>96155.44653001368</v>
      </c>
      <c r="AE49" s="25"/>
    </row>
    <row r="50" spans="1:31">
      <c r="D50" t="s">
        <v>1067</v>
      </c>
      <c r="E50">
        <v>7.2499999999999995E-2</v>
      </c>
      <c r="AE50" s="25"/>
    </row>
    <row r="51" spans="1:31">
      <c r="D51" t="s">
        <v>1068</v>
      </c>
      <c r="E51">
        <v>7.2499999999999995E-2</v>
      </c>
      <c r="AE51" s="25"/>
    </row>
    <row r="52" spans="1:31">
      <c r="D52" t="s">
        <v>1069</v>
      </c>
      <c r="E52">
        <v>0.125</v>
      </c>
      <c r="AE52" s="25"/>
    </row>
    <row r="53" spans="1:31">
      <c r="D53" t="s">
        <v>3746</v>
      </c>
      <c r="E53">
        <v>0.49</v>
      </c>
      <c r="AE53" s="25"/>
    </row>
    <row r="54" spans="1:31">
      <c r="D54" t="s">
        <v>3747</v>
      </c>
      <c r="E54">
        <v>1.03</v>
      </c>
      <c r="H54">
        <v>120377</v>
      </c>
      <c r="I54" s="76">
        <v>72.585300000000004</v>
      </c>
      <c r="J54" s="76">
        <f>H54*I54</f>
        <v>8737600.6580999997</v>
      </c>
      <c r="AE54" s="25"/>
    </row>
    <row r="55" spans="1:31">
      <c r="H55">
        <v>25183</v>
      </c>
      <c r="I55" s="76">
        <v>71.859800000000007</v>
      </c>
      <c r="J55" s="76">
        <f>H55*I55</f>
        <v>1809645.3434000001</v>
      </c>
      <c r="AE55" s="25"/>
    </row>
    <row r="56" spans="1:31">
      <c r="AE56" s="25"/>
    </row>
    <row r="57" spans="1:31">
      <c r="H57">
        <v>145560</v>
      </c>
      <c r="I57">
        <v>72.252300000000005</v>
      </c>
      <c r="J57">
        <f>H57*I57</f>
        <v>10517044.788000001</v>
      </c>
      <c r="L57" s="7">
        <f>J54+J55-J57</f>
        <v>30201.213499998674</v>
      </c>
      <c r="AE57" s="25"/>
    </row>
    <row r="58" spans="1:31">
      <c r="AE58" s="25"/>
    </row>
    <row r="59" spans="1:31">
      <c r="AE59" s="25"/>
    </row>
    <row r="60" spans="1:31">
      <c r="AE60" s="25"/>
    </row>
    <row r="61" spans="1:31">
      <c r="AE61" s="25"/>
    </row>
    <row r="62" spans="1:31">
      <c r="AE62" s="25"/>
    </row>
    <row r="63" spans="1:31">
      <c r="A63">
        <v>605</v>
      </c>
      <c r="B63" t="s">
        <v>4170</v>
      </c>
      <c r="AE63" s="25"/>
    </row>
    <row r="64" spans="1:31">
      <c r="A64">
        <v>611</v>
      </c>
      <c r="B64" t="s">
        <v>4162</v>
      </c>
      <c r="AE64" s="25"/>
    </row>
    <row r="65" spans="1:31">
      <c r="AE65" s="25"/>
    </row>
    <row r="66" spans="1:31">
      <c r="A66">
        <v>701</v>
      </c>
      <c r="B66" t="s">
        <v>4163</v>
      </c>
      <c r="AE66" s="25"/>
    </row>
    <row r="67" spans="1:31">
      <c r="A67">
        <v>702</v>
      </c>
      <c r="B67" t="s">
        <v>4164</v>
      </c>
      <c r="AE67" s="25"/>
    </row>
    <row r="68" spans="1:31">
      <c r="A68">
        <v>704</v>
      </c>
      <c r="B68" t="s">
        <v>4165</v>
      </c>
      <c r="AE68" s="25"/>
    </row>
    <row r="69" spans="1:31">
      <c r="A69">
        <v>705</v>
      </c>
      <c r="B69" t="s">
        <v>4166</v>
      </c>
      <c r="AE69" s="25"/>
    </row>
    <row r="70" spans="1:31">
      <c r="A70">
        <v>706</v>
      </c>
      <c r="B70" t="s">
        <v>4167</v>
      </c>
      <c r="AE70" s="25"/>
    </row>
    <row r="71" spans="1:31">
      <c r="A71">
        <v>711</v>
      </c>
      <c r="B71" t="s">
        <v>4168</v>
      </c>
      <c r="R71" s="25"/>
      <c r="S71" s="25"/>
      <c r="T71" s="25"/>
      <c r="AE71" s="25"/>
    </row>
    <row r="72" spans="1:31">
      <c r="A72">
        <v>712</v>
      </c>
      <c r="B72" t="s">
        <v>4169</v>
      </c>
      <c r="AE72" s="25"/>
    </row>
    <row r="73" spans="1:31">
      <c r="AE73" s="25"/>
    </row>
    <row r="74" spans="1:31">
      <c r="S74" t="s">
        <v>25</v>
      </c>
      <c r="AE74" s="25"/>
    </row>
    <row r="75" spans="1:31">
      <c r="T75" t="s">
        <v>25</v>
      </c>
      <c r="AE75" s="25"/>
    </row>
    <row r="76" spans="1:31">
      <c r="AE76" s="25"/>
    </row>
    <row r="77" spans="1:31">
      <c r="AE77" s="25"/>
    </row>
    <row r="78" spans="1:31">
      <c r="AE78" s="25"/>
    </row>
    <row r="79" spans="1:31">
      <c r="AE79" s="25"/>
    </row>
    <row r="80" spans="1:31">
      <c r="AE80" s="25"/>
    </row>
    <row r="81" spans="31:31">
      <c r="AE81" s="25"/>
    </row>
    <row r="82" spans="31:31">
      <c r="AE82" s="25"/>
    </row>
    <row r="83" spans="31:31">
      <c r="AE83" s="25"/>
    </row>
    <row r="84" spans="31:31">
      <c r="AE84" s="25"/>
    </row>
    <row r="85" spans="31:31">
      <c r="AE85" s="25"/>
    </row>
    <row r="86" spans="31:31">
      <c r="AE86" s="25"/>
    </row>
    <row r="87" spans="31:31">
      <c r="AE87" s="25"/>
    </row>
    <row r="88" spans="31:31">
      <c r="AE88" s="25"/>
    </row>
    <row r="89" spans="31:31">
      <c r="AE89" s="25"/>
    </row>
    <row r="90" spans="31:31">
      <c r="AE90" s="25"/>
    </row>
    <row r="91" spans="31:31">
      <c r="AE91" s="25"/>
    </row>
    <row r="92" spans="31:31">
      <c r="AE92" s="25"/>
    </row>
    <row r="93" spans="31:31">
      <c r="AE93" s="25"/>
    </row>
    <row r="94" spans="31:31">
      <c r="AE94" s="25"/>
    </row>
    <row r="95" spans="31:31">
      <c r="AE95" s="25"/>
    </row>
    <row r="96" spans="31:31">
      <c r="AE96" s="25"/>
    </row>
    <row r="97" spans="31:31">
      <c r="AE97" s="25"/>
    </row>
    <row r="98" spans="31:31">
      <c r="AE98" s="25"/>
    </row>
    <row r="99" spans="31:31">
      <c r="AE99" s="25"/>
    </row>
    <row r="100" spans="31:31">
      <c r="AE100" s="25"/>
    </row>
    <row r="101" spans="31:31">
      <c r="AE101" s="25"/>
    </row>
    <row r="102" spans="31:31">
      <c r="AE102" s="25"/>
    </row>
    <row r="103" spans="31:31">
      <c r="AE103" s="25"/>
    </row>
    <row r="104" spans="31:31">
      <c r="AE104" s="25"/>
    </row>
    <row r="105" spans="31:31">
      <c r="AE105" s="25"/>
    </row>
    <row r="106" spans="31:31">
      <c r="AE106" s="25"/>
    </row>
    <row r="107" spans="31:31">
      <c r="AE107" s="25"/>
    </row>
    <row r="108" spans="31:31">
      <c r="AE108" s="25"/>
    </row>
    <row r="109" spans="31:31">
      <c r="AE109" s="25"/>
    </row>
    <row r="110" spans="31:31">
      <c r="AE110" s="25"/>
    </row>
    <row r="111" spans="31:31">
      <c r="AE111" s="25"/>
    </row>
    <row r="112" spans="31:31">
      <c r="AE112" s="25"/>
    </row>
    <row r="113" spans="31:31">
      <c r="AE113" s="25"/>
    </row>
    <row r="114" spans="31:31">
      <c r="AE114" s="25"/>
    </row>
    <row r="115" spans="31:31">
      <c r="AE115" s="25"/>
    </row>
    <row r="116" spans="31:31">
      <c r="AE116" s="25"/>
    </row>
    <row r="117" spans="31:31">
      <c r="AE117" s="25"/>
    </row>
    <row r="118" spans="31:31">
      <c r="AE118" s="25"/>
    </row>
    <row r="119" spans="31:31">
      <c r="AE119" s="25"/>
    </row>
    <row r="120" spans="31:31">
      <c r="AE120" s="25"/>
    </row>
    <row r="121" spans="31:31">
      <c r="AE121" s="25"/>
    </row>
    <row r="122" spans="31:31">
      <c r="AE122" s="25"/>
    </row>
    <row r="123" spans="31:31">
      <c r="AE123" s="25"/>
    </row>
    <row r="124" spans="31:31">
      <c r="AE124" s="25"/>
    </row>
    <row r="125" spans="31:31">
      <c r="AE125" s="25"/>
    </row>
    <row r="126" spans="31:31">
      <c r="AE126" s="25"/>
    </row>
    <row r="127" spans="31:31">
      <c r="AE127" s="25"/>
    </row>
    <row r="128" spans="31:31">
      <c r="AE128" s="25"/>
    </row>
    <row r="129" spans="31:31">
      <c r="AE129" s="25"/>
    </row>
    <row r="130" spans="31:31">
      <c r="AE130" s="25"/>
    </row>
    <row r="131" spans="31:31">
      <c r="AE131" s="25"/>
    </row>
    <row r="132" spans="31:31">
      <c r="AE132" s="25"/>
    </row>
    <row r="133" spans="31:31">
      <c r="AE133" s="25"/>
    </row>
    <row r="134" spans="31:31">
      <c r="AE134" s="25"/>
    </row>
    <row r="135" spans="31:31">
      <c r="AE135" s="25"/>
    </row>
    <row r="136" spans="31:31">
      <c r="AE136" s="25"/>
    </row>
    <row r="137" spans="31:31">
      <c r="AE137" s="25"/>
    </row>
    <row r="138" spans="31:31">
      <c r="AE138" s="25"/>
    </row>
    <row r="139" spans="31:31">
      <c r="AE139" s="25"/>
    </row>
    <row r="140" spans="31:31">
      <c r="AE140" s="25"/>
    </row>
    <row r="141" spans="31:31">
      <c r="AE141" s="25"/>
    </row>
    <row r="142" spans="31:31">
      <c r="AE142" s="25"/>
    </row>
    <row r="143" spans="31:31">
      <c r="AE143" s="25"/>
    </row>
    <row r="144" spans="31:31">
      <c r="AE144" s="25"/>
    </row>
    <row r="145" spans="31:31">
      <c r="AE145" s="25"/>
    </row>
    <row r="146" spans="31:31">
      <c r="AE146" s="25"/>
    </row>
    <row r="147" spans="31:31">
      <c r="AE147" s="25"/>
    </row>
    <row r="148" spans="31:31">
      <c r="AE148" s="25"/>
    </row>
    <row r="149" spans="31:31">
      <c r="AE149" s="25"/>
    </row>
    <row r="150" spans="31:31">
      <c r="AE150" s="25"/>
    </row>
    <row r="151" spans="31:31">
      <c r="AE151" s="25"/>
    </row>
    <row r="152" spans="31:31">
      <c r="AE152" s="25"/>
    </row>
    <row r="153" spans="31:31">
      <c r="AE153" s="25"/>
    </row>
    <row r="154" spans="31:31">
      <c r="AE154" s="25"/>
    </row>
    <row r="155" spans="31:31">
      <c r="AE155" s="25"/>
    </row>
    <row r="156" spans="31:31">
      <c r="AE156" s="25"/>
    </row>
    <row r="157" spans="31:31">
      <c r="AE157" s="25"/>
    </row>
    <row r="158" spans="31:31">
      <c r="AE158" s="25"/>
    </row>
    <row r="159" spans="31:31">
      <c r="AE159" s="25"/>
    </row>
    <row r="160" spans="31:31">
      <c r="AE160" s="25"/>
    </row>
    <row r="161" spans="31:31">
      <c r="AE161" s="25"/>
    </row>
    <row r="162" spans="31:31">
      <c r="AE162" s="25"/>
    </row>
    <row r="163" spans="31:31">
      <c r="AE163" s="25"/>
    </row>
    <row r="164" spans="31:31">
      <c r="AE164" s="25"/>
    </row>
    <row r="165" spans="31:31">
      <c r="AE165" s="25"/>
    </row>
    <row r="166" spans="31:31">
      <c r="AE166" s="25"/>
    </row>
    <row r="167" spans="31:31">
      <c r="AE167" s="25"/>
    </row>
    <row r="168" spans="31:31">
      <c r="AE168" s="25"/>
    </row>
    <row r="169" spans="31:31">
      <c r="AE169" s="25"/>
    </row>
    <row r="170" spans="31:31">
      <c r="AE170" s="25"/>
    </row>
    <row r="171" spans="31:31">
      <c r="AE171" s="25"/>
    </row>
    <row r="172" spans="31:31">
      <c r="AE172" s="25"/>
    </row>
    <row r="173" spans="31:31">
      <c r="AE173" s="25"/>
    </row>
    <row r="174" spans="31:31">
      <c r="AE174" s="25"/>
    </row>
    <row r="175" spans="31:31">
      <c r="AE175" s="25"/>
    </row>
    <row r="176" spans="31:31">
      <c r="AE176" s="25"/>
    </row>
    <row r="177" spans="31:31">
      <c r="AE177" s="25"/>
    </row>
    <row r="178" spans="31:31">
      <c r="AE178" s="25"/>
    </row>
    <row r="179" spans="31:31">
      <c r="AE179" s="25"/>
    </row>
    <row r="180" spans="31:31">
      <c r="AE180" s="25"/>
    </row>
    <row r="181" spans="31:31">
      <c r="AE181" s="25"/>
    </row>
    <row r="182" spans="31:31">
      <c r="AE182" s="25"/>
    </row>
    <row r="183" spans="31:31">
      <c r="AE183" s="25"/>
    </row>
    <row r="184" spans="31:31">
      <c r="AE184" s="25"/>
    </row>
    <row r="185" spans="31:31">
      <c r="AE185" s="25"/>
    </row>
    <row r="186" spans="31:31">
      <c r="AE186" s="25"/>
    </row>
    <row r="187" spans="31:31">
      <c r="AE187" s="25"/>
    </row>
    <row r="188" spans="31:31">
      <c r="AE188" s="25"/>
    </row>
    <row r="189" spans="31:31">
      <c r="AE189" s="25"/>
    </row>
    <row r="190" spans="31:31">
      <c r="AE190" s="25"/>
    </row>
    <row r="191" spans="31:31">
      <c r="AE191" s="25"/>
    </row>
    <row r="192" spans="31:31">
      <c r="AE192" s="25"/>
    </row>
    <row r="193" spans="31:32">
      <c r="AE193" s="25"/>
    </row>
    <row r="194" spans="31:32">
      <c r="AE194" s="25"/>
    </row>
    <row r="195" spans="31:32">
      <c r="AE195" s="25"/>
    </row>
    <row r="196" spans="31:32">
      <c r="AE196" s="25"/>
    </row>
    <row r="197" spans="31:32">
      <c r="AE197" s="25"/>
    </row>
    <row r="198" spans="31:32">
      <c r="AE198" s="25"/>
    </row>
    <row r="199" spans="31:32">
      <c r="AE199" s="25"/>
    </row>
    <row r="200" spans="31:32">
      <c r="AE200" s="25"/>
    </row>
    <row r="201" spans="31:32">
      <c r="AE201" s="25"/>
    </row>
    <row r="202" spans="31:32">
      <c r="AE202" s="25"/>
    </row>
    <row r="203" spans="31:32">
      <c r="AE203" s="25"/>
    </row>
    <row r="204" spans="31:32">
      <c r="AE204" s="25"/>
    </row>
    <row r="205" spans="31:32">
      <c r="AF205" s="25"/>
    </row>
    <row r="206" spans="31:32">
      <c r="AF206" s="25"/>
    </row>
    <row r="207" spans="31:32">
      <c r="AF207" s="25"/>
    </row>
    <row r="208" spans="31:32">
      <c r="AF208" s="25"/>
    </row>
    <row r="209" spans="32:32">
      <c r="AF209" s="25"/>
    </row>
    <row r="210" spans="32:32">
      <c r="AF210" s="25"/>
    </row>
    <row r="211" spans="32:32">
      <c r="AF211" s="25"/>
    </row>
    <row r="212" spans="32:32">
      <c r="AF212" s="25"/>
    </row>
    <row r="213" spans="32:32">
      <c r="AF213" s="25"/>
    </row>
    <row r="214" spans="32:32">
      <c r="AF214" s="25"/>
    </row>
    <row r="215" spans="32:32">
      <c r="AF215" s="25"/>
    </row>
    <row r="216" spans="32:32">
      <c r="AF216" s="25"/>
    </row>
    <row r="217" spans="32:32">
      <c r="AF217" s="25"/>
    </row>
    <row r="218" spans="32:32">
      <c r="AF218" s="25"/>
    </row>
    <row r="219" spans="32:32">
      <c r="AF219" s="25"/>
    </row>
    <row r="220" spans="32:32">
      <c r="AF220" s="25"/>
    </row>
    <row r="221" spans="32:32">
      <c r="AF221" s="25"/>
    </row>
    <row r="222" spans="32:32">
      <c r="AF222" s="25"/>
    </row>
    <row r="223" spans="32:32">
      <c r="AF223" s="25"/>
    </row>
    <row r="224" spans="32:32">
      <c r="AF224" s="25"/>
    </row>
    <row r="225" spans="32:32">
      <c r="AF225" s="25"/>
    </row>
    <row r="226" spans="32:32">
      <c r="AF226" s="25"/>
    </row>
    <row r="227" spans="32:32">
      <c r="AF227" s="25"/>
    </row>
    <row r="228" spans="32:32">
      <c r="AF228" s="25"/>
    </row>
    <row r="229" spans="32:32">
      <c r="AF229" s="25"/>
    </row>
    <row r="230" spans="32:32">
      <c r="AF230" s="25"/>
    </row>
    <row r="231" spans="32:32">
      <c r="AF231" s="25"/>
    </row>
    <row r="232" spans="32:32">
      <c r="AF232" s="25"/>
    </row>
    <row r="233" spans="32:32">
      <c r="AF233" s="25"/>
    </row>
    <row r="234" spans="32:32">
      <c r="AF234" s="25"/>
    </row>
    <row r="235" spans="32:32">
      <c r="AF235" s="25"/>
    </row>
    <row r="236" spans="32:32">
      <c r="AF236" s="25"/>
    </row>
    <row r="237" spans="32:32">
      <c r="AF237" s="25"/>
    </row>
    <row r="238" spans="32:32">
      <c r="AF238" s="25"/>
    </row>
    <row r="239" spans="32:32">
      <c r="AF239" s="25"/>
    </row>
    <row r="240" spans="32:32">
      <c r="AF240" s="25"/>
    </row>
    <row r="241" spans="32:32">
      <c r="AF241" s="25"/>
    </row>
    <row r="242" spans="32:32">
      <c r="AF242" s="25"/>
    </row>
    <row r="243" spans="32:32">
      <c r="AF243" s="25"/>
    </row>
    <row r="244" spans="32:32">
      <c r="AF244" s="25"/>
    </row>
    <row r="245" spans="32:32">
      <c r="AF245" s="25"/>
    </row>
    <row r="246" spans="32:32">
      <c r="AF246" s="25"/>
    </row>
    <row r="247" spans="32:32">
      <c r="AF247" s="25"/>
    </row>
    <row r="248" spans="32:32">
      <c r="AF248" s="25"/>
    </row>
    <row r="249" spans="32:32">
      <c r="AF249" s="25"/>
    </row>
    <row r="250" spans="32:32">
      <c r="AF250" s="25"/>
    </row>
    <row r="251" spans="32:32">
      <c r="AF251" s="25"/>
    </row>
    <row r="252" spans="32:32">
      <c r="AF252" s="25"/>
    </row>
    <row r="253" spans="32:32">
      <c r="AF253" s="25"/>
    </row>
    <row r="254" spans="32:32">
      <c r="AF254" s="25"/>
    </row>
    <row r="255" spans="32:32">
      <c r="AF255" s="25"/>
    </row>
    <row r="256" spans="32:32">
      <c r="AF256" s="25"/>
    </row>
    <row r="257" spans="32:32">
      <c r="AF257" s="25"/>
    </row>
    <row r="258" spans="32:32">
      <c r="AF258" s="25"/>
    </row>
    <row r="259" spans="32:32">
      <c r="AF259" s="25"/>
    </row>
    <row r="260" spans="32:32">
      <c r="AF260" s="25"/>
    </row>
    <row r="261" spans="32:32">
      <c r="AF261" s="25"/>
    </row>
    <row r="262" spans="32:32">
      <c r="AF262" s="25"/>
    </row>
    <row r="263" spans="32:32">
      <c r="AF263" s="25"/>
    </row>
    <row r="264" spans="32:32">
      <c r="AF264" s="25"/>
    </row>
    <row r="265" spans="32:32">
      <c r="AF265" s="25"/>
    </row>
    <row r="266" spans="32:32">
      <c r="AF266" s="25"/>
    </row>
    <row r="267" spans="32:32">
      <c r="AF267" s="25"/>
    </row>
    <row r="268" spans="32:32">
      <c r="AF268" s="25"/>
    </row>
    <row r="269" spans="32:32">
      <c r="AF269" s="25"/>
    </row>
    <row r="270" spans="32:32">
      <c r="AF270" s="25"/>
    </row>
    <row r="271" spans="32:32">
      <c r="AF271" s="25"/>
    </row>
    <row r="272" spans="32:32">
      <c r="AF272" s="25"/>
    </row>
    <row r="273" spans="32:32">
      <c r="AF273" s="25"/>
    </row>
    <row r="274" spans="32:32">
      <c r="AF274" s="25"/>
    </row>
    <row r="275" spans="32:32">
      <c r="AF275" s="25"/>
    </row>
    <row r="276" spans="32:32">
      <c r="AF276" s="25"/>
    </row>
    <row r="277" spans="32:32">
      <c r="AF277" s="25"/>
    </row>
    <row r="278" spans="32:32">
      <c r="AF278" s="25"/>
    </row>
    <row r="279" spans="32:32">
      <c r="AF279" s="25"/>
    </row>
    <row r="280" spans="32:32">
      <c r="AF280" s="25"/>
    </row>
    <row r="281" spans="32:32">
      <c r="AF281" s="25"/>
    </row>
    <row r="282" spans="32:32">
      <c r="AF282" s="25"/>
    </row>
    <row r="283" spans="32:32">
      <c r="AF283" s="25"/>
    </row>
    <row r="284" spans="32:32">
      <c r="AF284" s="25"/>
    </row>
    <row r="285" spans="32:32">
      <c r="AF285" s="25"/>
    </row>
    <row r="286" spans="32:32">
      <c r="AF286" s="25"/>
    </row>
    <row r="287" spans="32:32">
      <c r="AF287" s="25"/>
    </row>
    <row r="288" spans="32:32">
      <c r="AF288" s="25"/>
    </row>
    <row r="289" spans="32:32">
      <c r="AF289" s="25"/>
    </row>
    <row r="290" spans="32:32">
      <c r="AF290" s="25"/>
    </row>
    <row r="291" spans="32:32">
      <c r="AF291" s="25"/>
    </row>
    <row r="292" spans="32:32">
      <c r="AF292" s="25"/>
    </row>
    <row r="293" spans="32:32">
      <c r="AF293" s="25"/>
    </row>
    <row r="294" spans="32:32">
      <c r="AF294" s="25"/>
    </row>
    <row r="295" spans="32:32">
      <c r="AF295" s="25"/>
    </row>
    <row r="296" spans="32:32">
      <c r="AF296" s="25"/>
    </row>
    <row r="297" spans="32:32">
      <c r="AF297" s="25"/>
    </row>
    <row r="298" spans="32:32">
      <c r="AF298" s="25"/>
    </row>
    <row r="299" spans="32:32">
      <c r="AF299" s="25"/>
    </row>
    <row r="300" spans="32:32">
      <c r="AF300" s="25"/>
    </row>
    <row r="301" spans="32:32">
      <c r="AF301" s="25"/>
    </row>
    <row r="302" spans="32:32">
      <c r="AF302" s="25"/>
    </row>
    <row r="303" spans="32:32">
      <c r="AF303" s="25"/>
    </row>
    <row r="304" spans="32:32">
      <c r="AF304" s="25"/>
    </row>
    <row r="305" spans="32:32">
      <c r="AF305" s="25"/>
    </row>
    <row r="306" spans="32:32">
      <c r="AF306" s="25"/>
    </row>
    <row r="307" spans="32:32">
      <c r="AF307" s="25"/>
    </row>
    <row r="308" spans="32:32">
      <c r="AF308" s="25"/>
    </row>
    <row r="309" spans="32:32">
      <c r="AF309" s="25"/>
    </row>
    <row r="310" spans="32:32">
      <c r="AF310" s="25"/>
    </row>
    <row r="311" spans="32:32">
      <c r="AF311" s="25"/>
    </row>
    <row r="312" spans="32:32">
      <c r="AF312" s="25"/>
    </row>
    <row r="313" spans="32:32">
      <c r="AF313" s="25"/>
    </row>
    <row r="314" spans="32:32">
      <c r="AF314" s="25"/>
    </row>
    <row r="315" spans="32:32">
      <c r="AF315" s="25"/>
    </row>
    <row r="316" spans="32:32">
      <c r="AF316" s="25"/>
    </row>
    <row r="317" spans="32:32">
      <c r="AF317" s="25"/>
    </row>
    <row r="318" spans="32:32">
      <c r="AF318" s="25"/>
    </row>
    <row r="319" spans="32:32">
      <c r="AF319" s="25"/>
    </row>
    <row r="320" spans="32:32">
      <c r="AF320" s="25"/>
    </row>
    <row r="321" spans="32:32">
      <c r="AF321" s="25"/>
    </row>
    <row r="322" spans="32:32">
      <c r="AF322" s="25"/>
    </row>
    <row r="323" spans="32:32">
      <c r="AF323" s="25"/>
    </row>
    <row r="324" spans="32:32">
      <c r="AF324" s="25"/>
    </row>
    <row r="325" spans="32:32">
      <c r="AF325" s="25"/>
    </row>
    <row r="326" spans="32:32">
      <c r="AF326" s="25"/>
    </row>
    <row r="327" spans="32:32">
      <c r="AF327" s="25"/>
    </row>
    <row r="328" spans="32:32">
      <c r="AF328" s="25"/>
    </row>
    <row r="329" spans="32:32">
      <c r="AF329" s="25"/>
    </row>
    <row r="330" spans="32:32">
      <c r="AF330" s="25"/>
    </row>
    <row r="331" spans="32:32">
      <c r="AF331" s="25"/>
    </row>
    <row r="332" spans="32:32">
      <c r="AF332" s="25"/>
    </row>
    <row r="333" spans="32:32">
      <c r="AF333" s="25"/>
    </row>
    <row r="334" spans="32:32">
      <c r="AF334" s="25"/>
    </row>
    <row r="335" spans="32:32">
      <c r="AF335" s="25"/>
    </row>
    <row r="336" spans="32:32">
      <c r="AF336" s="25"/>
    </row>
    <row r="337" spans="32:32">
      <c r="AF337" s="25"/>
    </row>
    <row r="338" spans="32:32">
      <c r="AF338" s="25"/>
    </row>
    <row r="339" spans="32:32">
      <c r="AF339" s="25"/>
    </row>
    <row r="340" spans="32:32">
      <c r="AF340" s="25"/>
    </row>
    <row r="341" spans="32:32">
      <c r="AF341" s="25"/>
    </row>
    <row r="342" spans="32:32">
      <c r="AF342" s="25"/>
    </row>
    <row r="343" spans="32:32">
      <c r="AF343" s="25"/>
    </row>
    <row r="344" spans="32:32">
      <c r="AF344" s="25"/>
    </row>
    <row r="345" spans="32:32">
      <c r="AF345" s="25"/>
    </row>
    <row r="346" spans="32:32">
      <c r="AF346" s="25"/>
    </row>
    <row r="347" spans="32:32">
      <c r="AF347" s="25"/>
    </row>
    <row r="348" spans="32:32">
      <c r="AF348" s="25"/>
    </row>
    <row r="349" spans="32:32">
      <c r="AF349" s="25"/>
    </row>
    <row r="350" spans="32:32">
      <c r="AF350" s="25"/>
    </row>
    <row r="351" spans="32:32">
      <c r="AF351" s="25"/>
    </row>
    <row r="352" spans="32:32">
      <c r="AF352" s="25"/>
    </row>
    <row r="353" spans="32:32">
      <c r="AF353" s="25"/>
    </row>
    <row r="354" spans="32:32">
      <c r="AF354" s="25"/>
    </row>
    <row r="355" spans="32:32">
      <c r="AF355" s="25"/>
    </row>
    <row r="356" spans="32:32">
      <c r="AF356" s="25"/>
    </row>
    <row r="357" spans="32:32">
      <c r="AF357" s="25"/>
    </row>
    <row r="358" spans="32:32">
      <c r="AF358" s="25"/>
    </row>
    <row r="359" spans="32:32">
      <c r="AF359" s="25"/>
    </row>
    <row r="360" spans="32:32">
      <c r="AF360" s="25"/>
    </row>
    <row r="361" spans="32:32">
      <c r="AF361" s="25"/>
    </row>
    <row r="362" spans="32:32">
      <c r="AF362" s="25"/>
    </row>
    <row r="363" spans="32:32">
      <c r="AF363" s="25"/>
    </row>
    <row r="364" spans="32:32">
      <c r="AF364" s="25"/>
    </row>
    <row r="365" spans="32:32">
      <c r="AF365" s="25"/>
    </row>
    <row r="366" spans="32:32">
      <c r="AF366" s="25"/>
    </row>
    <row r="367" spans="32:32">
      <c r="AF367" s="25"/>
    </row>
    <row r="368" spans="32:32">
      <c r="AF368" s="25"/>
    </row>
    <row r="369" spans="32:32">
      <c r="AF369" s="25"/>
    </row>
    <row r="370" spans="32:32">
      <c r="AF370" s="25"/>
    </row>
    <row r="371" spans="32:32">
      <c r="AF371" s="25"/>
    </row>
    <row r="372" spans="32:32">
      <c r="AF372" s="25"/>
    </row>
    <row r="373" spans="32:32">
      <c r="AF373" s="25"/>
    </row>
    <row r="374" spans="32:32">
      <c r="AF374" s="25"/>
    </row>
    <row r="375" spans="32:32">
      <c r="AF375" s="25"/>
    </row>
  </sheetData>
  <hyperlinks>
    <hyperlink ref="B40" r:id="rId1"/>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1020</v>
      </c>
    </row>
    <row r="2" spans="1:1">
      <c r="A2" t="s">
        <v>1021</v>
      </c>
    </row>
    <row r="3" spans="1:1">
      <c r="A3" t="s">
        <v>1022</v>
      </c>
    </row>
    <row r="4" spans="1:1">
      <c r="A4" t="s">
        <v>1023</v>
      </c>
    </row>
    <row r="5" spans="1:1">
      <c r="A5" t="s">
        <v>1024</v>
      </c>
    </row>
    <row r="6" spans="1:1">
      <c r="A6" t="s">
        <v>1050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3689</v>
      </c>
      <c r="I1" t="s">
        <v>3695</v>
      </c>
    </row>
    <row r="2" spans="1:12">
      <c r="A2">
        <v>1</v>
      </c>
      <c r="B2" t="s">
        <v>3683</v>
      </c>
      <c r="G2" t="s">
        <v>3687</v>
      </c>
      <c r="H2" t="s">
        <v>3690</v>
      </c>
      <c r="I2" t="s">
        <v>3696</v>
      </c>
    </row>
    <row r="3" spans="1:12">
      <c r="A3">
        <v>2</v>
      </c>
      <c r="B3" t="s">
        <v>3684</v>
      </c>
      <c r="G3" s="83"/>
      <c r="H3" t="s">
        <v>3691</v>
      </c>
      <c r="I3" t="s">
        <v>3697</v>
      </c>
    </row>
    <row r="4" spans="1:12">
      <c r="A4">
        <v>3</v>
      </c>
      <c r="B4" t="s">
        <v>3685</v>
      </c>
      <c r="H4" t="s">
        <v>3692</v>
      </c>
      <c r="L4" s="83"/>
    </row>
    <row r="5" spans="1:12">
      <c r="H5" t="s">
        <v>3694</v>
      </c>
    </row>
    <row r="6" spans="1:12">
      <c r="B6" s="83" t="s">
        <v>3688</v>
      </c>
      <c r="H6" t="s">
        <v>3698</v>
      </c>
    </row>
    <row r="7" spans="1:12">
      <c r="H7" t="s">
        <v>3699</v>
      </c>
    </row>
    <row r="8" spans="1:12">
      <c r="H8" t="s">
        <v>3700</v>
      </c>
    </row>
    <row r="9" spans="1:12">
      <c r="H9" t="s">
        <v>3713</v>
      </c>
    </row>
    <row r="10" spans="1:12">
      <c r="H10" t="s">
        <v>3714</v>
      </c>
    </row>
    <row r="11" spans="1:12">
      <c r="H11" t="s">
        <v>3715</v>
      </c>
    </row>
    <row r="12" spans="1:12">
      <c r="H12" t="s">
        <v>3717</v>
      </c>
    </row>
    <row r="13" spans="1:12">
      <c r="H13" t="s">
        <v>3716</v>
      </c>
    </row>
    <row r="18" spans="1:8">
      <c r="A18" s="11" t="s">
        <v>3701</v>
      </c>
      <c r="B18" s="11"/>
      <c r="C18" s="11"/>
      <c r="D18" s="11"/>
    </row>
    <row r="19" spans="1:8">
      <c r="A19" s="11">
        <v>1</v>
      </c>
      <c r="B19" s="11" t="s">
        <v>3702</v>
      </c>
      <c r="C19" s="11" t="s">
        <v>3704</v>
      </c>
      <c r="D19" s="11"/>
    </row>
    <row r="20" spans="1:8">
      <c r="A20" s="11">
        <v>2</v>
      </c>
      <c r="B20" s="11" t="s">
        <v>3703</v>
      </c>
      <c r="C20" s="11" t="s">
        <v>3705</v>
      </c>
      <c r="D20" s="11" t="s">
        <v>3706</v>
      </c>
      <c r="G20" t="s">
        <v>3707</v>
      </c>
    </row>
    <row r="21" spans="1:8">
      <c r="A21" s="11"/>
      <c r="B21" s="11"/>
      <c r="C21" s="11"/>
      <c r="D21" s="11"/>
      <c r="G21" s="83"/>
    </row>
    <row r="22" spans="1:8">
      <c r="A22" s="11"/>
      <c r="B22" s="11"/>
      <c r="C22" s="11"/>
      <c r="D22" s="11"/>
    </row>
    <row r="23" spans="1:8">
      <c r="A23" s="11"/>
      <c r="B23" s="11"/>
      <c r="C23" s="11"/>
      <c r="D23" s="11"/>
    </row>
    <row r="24" spans="1:8">
      <c r="A24" s="11"/>
      <c r="B24" s="11"/>
      <c r="C24" s="11"/>
      <c r="D24" s="11"/>
    </row>
    <row r="25" spans="1:8">
      <c r="A25" s="11"/>
      <c r="B25" s="11"/>
      <c r="C25" s="11"/>
      <c r="D25" s="11"/>
    </row>
    <row r="26" spans="1:8">
      <c r="A26" s="11"/>
      <c r="B26" s="11"/>
      <c r="C26" s="11"/>
      <c r="D26" s="11"/>
    </row>
    <row r="27" spans="1:8">
      <c r="A27" s="11"/>
      <c r="B27" s="11"/>
      <c r="C27" s="11"/>
      <c r="D27" s="11"/>
    </row>
    <row r="28" spans="1:8">
      <c r="A28" s="11"/>
      <c r="B28" s="11"/>
      <c r="C28" s="11"/>
      <c r="D28" s="11"/>
    </row>
    <row r="29" spans="1:8">
      <c r="A29" s="11"/>
      <c r="B29" s="11"/>
      <c r="C29" s="11"/>
      <c r="D29" s="11"/>
    </row>
    <row r="30" spans="1:8">
      <c r="A30" s="11"/>
      <c r="B30" s="11"/>
      <c r="C30" s="11"/>
      <c r="D30" s="11"/>
      <c r="H30" s="83"/>
    </row>
    <row r="31" spans="1:8">
      <c r="A31" s="11"/>
      <c r="B31" s="11"/>
      <c r="C31" s="11"/>
      <c r="D31" s="11"/>
    </row>
    <row r="32" spans="1:8">
      <c r="A32" s="11"/>
      <c r="B32" s="11"/>
      <c r="C32" s="11"/>
      <c r="D32" s="11"/>
    </row>
    <row r="33" spans="1:8">
      <c r="A33" s="11"/>
      <c r="B33" s="11"/>
      <c r="C33" s="11"/>
      <c r="D33" s="11"/>
    </row>
    <row r="34" spans="1:8">
      <c r="A34" s="11"/>
      <c r="B34" s="11"/>
      <c r="C34" s="11"/>
      <c r="D34" s="11"/>
    </row>
    <row r="35" spans="1:8">
      <c r="A35" s="11"/>
      <c r="B35" s="11"/>
      <c r="C35" s="11"/>
      <c r="D35" s="11"/>
    </row>
    <row r="38" spans="1:8">
      <c r="B38" t="s">
        <v>3711</v>
      </c>
      <c r="H38" s="22"/>
    </row>
    <row r="39" spans="1:8">
      <c r="A39">
        <v>1</v>
      </c>
      <c r="B39" t="s">
        <v>3708</v>
      </c>
    </row>
    <row r="40" spans="1:8">
      <c r="A40">
        <v>2</v>
      </c>
      <c r="B40" t="s">
        <v>3712</v>
      </c>
    </row>
    <row r="41" spans="1:8">
      <c r="A41">
        <v>3</v>
      </c>
      <c r="B41" t="s">
        <v>3709</v>
      </c>
    </row>
    <row r="42" spans="1:8">
      <c r="A42">
        <v>4</v>
      </c>
      <c r="B42" t="s">
        <v>3710</v>
      </c>
    </row>
  </sheetData>
  <hyperlinks>
    <hyperlink ref="B6" r:id="rId1"/>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1199</v>
      </c>
      <c r="B1" t="s">
        <v>1200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c r="A1" t="s">
        <v>1307</v>
      </c>
      <c r="B1" t="s">
        <v>1308</v>
      </c>
      <c r="C1" t="s">
        <v>1309</v>
      </c>
      <c r="D1" t="s">
        <v>1310</v>
      </c>
      <c r="E1" t="s">
        <v>1311</v>
      </c>
      <c r="F1" t="s">
        <v>1312</v>
      </c>
    </row>
    <row r="2" spans="1:10">
      <c r="A2" s="94">
        <v>28360000</v>
      </c>
      <c r="B2" s="94">
        <v>28100000</v>
      </c>
      <c r="C2" s="94">
        <v>28700000</v>
      </c>
      <c r="D2" s="94">
        <v>28700000</v>
      </c>
      <c r="E2" s="95">
        <v>43278</v>
      </c>
      <c r="F2" s="96" t="s">
        <v>3771</v>
      </c>
    </row>
    <row r="3" spans="1:10">
      <c r="A3" s="94">
        <v>28310000</v>
      </c>
      <c r="B3" s="94">
        <v>28050000</v>
      </c>
      <c r="C3" s="94">
        <v>28760000</v>
      </c>
      <c r="D3" s="94">
        <v>28220000</v>
      </c>
      <c r="E3" s="95">
        <v>43277</v>
      </c>
      <c r="F3" s="96" t="s">
        <v>3772</v>
      </c>
    </row>
    <row r="4" spans="1:10">
      <c r="A4" s="94">
        <v>29560000</v>
      </c>
      <c r="B4" s="94">
        <v>27710000</v>
      </c>
      <c r="C4" s="94">
        <v>29560000</v>
      </c>
      <c r="D4" s="94">
        <v>28160000</v>
      </c>
      <c r="E4" s="95">
        <v>43276</v>
      </c>
      <c r="F4" s="96" t="s">
        <v>3773</v>
      </c>
    </row>
    <row r="5" spans="1:10">
      <c r="A5" s="94">
        <v>28035000</v>
      </c>
      <c r="B5" s="94">
        <v>27820000</v>
      </c>
      <c r="C5" s="94">
        <v>30085000</v>
      </c>
      <c r="D5" s="94">
        <v>29760000</v>
      </c>
      <c r="E5" s="95">
        <v>43275</v>
      </c>
      <c r="F5" s="96" t="s">
        <v>3774</v>
      </c>
    </row>
    <row r="6" spans="1:10">
      <c r="A6" s="94">
        <v>25910000</v>
      </c>
      <c r="B6" s="94">
        <v>25910000</v>
      </c>
      <c r="C6" s="94">
        <v>28260000</v>
      </c>
      <c r="D6" s="94">
        <v>28210000</v>
      </c>
      <c r="E6" s="95">
        <v>43274</v>
      </c>
      <c r="F6" s="96" t="s">
        <v>3775</v>
      </c>
      <c r="J6" t="s">
        <v>25</v>
      </c>
    </row>
    <row r="7" spans="1:10">
      <c r="A7" s="94">
        <v>25830000</v>
      </c>
      <c r="B7" s="94">
        <v>25770000</v>
      </c>
      <c r="C7" s="94">
        <v>25965000</v>
      </c>
      <c r="D7" s="94">
        <v>25945000</v>
      </c>
      <c r="E7" s="95">
        <v>43273</v>
      </c>
      <c r="F7" s="96" t="s">
        <v>3776</v>
      </c>
      <c r="H7" t="s">
        <v>25</v>
      </c>
    </row>
    <row r="8" spans="1:10">
      <c r="A8" s="94">
        <v>25595000</v>
      </c>
      <c r="B8" s="94">
        <v>25530000</v>
      </c>
      <c r="C8" s="94">
        <v>25930000</v>
      </c>
      <c r="D8" s="94">
        <v>25820000</v>
      </c>
      <c r="E8" s="95">
        <v>43272</v>
      </c>
      <c r="F8" s="96" t="s">
        <v>3777</v>
      </c>
    </row>
    <row r="9" spans="1:10">
      <c r="A9" s="94">
        <v>25210000</v>
      </c>
      <c r="B9" s="94">
        <v>25180000</v>
      </c>
      <c r="C9" s="94">
        <v>25630000</v>
      </c>
      <c r="D9" s="94">
        <v>25530000</v>
      </c>
      <c r="E9" s="95">
        <v>43271</v>
      </c>
      <c r="F9" s="96" t="s">
        <v>3778</v>
      </c>
      <c r="I9" t="s">
        <v>25</v>
      </c>
    </row>
    <row r="10" spans="1:10">
      <c r="A10" s="94">
        <v>24945000</v>
      </c>
      <c r="B10" s="94">
        <v>24910000</v>
      </c>
      <c r="C10" s="94">
        <v>25320000</v>
      </c>
      <c r="D10" s="94">
        <v>25200000</v>
      </c>
      <c r="E10" s="95">
        <v>43270</v>
      </c>
      <c r="F10" s="96" t="s">
        <v>3779</v>
      </c>
    </row>
    <row r="11" spans="1:10">
      <c r="A11" s="94">
        <v>24520000</v>
      </c>
      <c r="B11" s="94">
        <v>24520000</v>
      </c>
      <c r="C11" s="94">
        <v>25410000</v>
      </c>
      <c r="D11" s="94">
        <v>24930000</v>
      </c>
      <c r="E11" s="95">
        <v>43269</v>
      </c>
      <c r="F11" s="96" t="s">
        <v>3780</v>
      </c>
    </row>
    <row r="12" spans="1:10">
      <c r="A12" s="94">
        <v>23840000</v>
      </c>
      <c r="B12" s="94">
        <v>23120000</v>
      </c>
      <c r="C12" s="94">
        <v>24585000</v>
      </c>
      <c r="D12" s="94">
        <v>24535000</v>
      </c>
      <c r="E12" s="95">
        <v>43268</v>
      </c>
      <c r="F12" s="96" t="s">
        <v>3781</v>
      </c>
      <c r="G12" t="s">
        <v>25</v>
      </c>
    </row>
    <row r="13" spans="1:10">
      <c r="A13" s="94">
        <v>23875000</v>
      </c>
      <c r="B13" s="94">
        <v>23740000</v>
      </c>
      <c r="C13" s="94">
        <v>23885000</v>
      </c>
      <c r="D13" s="94">
        <v>23830000</v>
      </c>
      <c r="E13" s="95">
        <v>43267</v>
      </c>
      <c r="F13" s="96" t="s">
        <v>3782</v>
      </c>
    </row>
    <row r="14" spans="1:10">
      <c r="A14" s="94">
        <v>23945000</v>
      </c>
      <c r="B14" s="94">
        <v>23815000</v>
      </c>
      <c r="C14" s="94">
        <v>23945000</v>
      </c>
      <c r="D14" s="94">
        <v>23865000</v>
      </c>
      <c r="E14" s="95">
        <v>43266</v>
      </c>
      <c r="F14" s="96" t="s">
        <v>3783</v>
      </c>
    </row>
    <row r="15" spans="1:10">
      <c r="A15" s="94">
        <v>25135000</v>
      </c>
      <c r="B15" s="94">
        <v>23715000</v>
      </c>
      <c r="C15" s="94">
        <v>25135000</v>
      </c>
      <c r="D15" s="94">
        <v>23955000</v>
      </c>
      <c r="E15" s="95">
        <v>43265</v>
      </c>
      <c r="F15" s="96" t="s">
        <v>3784</v>
      </c>
    </row>
    <row r="16" spans="1:10">
      <c r="A16" s="94">
        <v>25320000</v>
      </c>
      <c r="B16" s="94">
        <v>25025000</v>
      </c>
      <c r="C16" s="94">
        <v>26000000</v>
      </c>
      <c r="D16" s="94">
        <v>25125000</v>
      </c>
      <c r="E16" s="95">
        <v>43264</v>
      </c>
      <c r="F16" s="96" t="s">
        <v>3785</v>
      </c>
    </row>
    <row r="17" spans="1:6">
      <c r="A17" s="94">
        <v>24745000</v>
      </c>
      <c r="B17" s="94">
        <v>24745000</v>
      </c>
      <c r="C17" s="94">
        <v>25450000</v>
      </c>
      <c r="D17" s="94">
        <v>25245000</v>
      </c>
      <c r="E17" s="95">
        <v>43263</v>
      </c>
      <c r="F17" s="96" t="s">
        <v>3786</v>
      </c>
    </row>
    <row r="18" spans="1:6">
      <c r="A18" s="94">
        <v>24560000</v>
      </c>
      <c r="B18" s="94">
        <v>24270000</v>
      </c>
      <c r="C18" s="94">
        <v>25070000</v>
      </c>
      <c r="D18" s="94">
        <v>24755000</v>
      </c>
      <c r="E18" s="95">
        <v>43262</v>
      </c>
      <c r="F18" s="96" t="s">
        <v>3787</v>
      </c>
    </row>
    <row r="19" spans="1:6">
      <c r="A19" s="94">
        <v>23345000</v>
      </c>
      <c r="B19" s="94">
        <v>23345000</v>
      </c>
      <c r="C19" s="94">
        <v>24775000</v>
      </c>
      <c r="D19" s="94">
        <v>24535000</v>
      </c>
      <c r="E19" s="95">
        <v>43261</v>
      </c>
      <c r="F19" s="96" t="s">
        <v>3788</v>
      </c>
    </row>
    <row r="20" spans="1:6">
      <c r="A20" s="94">
        <v>22220000</v>
      </c>
      <c r="B20" s="94">
        <v>22220000</v>
      </c>
      <c r="C20" s="94">
        <v>23270000</v>
      </c>
      <c r="D20" s="94">
        <v>23270000</v>
      </c>
      <c r="E20" s="95">
        <v>43260</v>
      </c>
      <c r="F20" s="96" t="s">
        <v>3789</v>
      </c>
    </row>
    <row r="21" spans="1:6">
      <c r="A21" s="94">
        <v>22445000</v>
      </c>
      <c r="B21" s="94">
        <v>22250000</v>
      </c>
      <c r="C21" s="94">
        <v>22445000</v>
      </c>
      <c r="D21" s="94">
        <v>22250000</v>
      </c>
      <c r="E21" s="95">
        <v>43259</v>
      </c>
      <c r="F21" s="96" t="s">
        <v>3790</v>
      </c>
    </row>
    <row r="22" spans="1:6">
      <c r="A22" s="94">
        <v>22100000</v>
      </c>
      <c r="B22" s="94">
        <v>22050000</v>
      </c>
      <c r="C22" s="94">
        <v>22450000</v>
      </c>
      <c r="D22" s="94">
        <v>22440000</v>
      </c>
      <c r="E22" s="95">
        <v>43258</v>
      </c>
      <c r="F22" s="96" t="s">
        <v>3791</v>
      </c>
    </row>
    <row r="23" spans="1:6">
      <c r="A23" s="94">
        <v>22190000</v>
      </c>
      <c r="B23" s="94">
        <v>22100000</v>
      </c>
      <c r="C23" s="94">
        <v>22200000</v>
      </c>
      <c r="D23" s="94">
        <v>22150000</v>
      </c>
      <c r="E23" s="95">
        <v>43257</v>
      </c>
      <c r="F23" s="96" t="s">
        <v>3792</v>
      </c>
    </row>
    <row r="24" spans="1:6">
      <c r="A24" s="94">
        <v>21950000</v>
      </c>
      <c r="B24" s="94">
        <v>21950000</v>
      </c>
      <c r="C24" s="94">
        <v>22210000</v>
      </c>
      <c r="D24" s="94">
        <v>22210000</v>
      </c>
      <c r="E24" s="95">
        <v>43256</v>
      </c>
      <c r="F24" s="96" t="s">
        <v>3793</v>
      </c>
    </row>
    <row r="25" spans="1:6">
      <c r="A25" s="94">
        <v>21350000</v>
      </c>
      <c r="B25" s="94">
        <v>21320000</v>
      </c>
      <c r="C25" s="94">
        <v>21770000</v>
      </c>
      <c r="D25" s="94">
        <v>21745000</v>
      </c>
      <c r="E25" s="95">
        <v>43254</v>
      </c>
      <c r="F25" s="96" t="s">
        <v>3794</v>
      </c>
    </row>
    <row r="26" spans="1:6">
      <c r="A26" s="94">
        <v>21485000</v>
      </c>
      <c r="B26" s="94">
        <v>21170000</v>
      </c>
      <c r="C26" s="94">
        <v>21485000</v>
      </c>
      <c r="D26" s="94">
        <v>21380000</v>
      </c>
      <c r="E26" s="95">
        <v>43253</v>
      </c>
      <c r="F26" s="96" t="s">
        <v>3795</v>
      </c>
    </row>
    <row r="27" spans="1:6">
      <c r="A27" s="94">
        <v>21520000</v>
      </c>
      <c r="B27" s="94">
        <v>21420000</v>
      </c>
      <c r="C27" s="94">
        <v>21615000</v>
      </c>
      <c r="D27" s="94">
        <v>21550000</v>
      </c>
      <c r="E27" s="95">
        <v>43251</v>
      </c>
      <c r="F27" s="96" t="s">
        <v>3796</v>
      </c>
    </row>
    <row r="28" spans="1:6">
      <c r="A28" s="94">
        <v>21525000</v>
      </c>
      <c r="B28" s="94">
        <v>21350000</v>
      </c>
      <c r="C28" s="94">
        <v>21850000</v>
      </c>
      <c r="D28" s="94">
        <v>21495000</v>
      </c>
      <c r="E28" s="95">
        <v>43250</v>
      </c>
      <c r="F28" s="96" t="s">
        <v>3797</v>
      </c>
    </row>
    <row r="29" spans="1:6">
      <c r="A29" s="94">
        <v>20950000</v>
      </c>
      <c r="B29" s="94">
        <v>20950000</v>
      </c>
      <c r="C29" s="94">
        <v>21475000</v>
      </c>
      <c r="D29" s="94">
        <v>21450000</v>
      </c>
      <c r="E29" s="95">
        <v>43249</v>
      </c>
      <c r="F29" s="96" t="s">
        <v>3798</v>
      </c>
    </row>
    <row r="30" spans="1:6">
      <c r="A30" s="94">
        <v>20540000</v>
      </c>
      <c r="B30" s="94">
        <v>20460000</v>
      </c>
      <c r="C30" s="94">
        <v>20810000</v>
      </c>
      <c r="D30" s="94">
        <v>20775000</v>
      </c>
      <c r="E30" s="95">
        <v>43248</v>
      </c>
      <c r="F30" s="96" t="s">
        <v>3799</v>
      </c>
    </row>
    <row r="31" spans="1:6">
      <c r="A31" s="94">
        <v>20325000</v>
      </c>
      <c r="B31" s="94">
        <v>20325000</v>
      </c>
      <c r="C31" s="94">
        <v>20488000</v>
      </c>
      <c r="D31" s="94">
        <v>20450000</v>
      </c>
      <c r="E31" s="95">
        <v>43247</v>
      </c>
      <c r="F31" s="96" t="s">
        <v>3800</v>
      </c>
    </row>
    <row r="32" spans="1:6">
      <c r="A32" s="94">
        <v>20310000</v>
      </c>
      <c r="B32" s="94">
        <v>20205000</v>
      </c>
      <c r="C32" s="94">
        <v>20310000</v>
      </c>
      <c r="D32" s="94">
        <v>20310000</v>
      </c>
      <c r="E32" s="95">
        <v>43246</v>
      </c>
      <c r="F32" s="96" t="s">
        <v>3801</v>
      </c>
    </row>
    <row r="33" spans="1:6">
      <c r="A33" s="94">
        <v>19535000</v>
      </c>
      <c r="B33" s="94">
        <v>19510000</v>
      </c>
      <c r="C33" s="94">
        <v>20060000</v>
      </c>
      <c r="D33" s="94">
        <v>19960000</v>
      </c>
      <c r="E33" s="95">
        <v>43241</v>
      </c>
      <c r="F33" s="96" t="s">
        <v>3802</v>
      </c>
    </row>
    <row r="34" spans="1:6">
      <c r="A34" s="94">
        <v>20080000</v>
      </c>
      <c r="B34" s="94">
        <v>20080000</v>
      </c>
      <c r="C34" s="94">
        <v>20360000</v>
      </c>
      <c r="D34" s="94">
        <v>20360000</v>
      </c>
      <c r="E34" s="95">
        <v>43244</v>
      </c>
      <c r="F34" s="96" t="s">
        <v>3803</v>
      </c>
    </row>
    <row r="35" spans="1:6">
      <c r="A35" s="94">
        <v>19320000</v>
      </c>
      <c r="B35" s="94">
        <v>19130000</v>
      </c>
      <c r="C35" s="94">
        <v>19635000</v>
      </c>
      <c r="D35" s="94">
        <v>19560000</v>
      </c>
      <c r="E35" s="95">
        <v>43240</v>
      </c>
      <c r="F35" s="96" t="s">
        <v>3804</v>
      </c>
    </row>
    <row r="36" spans="1:6">
      <c r="A36" s="94">
        <v>20090000</v>
      </c>
      <c r="B36" s="94">
        <v>19945000</v>
      </c>
      <c r="C36" s="94">
        <v>20170000</v>
      </c>
      <c r="D36" s="94">
        <v>20070000</v>
      </c>
      <c r="E36" s="95">
        <v>43243</v>
      </c>
      <c r="F36" s="96" t="s">
        <v>3805</v>
      </c>
    </row>
    <row r="37" spans="1:6">
      <c r="A37" s="94">
        <v>19745000</v>
      </c>
      <c r="B37" s="94">
        <v>19360000</v>
      </c>
      <c r="C37" s="94">
        <v>19770000</v>
      </c>
      <c r="D37" s="94">
        <v>19360000</v>
      </c>
      <c r="E37" s="95">
        <v>43239</v>
      </c>
      <c r="F37" s="96" t="s">
        <v>3806</v>
      </c>
    </row>
    <row r="38" spans="1:6">
      <c r="A38" s="94">
        <v>19975000</v>
      </c>
      <c r="B38" s="94">
        <v>19975000</v>
      </c>
      <c r="C38" s="94">
        <v>20340000</v>
      </c>
      <c r="D38" s="94">
        <v>20130000</v>
      </c>
      <c r="E38" s="95">
        <v>43242</v>
      </c>
      <c r="F38" s="96" t="s">
        <v>3807</v>
      </c>
    </row>
    <row r="39" spans="1:6">
      <c r="A39" s="94">
        <v>19760000</v>
      </c>
      <c r="B39" s="94">
        <v>19760000</v>
      </c>
      <c r="C39" s="94">
        <v>19760000</v>
      </c>
      <c r="D39" s="94">
        <v>19760000</v>
      </c>
      <c r="E39" s="95">
        <v>43238</v>
      </c>
      <c r="F39" s="96" t="s">
        <v>3808</v>
      </c>
    </row>
    <row r="40" spans="1:6">
      <c r="A40" s="94">
        <v>19465000</v>
      </c>
      <c r="B40" s="94">
        <v>19465000</v>
      </c>
      <c r="C40" s="94">
        <v>19750000</v>
      </c>
      <c r="D40" s="94">
        <v>19750000</v>
      </c>
      <c r="E40" s="95">
        <v>43237</v>
      </c>
      <c r="F40" s="96" t="s">
        <v>3809</v>
      </c>
    </row>
    <row r="41" spans="1:6">
      <c r="A41" s="94">
        <v>19175000</v>
      </c>
      <c r="B41" s="94">
        <v>19175000</v>
      </c>
      <c r="C41" s="94">
        <v>19450000</v>
      </c>
      <c r="D41" s="94">
        <v>19380000</v>
      </c>
      <c r="E41" s="95">
        <v>43236</v>
      </c>
      <c r="F41" s="96" t="s">
        <v>3810</v>
      </c>
    </row>
    <row r="42" spans="1:6">
      <c r="A42" s="94">
        <v>19050000</v>
      </c>
      <c r="B42" s="94">
        <v>18700000</v>
      </c>
      <c r="C42" s="94">
        <v>19150000</v>
      </c>
      <c r="D42" s="94">
        <v>19050000</v>
      </c>
      <c r="E42" s="95">
        <v>43235</v>
      </c>
      <c r="F42" s="96" t="s">
        <v>3811</v>
      </c>
    </row>
    <row r="43" spans="1:6">
      <c r="A43" s="94">
        <v>19665000</v>
      </c>
      <c r="B43" s="94">
        <v>18790000</v>
      </c>
      <c r="C43" s="94">
        <v>19665000</v>
      </c>
      <c r="D43" s="94">
        <v>19040000</v>
      </c>
      <c r="E43" s="95">
        <v>43234</v>
      </c>
      <c r="F43" s="96" t="s">
        <v>3812</v>
      </c>
    </row>
    <row r="44" spans="1:6">
      <c r="A44" s="94">
        <v>20405000</v>
      </c>
      <c r="B44" s="94">
        <v>19640000</v>
      </c>
      <c r="C44" s="94">
        <v>20405000</v>
      </c>
      <c r="D44" s="94">
        <v>19790000</v>
      </c>
      <c r="E44" s="95">
        <v>43233</v>
      </c>
      <c r="F44" s="96" t="s">
        <v>3813</v>
      </c>
    </row>
    <row r="45" spans="1:6">
      <c r="A45" s="94">
        <v>21155000</v>
      </c>
      <c r="B45" s="94">
        <v>20080000</v>
      </c>
      <c r="C45" s="94">
        <v>21180000</v>
      </c>
      <c r="D45" s="94">
        <v>20580000</v>
      </c>
      <c r="E45" s="95">
        <v>43232</v>
      </c>
      <c r="F45" s="96" t="s">
        <v>1207</v>
      </c>
    </row>
    <row r="46" spans="1:6">
      <c r="A46" s="94">
        <v>20260000</v>
      </c>
      <c r="B46" s="94">
        <v>20260000</v>
      </c>
      <c r="C46" s="94">
        <v>21030000</v>
      </c>
      <c r="D46" s="94">
        <v>21030000</v>
      </c>
      <c r="E46" s="95">
        <v>43230</v>
      </c>
      <c r="F46" s="96" t="s">
        <v>1208</v>
      </c>
    </row>
    <row r="47" spans="1:6">
      <c r="A47" s="94">
        <v>20105000</v>
      </c>
      <c r="B47" s="94">
        <v>19890000</v>
      </c>
      <c r="C47" s="94">
        <v>20690000</v>
      </c>
      <c r="D47" s="94">
        <v>20190000</v>
      </c>
      <c r="E47" s="95">
        <v>43229</v>
      </c>
      <c r="F47" s="96" t="s">
        <v>1209</v>
      </c>
    </row>
    <row r="48" spans="1:6">
      <c r="A48" s="94">
        <v>19400000</v>
      </c>
      <c r="B48" s="94">
        <v>19400000</v>
      </c>
      <c r="C48" s="94">
        <v>20600000</v>
      </c>
      <c r="D48" s="94">
        <v>20020000</v>
      </c>
      <c r="E48" s="95">
        <v>43228</v>
      </c>
      <c r="F48" s="96" t="s">
        <v>1210</v>
      </c>
    </row>
    <row r="49" spans="1:6">
      <c r="A49" s="94">
        <v>20245000</v>
      </c>
      <c r="B49" s="94">
        <v>18780000</v>
      </c>
      <c r="C49" s="94">
        <v>20245000</v>
      </c>
      <c r="D49" s="94">
        <v>18980000</v>
      </c>
      <c r="E49" s="95">
        <v>43227</v>
      </c>
      <c r="F49" s="96" t="s">
        <v>1211</v>
      </c>
    </row>
    <row r="50" spans="1:6">
      <c r="A50" s="94">
        <v>20470000</v>
      </c>
      <c r="B50" s="94">
        <v>19945000</v>
      </c>
      <c r="C50" s="94">
        <v>21045000</v>
      </c>
      <c r="D50" s="94">
        <v>20370000</v>
      </c>
      <c r="E50" s="95">
        <v>43226</v>
      </c>
      <c r="F50" s="96" t="s">
        <v>1212</v>
      </c>
    </row>
    <row r="51" spans="1:6">
      <c r="A51" s="94">
        <v>19820000</v>
      </c>
      <c r="B51" s="94">
        <v>19820000</v>
      </c>
      <c r="C51" s="94">
        <v>21220000</v>
      </c>
      <c r="D51" s="94">
        <v>20475000</v>
      </c>
      <c r="E51" s="95">
        <v>43225</v>
      </c>
      <c r="F51" s="96" t="s">
        <v>1213</v>
      </c>
    </row>
    <row r="52" spans="1:6">
      <c r="A52" s="94">
        <v>19230000</v>
      </c>
      <c r="B52" s="94">
        <v>19230000</v>
      </c>
      <c r="C52" s="94">
        <v>19800000</v>
      </c>
      <c r="D52" s="94">
        <v>19600000</v>
      </c>
      <c r="E52" s="95">
        <v>43223</v>
      </c>
      <c r="F52" s="96" t="s">
        <v>1214</v>
      </c>
    </row>
    <row r="53" spans="1:6">
      <c r="A53" s="94">
        <v>18800000</v>
      </c>
      <c r="B53" s="94">
        <v>18350000</v>
      </c>
      <c r="C53" s="94">
        <v>19250000</v>
      </c>
      <c r="D53" s="94">
        <v>19000000</v>
      </c>
      <c r="E53" s="95">
        <v>43221</v>
      </c>
      <c r="F53" s="96" t="s">
        <v>1215</v>
      </c>
    </row>
    <row r="54" spans="1:6">
      <c r="A54" s="94">
        <v>18490000</v>
      </c>
      <c r="B54" s="94">
        <v>18490000</v>
      </c>
      <c r="C54" s="94">
        <v>18700000</v>
      </c>
      <c r="D54" s="94">
        <v>18550000</v>
      </c>
      <c r="E54" s="95">
        <v>43220</v>
      </c>
      <c r="F54" s="96" t="s">
        <v>1216</v>
      </c>
    </row>
    <row r="55" spans="1:6">
      <c r="A55" s="94">
        <v>18050000</v>
      </c>
      <c r="B55" s="94">
        <v>17950000</v>
      </c>
      <c r="C55" s="94">
        <v>18450000</v>
      </c>
      <c r="D55" s="94">
        <v>18450000</v>
      </c>
      <c r="E55" s="95">
        <v>43219</v>
      </c>
      <c r="F55" s="96" t="s">
        <v>1217</v>
      </c>
    </row>
    <row r="56" spans="1:6">
      <c r="A56" s="94">
        <v>17700000</v>
      </c>
      <c r="B56" s="94">
        <v>17700000</v>
      </c>
      <c r="C56" s="94">
        <v>18020000</v>
      </c>
      <c r="D56" s="94">
        <v>18000000</v>
      </c>
      <c r="E56" s="95">
        <v>43218</v>
      </c>
      <c r="F56" s="96" t="s">
        <v>1218</v>
      </c>
    </row>
    <row r="57" spans="1:6">
      <c r="A57" s="94">
        <v>17600000</v>
      </c>
      <c r="B57" s="94">
        <v>17600000</v>
      </c>
      <c r="C57" s="94">
        <v>17670000</v>
      </c>
      <c r="D57" s="94">
        <v>17670000</v>
      </c>
      <c r="E57" s="95">
        <v>43216</v>
      </c>
      <c r="F57" s="96" t="s">
        <v>1219</v>
      </c>
    </row>
    <row r="58" spans="1:6">
      <c r="A58" s="94">
        <v>17700000</v>
      </c>
      <c r="B58" s="94">
        <v>17470000</v>
      </c>
      <c r="C58" s="94">
        <v>17750000</v>
      </c>
      <c r="D58" s="94">
        <v>17470000</v>
      </c>
      <c r="E58" s="95">
        <v>43215</v>
      </c>
      <c r="F58" s="96" t="s">
        <v>1220</v>
      </c>
    </row>
    <row r="59" spans="1:6">
      <c r="A59" s="94">
        <v>17850000</v>
      </c>
      <c r="B59" s="94">
        <v>17600000</v>
      </c>
      <c r="C59" s="94">
        <v>17850000</v>
      </c>
      <c r="D59" s="94">
        <v>17600000</v>
      </c>
      <c r="E59" s="95">
        <v>43214</v>
      </c>
      <c r="F59" s="96" t="s">
        <v>1221</v>
      </c>
    </row>
    <row r="60" spans="1:6">
      <c r="A60" s="94">
        <v>18190000</v>
      </c>
      <c r="B60" s="94">
        <v>17700000</v>
      </c>
      <c r="C60" s="94">
        <v>18190000</v>
      </c>
      <c r="D60" s="94">
        <v>17700000</v>
      </c>
      <c r="E60" s="95">
        <v>43213</v>
      </c>
      <c r="F60" s="96" t="s">
        <v>1222</v>
      </c>
    </row>
    <row r="61" spans="1:6">
      <c r="A61" s="94">
        <v>18300000</v>
      </c>
      <c r="B61" s="94">
        <v>18200000</v>
      </c>
      <c r="C61" s="94">
        <v>18350000</v>
      </c>
      <c r="D61" s="94">
        <v>18200000</v>
      </c>
      <c r="E61" s="95">
        <v>43212</v>
      </c>
      <c r="F61" s="96" t="s">
        <v>1223</v>
      </c>
    </row>
    <row r="62" spans="1:6">
      <c r="A62" s="94">
        <v>18250000</v>
      </c>
      <c r="B62" s="94">
        <v>18250000</v>
      </c>
      <c r="C62" s="94">
        <v>18400000</v>
      </c>
      <c r="D62" s="94">
        <v>18350000</v>
      </c>
      <c r="E62" s="95">
        <v>43211</v>
      </c>
      <c r="F62" s="96" t="s">
        <v>1224</v>
      </c>
    </row>
    <row r="63" spans="1:6">
      <c r="A63" s="94">
        <v>18410000</v>
      </c>
      <c r="B63" s="94">
        <v>18290000</v>
      </c>
      <c r="C63" s="94">
        <v>18450000</v>
      </c>
      <c r="D63" s="94">
        <v>18290000</v>
      </c>
      <c r="E63" s="95">
        <v>43209</v>
      </c>
      <c r="F63" s="96" t="s">
        <v>1225</v>
      </c>
    </row>
    <row r="64" spans="1:6">
      <c r="A64" s="94">
        <v>18060000</v>
      </c>
      <c r="B64" s="94">
        <v>18050000</v>
      </c>
      <c r="C64" s="94">
        <v>18400000</v>
      </c>
      <c r="D64" s="94">
        <v>18400000</v>
      </c>
      <c r="E64" s="95">
        <v>43208</v>
      </c>
      <c r="F64" s="96" t="s">
        <v>1226</v>
      </c>
    </row>
    <row r="65" spans="1:6">
      <c r="A65" s="94">
        <v>18530000</v>
      </c>
      <c r="B65" s="94">
        <v>17950000</v>
      </c>
      <c r="C65" s="94">
        <v>18710000</v>
      </c>
      <c r="D65" s="94">
        <v>17970000</v>
      </c>
      <c r="E65" s="95">
        <v>43207</v>
      </c>
      <c r="F65" s="96" t="s">
        <v>1227</v>
      </c>
    </row>
    <row r="66" spans="1:6">
      <c r="A66" s="94">
        <v>17830000</v>
      </c>
      <c r="B66" s="94">
        <v>17830000</v>
      </c>
      <c r="C66" s="94">
        <v>18560000</v>
      </c>
      <c r="D66" s="94">
        <v>18560000</v>
      </c>
      <c r="E66" s="95">
        <v>43206</v>
      </c>
      <c r="F66" s="96" t="s">
        <v>1228</v>
      </c>
    </row>
    <row r="67" spans="1:6">
      <c r="A67" s="94">
        <v>17800000</v>
      </c>
      <c r="B67" s="94">
        <v>17780000</v>
      </c>
      <c r="C67" s="94">
        <v>17860000</v>
      </c>
      <c r="D67" s="94">
        <v>17810000</v>
      </c>
      <c r="E67" s="95">
        <v>43205</v>
      </c>
      <c r="F67" s="96" t="s">
        <v>1229</v>
      </c>
    </row>
    <row r="68" spans="1:6">
      <c r="A68" s="94">
        <v>17930000</v>
      </c>
      <c r="B68" s="94">
        <v>17760000</v>
      </c>
      <c r="C68" s="94">
        <v>17930000</v>
      </c>
      <c r="D68" s="94">
        <v>17850000</v>
      </c>
      <c r="E68" s="95">
        <v>43202</v>
      </c>
      <c r="F68" s="96" t="s">
        <v>1230</v>
      </c>
    </row>
    <row r="69" spans="1:6">
      <c r="A69" s="94">
        <v>17410000</v>
      </c>
      <c r="B69" s="94">
        <v>17210000</v>
      </c>
      <c r="C69" s="94">
        <v>17910000</v>
      </c>
      <c r="D69" s="94">
        <v>17910000</v>
      </c>
      <c r="E69" s="95">
        <v>43201</v>
      </c>
      <c r="F69" s="96" t="s">
        <v>1231</v>
      </c>
    </row>
    <row r="70" spans="1:6">
      <c r="A70" s="94">
        <v>18500000</v>
      </c>
      <c r="B70" s="94">
        <v>17450000</v>
      </c>
      <c r="C70" s="94">
        <v>18510000</v>
      </c>
      <c r="D70" s="94">
        <v>17700000</v>
      </c>
      <c r="E70" s="95">
        <v>43200</v>
      </c>
      <c r="F70" s="96" t="s">
        <v>1232</v>
      </c>
    </row>
    <row r="71" spans="1:6">
      <c r="A71" s="94">
        <v>19400000</v>
      </c>
      <c r="B71" s="94">
        <v>19360000</v>
      </c>
      <c r="C71" s="94">
        <v>20000000</v>
      </c>
      <c r="D71" s="94">
        <v>19550000</v>
      </c>
      <c r="E71" s="95">
        <v>43199</v>
      </c>
      <c r="F71" s="96" t="s">
        <v>1233</v>
      </c>
    </row>
    <row r="72" spans="1:6">
      <c r="A72" s="94">
        <v>18050000</v>
      </c>
      <c r="B72" s="94">
        <v>18050000</v>
      </c>
      <c r="C72" s="94">
        <v>19560000</v>
      </c>
      <c r="D72" s="94">
        <v>19300000</v>
      </c>
      <c r="E72" s="95">
        <v>43198</v>
      </c>
      <c r="F72" s="96" t="s">
        <v>1234</v>
      </c>
    </row>
    <row r="73" spans="1:6">
      <c r="A73" s="94">
        <v>17560000</v>
      </c>
      <c r="B73" s="94">
        <v>17550000</v>
      </c>
      <c r="C73" s="94">
        <v>17910000</v>
      </c>
      <c r="D73" s="94">
        <v>17830000</v>
      </c>
      <c r="E73" s="95">
        <v>43197</v>
      </c>
      <c r="F73" s="96" t="s">
        <v>1235</v>
      </c>
    </row>
    <row r="74" spans="1:6">
      <c r="A74" s="94">
        <v>17390000</v>
      </c>
      <c r="B74" s="94">
        <v>17390000</v>
      </c>
      <c r="C74" s="94">
        <v>17490000</v>
      </c>
      <c r="D74" s="94">
        <v>17490000</v>
      </c>
      <c r="E74" s="95">
        <v>43195</v>
      </c>
      <c r="F74" s="96" t="s">
        <v>1236</v>
      </c>
    </row>
    <row r="75" spans="1:6">
      <c r="A75" s="94">
        <v>17310000</v>
      </c>
      <c r="B75" s="94">
        <v>17290000</v>
      </c>
      <c r="C75" s="94">
        <v>17460000</v>
      </c>
      <c r="D75" s="94">
        <v>17360000</v>
      </c>
      <c r="E75" s="95">
        <v>43194</v>
      </c>
      <c r="F75" s="96" t="s">
        <v>1237</v>
      </c>
    </row>
    <row r="76" spans="1:6">
      <c r="A76" s="94">
        <v>17200000</v>
      </c>
      <c r="B76" s="94">
        <v>17150000</v>
      </c>
      <c r="C76" s="94">
        <v>17310000</v>
      </c>
      <c r="D76" s="94">
        <v>17290000</v>
      </c>
      <c r="E76" s="95">
        <v>43193</v>
      </c>
      <c r="F76" s="96" t="s">
        <v>1238</v>
      </c>
    </row>
    <row r="77" spans="1:6">
      <c r="A77" s="94">
        <v>17075000</v>
      </c>
      <c r="B77" s="94">
        <v>17075000</v>
      </c>
      <c r="C77" s="94">
        <v>17250000</v>
      </c>
      <c r="D77" s="94">
        <v>17250000</v>
      </c>
      <c r="E77" s="95">
        <v>43188</v>
      </c>
      <c r="F77" s="96" t="s">
        <v>1239</v>
      </c>
    </row>
    <row r="78" spans="1:6">
      <c r="A78" s="94">
        <v>17100000</v>
      </c>
      <c r="B78" s="94">
        <v>17000000</v>
      </c>
      <c r="C78" s="94">
        <v>17100000</v>
      </c>
      <c r="D78" s="94">
        <v>17050000</v>
      </c>
      <c r="E78" s="95">
        <v>43187</v>
      </c>
      <c r="F78" s="96" t="s">
        <v>1240</v>
      </c>
    </row>
    <row r="79" spans="1:6">
      <c r="A79" s="94">
        <v>17025000</v>
      </c>
      <c r="B79" s="94">
        <v>16930000</v>
      </c>
      <c r="C79" s="94">
        <v>17150000</v>
      </c>
      <c r="D79" s="94">
        <v>17125000</v>
      </c>
      <c r="E79" s="95">
        <v>43186</v>
      </c>
      <c r="F79" s="96" t="s">
        <v>1241</v>
      </c>
    </row>
    <row r="80" spans="1:6">
      <c r="A80" s="94">
        <v>16600000</v>
      </c>
      <c r="B80" s="94">
        <v>16600000</v>
      </c>
      <c r="C80" s="94">
        <v>17100000</v>
      </c>
      <c r="D80" s="94">
        <v>17100000</v>
      </c>
      <c r="E80" s="95">
        <v>43185</v>
      </c>
      <c r="F80" s="96" t="s">
        <v>1242</v>
      </c>
    </row>
    <row r="81" spans="1:6">
      <c r="A81" s="94">
        <v>16361000</v>
      </c>
      <c r="B81" s="94">
        <v>16361000</v>
      </c>
      <c r="C81" s="94">
        <v>16361000</v>
      </c>
      <c r="D81" s="94">
        <v>16361000</v>
      </c>
      <c r="E81" s="95">
        <v>43184</v>
      </c>
      <c r="F81" s="96" t="s">
        <v>1243</v>
      </c>
    </row>
    <row r="82" spans="1:6">
      <c r="A82" s="94">
        <v>16153000</v>
      </c>
      <c r="B82" s="94">
        <v>16153000</v>
      </c>
      <c r="C82" s="94">
        <v>16211000</v>
      </c>
      <c r="D82" s="94">
        <v>16211000</v>
      </c>
      <c r="E82" s="95">
        <v>43181</v>
      </c>
      <c r="F82" s="96" t="s">
        <v>1244</v>
      </c>
    </row>
    <row r="83" spans="1:6">
      <c r="A83" s="94">
        <v>16160000</v>
      </c>
      <c r="B83" s="94">
        <v>16132000</v>
      </c>
      <c r="C83" s="94">
        <v>16162000</v>
      </c>
      <c r="D83" s="94">
        <v>16143000</v>
      </c>
      <c r="E83" s="95">
        <v>43179</v>
      </c>
      <c r="F83" s="96" t="s">
        <v>1245</v>
      </c>
    </row>
    <row r="84" spans="1:6">
      <c r="A84" s="94">
        <v>16120000</v>
      </c>
      <c r="B84" s="94">
        <v>16105000</v>
      </c>
      <c r="C84" s="94">
        <v>16190000</v>
      </c>
      <c r="D84" s="94">
        <v>16166000</v>
      </c>
      <c r="E84" s="95">
        <v>43178</v>
      </c>
      <c r="F84" s="96" t="s">
        <v>1246</v>
      </c>
    </row>
    <row r="85" spans="1:6">
      <c r="A85" s="94">
        <v>16020000</v>
      </c>
      <c r="B85" s="94">
        <v>16020000</v>
      </c>
      <c r="C85" s="94">
        <v>16200000</v>
      </c>
      <c r="D85" s="94">
        <v>16060000</v>
      </c>
      <c r="E85" s="95">
        <v>43177</v>
      </c>
      <c r="F85" s="96" t="s">
        <v>1247</v>
      </c>
    </row>
    <row r="86" spans="1:6">
      <c r="A86" s="94">
        <v>16315000</v>
      </c>
      <c r="B86" s="94">
        <v>16000000</v>
      </c>
      <c r="C86" s="94">
        <v>16315000</v>
      </c>
      <c r="D86" s="94">
        <v>16000000</v>
      </c>
      <c r="E86" s="95">
        <v>43176</v>
      </c>
      <c r="F86" s="96" t="s">
        <v>1248</v>
      </c>
    </row>
    <row r="87" spans="1:6">
      <c r="A87" s="94">
        <v>16395000</v>
      </c>
      <c r="B87" s="94">
        <v>16290000</v>
      </c>
      <c r="C87" s="94">
        <v>16395000</v>
      </c>
      <c r="D87" s="94">
        <v>16300000</v>
      </c>
      <c r="E87" s="95">
        <v>43174</v>
      </c>
      <c r="F87" s="96" t="s">
        <v>1249</v>
      </c>
    </row>
    <row r="88" spans="1:6">
      <c r="A88" s="94">
        <v>16143000</v>
      </c>
      <c r="B88" s="94">
        <v>16137000</v>
      </c>
      <c r="C88" s="94">
        <v>16495000</v>
      </c>
      <c r="D88" s="94">
        <v>16402000</v>
      </c>
      <c r="E88" s="95">
        <v>43173</v>
      </c>
      <c r="F88" s="96" t="s">
        <v>1250</v>
      </c>
    </row>
    <row r="89" spans="1:6">
      <c r="A89" s="94">
        <v>15993000</v>
      </c>
      <c r="B89" s="94">
        <v>15979000</v>
      </c>
      <c r="C89" s="94">
        <v>16148000</v>
      </c>
      <c r="D89" s="94">
        <v>16144000</v>
      </c>
      <c r="E89" s="95">
        <v>43172</v>
      </c>
      <c r="F89" s="96" t="s">
        <v>1251</v>
      </c>
    </row>
    <row r="90" spans="1:6">
      <c r="A90" s="94">
        <v>15823000</v>
      </c>
      <c r="B90" s="94">
        <v>15819000</v>
      </c>
      <c r="C90" s="94">
        <v>16005000</v>
      </c>
      <c r="D90" s="94">
        <v>16000000</v>
      </c>
      <c r="E90" s="95">
        <v>43171</v>
      </c>
      <c r="F90" s="96" t="s">
        <v>1252</v>
      </c>
    </row>
    <row r="91" spans="1:6">
      <c r="A91" s="94">
        <v>15760000</v>
      </c>
      <c r="B91" s="94">
        <v>15760000</v>
      </c>
      <c r="C91" s="94">
        <v>15835000</v>
      </c>
      <c r="D91" s="94">
        <v>15820000</v>
      </c>
      <c r="E91" s="95">
        <v>43170</v>
      </c>
      <c r="F91" s="96" t="s">
        <v>1253</v>
      </c>
    </row>
    <row r="92" spans="1:6">
      <c r="A92" s="94">
        <v>15843000</v>
      </c>
      <c r="B92" s="94">
        <v>15750000</v>
      </c>
      <c r="C92" s="94">
        <v>15880000</v>
      </c>
      <c r="D92" s="94">
        <v>15750000</v>
      </c>
      <c r="E92" s="95">
        <v>43169</v>
      </c>
      <c r="F92" s="96" t="s">
        <v>1254</v>
      </c>
    </row>
    <row r="93" spans="1:6">
      <c r="A93" s="94">
        <v>15813000</v>
      </c>
      <c r="B93" s="94">
        <v>15787000</v>
      </c>
      <c r="C93" s="94">
        <v>15852000</v>
      </c>
      <c r="D93" s="94">
        <v>15837000</v>
      </c>
      <c r="E93" s="95">
        <v>43168</v>
      </c>
      <c r="F93" s="96" t="s">
        <v>1255</v>
      </c>
    </row>
    <row r="94" spans="1:6">
      <c r="A94" s="94">
        <v>15871000</v>
      </c>
      <c r="B94" s="94">
        <v>15817000</v>
      </c>
      <c r="C94" s="94">
        <v>15880000</v>
      </c>
      <c r="D94" s="94">
        <v>15831000</v>
      </c>
      <c r="E94" s="95">
        <v>43167</v>
      </c>
      <c r="F94" s="96" t="s">
        <v>1256</v>
      </c>
    </row>
    <row r="95" spans="1:6">
      <c r="A95" s="94">
        <v>15860000</v>
      </c>
      <c r="B95" s="94">
        <v>15846000</v>
      </c>
      <c r="C95" s="94">
        <v>15900000</v>
      </c>
      <c r="D95" s="94">
        <v>15861000</v>
      </c>
      <c r="E95" s="95">
        <v>43166</v>
      </c>
      <c r="F95" s="96" t="s">
        <v>1257</v>
      </c>
    </row>
    <row r="96" spans="1:6">
      <c r="A96" s="94">
        <v>15949000</v>
      </c>
      <c r="B96" s="94">
        <v>15800000</v>
      </c>
      <c r="C96" s="94">
        <v>15949000</v>
      </c>
      <c r="D96" s="94">
        <v>15888000</v>
      </c>
      <c r="E96" s="95">
        <v>43165</v>
      </c>
      <c r="F96" s="96" t="s">
        <v>1258</v>
      </c>
    </row>
    <row r="97" spans="1:6">
      <c r="A97" s="94">
        <v>15916000</v>
      </c>
      <c r="B97" s="94">
        <v>15860000</v>
      </c>
      <c r="C97" s="94">
        <v>15924000</v>
      </c>
      <c r="D97" s="94">
        <v>15917000</v>
      </c>
      <c r="E97" s="95">
        <v>43164</v>
      </c>
      <c r="F97" s="96" t="s">
        <v>1259</v>
      </c>
    </row>
    <row r="98" spans="1:6">
      <c r="A98" s="94">
        <v>15700000</v>
      </c>
      <c r="B98" s="94">
        <v>15700000</v>
      </c>
      <c r="C98" s="94">
        <v>15920000</v>
      </c>
      <c r="D98" s="94">
        <v>15910000</v>
      </c>
      <c r="E98" s="95">
        <v>43163</v>
      </c>
      <c r="F98" s="96" t="s">
        <v>1260</v>
      </c>
    </row>
    <row r="99" spans="1:6">
      <c r="A99" s="94">
        <v>15531000</v>
      </c>
      <c r="B99" s="94">
        <v>15531000</v>
      </c>
      <c r="C99" s="94">
        <v>15750000</v>
      </c>
      <c r="D99" s="94">
        <v>15730000</v>
      </c>
      <c r="E99" s="95">
        <v>43162</v>
      </c>
      <c r="F99" s="96" t="s">
        <v>1261</v>
      </c>
    </row>
    <row r="100" spans="1:6">
      <c r="A100" s="94">
        <v>15536000</v>
      </c>
      <c r="B100" s="94">
        <v>15496000</v>
      </c>
      <c r="C100" s="94">
        <v>15552000</v>
      </c>
      <c r="D100" s="94">
        <v>15535000</v>
      </c>
      <c r="E100" s="95">
        <v>43161</v>
      </c>
      <c r="F100" s="96" t="s">
        <v>1262</v>
      </c>
    </row>
    <row r="101" spans="1:6">
      <c r="A101" s="94">
        <v>15530500</v>
      </c>
      <c r="B101" s="94">
        <v>15472000</v>
      </c>
      <c r="C101" s="94">
        <v>15537500</v>
      </c>
      <c r="D101" s="94">
        <v>15503000</v>
      </c>
      <c r="E101" s="95">
        <v>43160</v>
      </c>
      <c r="F101" s="96" t="s">
        <v>1263</v>
      </c>
    </row>
    <row r="102" spans="1:6">
      <c r="A102" s="94">
        <v>15421000</v>
      </c>
      <c r="B102" s="94">
        <v>15419500</v>
      </c>
      <c r="C102" s="94">
        <v>15550000</v>
      </c>
      <c r="D102" s="94">
        <v>15550000</v>
      </c>
      <c r="E102" s="95">
        <v>43159</v>
      </c>
      <c r="F102" s="96" t="s">
        <v>1264</v>
      </c>
    </row>
    <row r="103" spans="1:6">
      <c r="A103" s="94">
        <v>15420000</v>
      </c>
      <c r="B103" s="94">
        <v>15350000</v>
      </c>
      <c r="C103" s="94">
        <v>15425500</v>
      </c>
      <c r="D103" s="94">
        <v>15416000</v>
      </c>
      <c r="E103" s="95">
        <v>43158</v>
      </c>
      <c r="F103" s="96" t="s">
        <v>1265</v>
      </c>
    </row>
    <row r="104" spans="1:6">
      <c r="A104" s="94">
        <v>15400000</v>
      </c>
      <c r="B104" s="94">
        <v>15300000</v>
      </c>
      <c r="C104" s="94">
        <v>15400000</v>
      </c>
      <c r="D104" s="94">
        <v>15370000</v>
      </c>
      <c r="E104" s="95">
        <v>43157</v>
      </c>
      <c r="F104" s="96" t="s">
        <v>1266</v>
      </c>
    </row>
    <row r="105" spans="1:6">
      <c r="A105" s="94">
        <v>15090000</v>
      </c>
      <c r="B105" s="94">
        <v>15090000</v>
      </c>
      <c r="C105" s="94">
        <v>15300000</v>
      </c>
      <c r="D105" s="94">
        <v>15200000</v>
      </c>
      <c r="E105" s="95">
        <v>43156</v>
      </c>
      <c r="F105" s="96" t="s">
        <v>1267</v>
      </c>
    </row>
    <row r="106" spans="1:6">
      <c r="A106" s="94">
        <v>14794000</v>
      </c>
      <c r="B106" s="94">
        <v>14785000</v>
      </c>
      <c r="C106" s="94">
        <v>15250000</v>
      </c>
      <c r="D106" s="94">
        <v>15100000</v>
      </c>
      <c r="E106" s="95">
        <v>43155</v>
      </c>
      <c r="F106" s="96" t="s">
        <v>1268</v>
      </c>
    </row>
    <row r="107" spans="1:6">
      <c r="A107" s="94">
        <v>14791000</v>
      </c>
      <c r="B107" s="94">
        <v>14782000</v>
      </c>
      <c r="C107" s="94">
        <v>14800000</v>
      </c>
      <c r="D107" s="94">
        <v>14788000</v>
      </c>
      <c r="E107" s="95">
        <v>43154</v>
      </c>
      <c r="F107" s="96" t="s">
        <v>1269</v>
      </c>
    </row>
    <row r="108" spans="1:6">
      <c r="A108" s="94">
        <v>14770000</v>
      </c>
      <c r="B108" s="94">
        <v>14770000</v>
      </c>
      <c r="C108" s="94">
        <v>14807000</v>
      </c>
      <c r="D108" s="94">
        <v>14799000</v>
      </c>
      <c r="E108" s="95">
        <v>43153</v>
      </c>
      <c r="F108" s="96" t="s">
        <v>1270</v>
      </c>
    </row>
    <row r="109" spans="1:6">
      <c r="A109" s="94">
        <v>14857500</v>
      </c>
      <c r="B109" s="94">
        <v>14750000</v>
      </c>
      <c r="C109" s="94">
        <v>14900000</v>
      </c>
      <c r="D109" s="94">
        <v>14750000</v>
      </c>
      <c r="E109" s="95">
        <v>43152</v>
      </c>
      <c r="F109" s="96" t="s">
        <v>1271</v>
      </c>
    </row>
    <row r="110" spans="1:6">
      <c r="A110" s="94">
        <v>15015000</v>
      </c>
      <c r="B110" s="94">
        <v>14820000</v>
      </c>
      <c r="C110" s="94">
        <v>15015000</v>
      </c>
      <c r="D110" s="94">
        <v>14862500</v>
      </c>
      <c r="E110" s="95">
        <v>43150</v>
      </c>
      <c r="F110" s="96" t="s">
        <v>1272</v>
      </c>
    </row>
    <row r="111" spans="1:6">
      <c r="A111" s="94">
        <v>15130000</v>
      </c>
      <c r="B111" s="94">
        <v>14952500</v>
      </c>
      <c r="C111" s="94">
        <v>15155000</v>
      </c>
      <c r="D111" s="94">
        <v>15017500</v>
      </c>
      <c r="E111" s="95">
        <v>43149</v>
      </c>
      <c r="F111" s="96" t="s">
        <v>1273</v>
      </c>
    </row>
    <row r="112" spans="1:6">
      <c r="A112" s="94">
        <v>15632500</v>
      </c>
      <c r="B112" s="94">
        <v>15155000</v>
      </c>
      <c r="C112" s="94">
        <v>15667500</v>
      </c>
      <c r="D112" s="94">
        <v>15155000</v>
      </c>
      <c r="E112" s="95">
        <v>43148</v>
      </c>
      <c r="F112" s="96" t="s">
        <v>1274</v>
      </c>
    </row>
    <row r="113" spans="1:6">
      <c r="A113" s="94">
        <v>15955000</v>
      </c>
      <c r="B113" s="94">
        <v>15775000</v>
      </c>
      <c r="C113" s="94">
        <v>15965000</v>
      </c>
      <c r="D113" s="94">
        <v>15775000</v>
      </c>
      <c r="E113" s="95">
        <v>43145</v>
      </c>
      <c r="F113" s="96" t="s">
        <v>1275</v>
      </c>
    </row>
    <row r="114" spans="1:6">
      <c r="A114" s="94">
        <v>15790000</v>
      </c>
      <c r="B114" s="94">
        <v>15790000</v>
      </c>
      <c r="C114" s="94">
        <v>15985000</v>
      </c>
      <c r="D114" s="94">
        <v>15905000</v>
      </c>
      <c r="E114" s="95">
        <v>43144</v>
      </c>
      <c r="F114" s="96" t="s">
        <v>1276</v>
      </c>
    </row>
    <row r="115" spans="1:6">
      <c r="A115" s="94">
        <v>15430000</v>
      </c>
      <c r="B115" s="94">
        <v>15430000</v>
      </c>
      <c r="C115" s="94">
        <v>15785000</v>
      </c>
      <c r="D115" s="94">
        <v>15740000</v>
      </c>
      <c r="E115" s="95">
        <v>43143</v>
      </c>
      <c r="F115" s="96" t="s">
        <v>1277</v>
      </c>
    </row>
    <row r="116" spans="1:6">
      <c r="A116" s="94">
        <v>15495000</v>
      </c>
      <c r="B116" s="94">
        <v>15420000</v>
      </c>
      <c r="C116" s="94">
        <v>15550000</v>
      </c>
      <c r="D116" s="94">
        <v>15440000</v>
      </c>
      <c r="E116" s="95">
        <v>43142</v>
      </c>
      <c r="F116" s="96" t="s">
        <v>1278</v>
      </c>
    </row>
    <row r="117" spans="1:6">
      <c r="A117" s="94">
        <v>15255000</v>
      </c>
      <c r="B117" s="94">
        <v>15245000</v>
      </c>
      <c r="C117" s="94">
        <v>15440000</v>
      </c>
      <c r="D117" s="94">
        <v>15425000</v>
      </c>
      <c r="E117" s="95">
        <v>43141</v>
      </c>
      <c r="F117" s="96" t="s">
        <v>1279</v>
      </c>
    </row>
    <row r="118" spans="1:6">
      <c r="A118" s="94">
        <v>15215000</v>
      </c>
      <c r="B118" s="94">
        <v>15090000</v>
      </c>
      <c r="C118" s="94">
        <v>15265000</v>
      </c>
      <c r="D118" s="94">
        <v>15250000</v>
      </c>
      <c r="E118" s="95">
        <v>43139</v>
      </c>
      <c r="F118" s="96" t="s">
        <v>1280</v>
      </c>
    </row>
    <row r="119" spans="1:6">
      <c r="A119" s="94">
        <v>15195000</v>
      </c>
      <c r="B119" s="94">
        <v>15185000</v>
      </c>
      <c r="C119" s="94">
        <v>15335000</v>
      </c>
      <c r="D119" s="94">
        <v>15205000</v>
      </c>
      <c r="E119" s="95">
        <v>43138</v>
      </c>
      <c r="F119" s="96" t="s">
        <v>1281</v>
      </c>
    </row>
    <row r="120" spans="1:6">
      <c r="A120" s="94">
        <v>15245000</v>
      </c>
      <c r="B120" s="94">
        <v>15220000</v>
      </c>
      <c r="C120" s="94">
        <v>15310000</v>
      </c>
      <c r="D120" s="94">
        <v>15225000</v>
      </c>
      <c r="E120" s="95">
        <v>43137</v>
      </c>
      <c r="F120" s="96" t="s">
        <v>1282</v>
      </c>
    </row>
    <row r="121" spans="1:6">
      <c r="A121" s="94">
        <v>15190000</v>
      </c>
      <c r="B121" s="94">
        <v>15125000</v>
      </c>
      <c r="C121" s="94">
        <v>15295000</v>
      </c>
      <c r="D121" s="94">
        <v>15225000</v>
      </c>
      <c r="E121" s="95">
        <v>43136</v>
      </c>
      <c r="F121" s="96" t="s">
        <v>1283</v>
      </c>
    </row>
    <row r="122" spans="1:6">
      <c r="A122" s="94">
        <v>15100000</v>
      </c>
      <c r="B122" s="94">
        <v>15095000</v>
      </c>
      <c r="C122" s="94">
        <v>15295000</v>
      </c>
      <c r="D122" s="94">
        <v>15195000</v>
      </c>
      <c r="E122" s="95">
        <v>43135</v>
      </c>
      <c r="F122" s="96" t="s">
        <v>1284</v>
      </c>
    </row>
    <row r="123" spans="1:6">
      <c r="A123" s="94">
        <v>14975000</v>
      </c>
      <c r="B123" s="94">
        <v>14970000</v>
      </c>
      <c r="C123" s="94">
        <v>15130000</v>
      </c>
      <c r="D123" s="94">
        <v>15095000</v>
      </c>
      <c r="E123" s="95">
        <v>43134</v>
      </c>
      <c r="F123" s="96" t="s">
        <v>1285</v>
      </c>
    </row>
    <row r="124" spans="1:6">
      <c r="A124" s="94">
        <v>15145000</v>
      </c>
      <c r="B124" s="94">
        <v>14905000</v>
      </c>
      <c r="C124" s="94">
        <v>15145000</v>
      </c>
      <c r="D124" s="94">
        <v>14915000</v>
      </c>
      <c r="E124" s="95">
        <v>43132</v>
      </c>
      <c r="F124" s="96" t="s">
        <v>1286</v>
      </c>
    </row>
    <row r="125" spans="1:6">
      <c r="A125" s="94">
        <v>14925000</v>
      </c>
      <c r="B125" s="94">
        <v>14835000</v>
      </c>
      <c r="C125" s="94">
        <v>15055000</v>
      </c>
      <c r="D125" s="94">
        <v>15035000</v>
      </c>
      <c r="E125" s="95">
        <v>43131</v>
      </c>
      <c r="F125" s="96" t="s">
        <v>1287</v>
      </c>
    </row>
    <row r="126" spans="1:6">
      <c r="A126" s="94">
        <v>14785000</v>
      </c>
      <c r="B126" s="94">
        <v>14725000</v>
      </c>
      <c r="C126" s="94">
        <v>14880000</v>
      </c>
      <c r="D126" s="94">
        <v>14875000</v>
      </c>
      <c r="E126" s="95">
        <v>43130</v>
      </c>
      <c r="F126" s="96" t="s">
        <v>1288</v>
      </c>
    </row>
    <row r="127" spans="1:6">
      <c r="A127" s="94">
        <v>14910000</v>
      </c>
      <c r="B127" s="94">
        <v>14745000</v>
      </c>
      <c r="C127" s="94">
        <v>14925000</v>
      </c>
      <c r="D127" s="94">
        <v>14770000</v>
      </c>
      <c r="E127" s="95">
        <v>43129</v>
      </c>
      <c r="F127" s="96" t="s">
        <v>1289</v>
      </c>
    </row>
    <row r="128" spans="1:6">
      <c r="A128" s="94">
        <v>14770000</v>
      </c>
      <c r="B128" s="94">
        <v>14765000</v>
      </c>
      <c r="C128" s="94">
        <v>14900000</v>
      </c>
      <c r="D128" s="94">
        <v>14890000</v>
      </c>
      <c r="E128" s="95">
        <v>43128</v>
      </c>
      <c r="F128" s="96" t="s">
        <v>1290</v>
      </c>
    </row>
    <row r="129" spans="1:6">
      <c r="A129" s="94">
        <v>14885000</v>
      </c>
      <c r="B129" s="94">
        <v>14685000</v>
      </c>
      <c r="C129" s="94">
        <v>14925000</v>
      </c>
      <c r="D129" s="94">
        <v>14775000</v>
      </c>
      <c r="E129" s="95">
        <v>43127</v>
      </c>
      <c r="F129" s="96" t="s">
        <v>1291</v>
      </c>
    </row>
    <row r="130" spans="1:6">
      <c r="A130" s="94">
        <v>15225000</v>
      </c>
      <c r="B130" s="94">
        <v>15145000</v>
      </c>
      <c r="C130" s="94">
        <v>15265000</v>
      </c>
      <c r="D130" s="94">
        <v>15180000</v>
      </c>
      <c r="E130" s="95">
        <v>43125</v>
      </c>
      <c r="F130" s="96" t="s">
        <v>1292</v>
      </c>
    </row>
    <row r="131" spans="1:6">
      <c r="A131" s="94">
        <v>15200000</v>
      </c>
      <c r="B131" s="94">
        <v>15145000</v>
      </c>
      <c r="C131" s="94">
        <v>15265000</v>
      </c>
      <c r="D131" s="94">
        <v>15190000</v>
      </c>
      <c r="E131" s="95">
        <v>43124</v>
      </c>
      <c r="F131" s="96" t="s">
        <v>1293</v>
      </c>
    </row>
    <row r="132" spans="1:6">
      <c r="A132" s="94">
        <v>15290000</v>
      </c>
      <c r="B132" s="94">
        <v>15160000</v>
      </c>
      <c r="C132" s="94">
        <v>15400000</v>
      </c>
      <c r="D132" s="94">
        <v>15180000</v>
      </c>
      <c r="E132" s="95">
        <v>43123</v>
      </c>
      <c r="F132" s="96" t="s">
        <v>1294</v>
      </c>
    </row>
    <row r="133" spans="1:6">
      <c r="A133" s="94">
        <v>15285000</v>
      </c>
      <c r="B133" s="94">
        <v>15235000</v>
      </c>
      <c r="C133" s="94">
        <v>15375000</v>
      </c>
      <c r="D133" s="94">
        <v>15285000</v>
      </c>
      <c r="E133" s="95">
        <v>43122</v>
      </c>
      <c r="F133" s="96" t="s">
        <v>1295</v>
      </c>
    </row>
    <row r="134" spans="1:6">
      <c r="A134" s="94">
        <v>15205000</v>
      </c>
      <c r="B134" s="94">
        <v>15137000</v>
      </c>
      <c r="C134" s="94">
        <v>15297000</v>
      </c>
      <c r="D134" s="94">
        <v>15282000</v>
      </c>
      <c r="E134" s="95">
        <v>43121</v>
      </c>
      <c r="F134" s="96" t="s">
        <v>1296</v>
      </c>
    </row>
    <row r="135" spans="1:6">
      <c r="A135" s="94">
        <v>15050000</v>
      </c>
      <c r="B135" s="94">
        <v>15050000</v>
      </c>
      <c r="C135" s="94">
        <v>15220000</v>
      </c>
      <c r="D135" s="94">
        <v>15195000</v>
      </c>
      <c r="E135" s="95">
        <v>43120</v>
      </c>
      <c r="F135" s="96" t="s">
        <v>1297</v>
      </c>
    </row>
    <row r="136" spans="1:6">
      <c r="A136" s="94">
        <v>15135000</v>
      </c>
      <c r="B136" s="94">
        <v>14995000</v>
      </c>
      <c r="C136" s="94">
        <v>15140000</v>
      </c>
      <c r="D136" s="94">
        <v>15025000</v>
      </c>
      <c r="E136" s="95">
        <v>43118</v>
      </c>
      <c r="F136" s="96" t="s">
        <v>1298</v>
      </c>
    </row>
    <row r="137" spans="1:6">
      <c r="A137" s="94">
        <v>15005000</v>
      </c>
      <c r="B137" s="94">
        <v>14995000</v>
      </c>
      <c r="C137" s="94">
        <v>15155000</v>
      </c>
      <c r="D137" s="94">
        <v>15150000</v>
      </c>
      <c r="E137" s="95">
        <v>43117</v>
      </c>
      <c r="F137" s="96" t="s">
        <v>1299</v>
      </c>
    </row>
    <row r="138" spans="1:6">
      <c r="A138" s="94">
        <v>14935000</v>
      </c>
      <c r="B138" s="94">
        <v>14921000</v>
      </c>
      <c r="C138" s="94">
        <v>15005000</v>
      </c>
      <c r="D138" s="94">
        <v>14940000</v>
      </c>
      <c r="E138" s="95">
        <v>43116</v>
      </c>
      <c r="F138" s="96" t="s">
        <v>1300</v>
      </c>
    </row>
    <row r="139" spans="1:6">
      <c r="A139" s="94">
        <v>14872000</v>
      </c>
      <c r="B139" s="94">
        <v>14865000</v>
      </c>
      <c r="C139" s="94">
        <v>14950000</v>
      </c>
      <c r="D139" s="94">
        <v>14920000</v>
      </c>
      <c r="E139" s="95">
        <v>43115</v>
      </c>
      <c r="F139" s="96" t="s">
        <v>1301</v>
      </c>
    </row>
    <row r="140" spans="1:6">
      <c r="A140" s="94">
        <v>15020000</v>
      </c>
      <c r="B140" s="94">
        <v>14827000</v>
      </c>
      <c r="C140" s="94">
        <v>15107000</v>
      </c>
      <c r="D140" s="94">
        <v>14877000</v>
      </c>
      <c r="E140" s="95">
        <v>43114</v>
      </c>
      <c r="F140" s="96" t="s">
        <v>1302</v>
      </c>
    </row>
    <row r="141" spans="1:6">
      <c r="A141" s="94">
        <v>14850000</v>
      </c>
      <c r="B141" s="94">
        <v>14815000</v>
      </c>
      <c r="C141" s="94">
        <v>15040000</v>
      </c>
      <c r="D141" s="94">
        <v>15015000</v>
      </c>
      <c r="E141" s="95">
        <v>43113</v>
      </c>
      <c r="F141" s="96" t="s">
        <v>1303</v>
      </c>
    </row>
    <row r="142" spans="1:6">
      <c r="A142" s="94">
        <v>14950000</v>
      </c>
      <c r="B142" s="94">
        <v>14843000</v>
      </c>
      <c r="C142" s="94">
        <v>15015000</v>
      </c>
      <c r="D142" s="94">
        <v>14925000</v>
      </c>
      <c r="E142" s="95">
        <v>43111</v>
      </c>
      <c r="F142" s="96" t="s">
        <v>1304</v>
      </c>
    </row>
    <row r="143" spans="1:6">
      <c r="A143" s="94">
        <v>14725000</v>
      </c>
      <c r="B143" s="94">
        <v>14700000</v>
      </c>
      <c r="C143" s="94">
        <v>14965000</v>
      </c>
      <c r="D143" s="94">
        <v>14945000</v>
      </c>
      <c r="E143" s="95">
        <v>43110</v>
      </c>
      <c r="F143" s="96" t="s">
        <v>1305</v>
      </c>
    </row>
    <row r="144" spans="1:6">
      <c r="A144" s="94">
        <v>14703000</v>
      </c>
      <c r="B144" s="94">
        <v>14643000</v>
      </c>
      <c r="C144" s="94">
        <v>14715000</v>
      </c>
      <c r="D144" s="94">
        <v>14700000</v>
      </c>
      <c r="E144" s="95">
        <v>43109</v>
      </c>
      <c r="F144" s="96" t="s">
        <v>1306</v>
      </c>
    </row>
    <row r="145" spans="1:6">
      <c r="A145" s="94">
        <v>14675000</v>
      </c>
      <c r="B145" s="94">
        <v>14640000</v>
      </c>
      <c r="C145" s="94">
        <v>14775000</v>
      </c>
      <c r="D145" s="94">
        <v>14683000</v>
      </c>
      <c r="E145" s="95">
        <v>43108</v>
      </c>
      <c r="F145" s="96" t="s">
        <v>1313</v>
      </c>
    </row>
    <row r="146" spans="1:6">
      <c r="A146" s="94">
        <v>14700000</v>
      </c>
      <c r="B146" s="94">
        <v>14620000</v>
      </c>
      <c r="C146" s="94">
        <v>14735000</v>
      </c>
      <c r="D146" s="94">
        <v>14700000</v>
      </c>
      <c r="E146" s="95">
        <v>43107</v>
      </c>
      <c r="F146" s="96" t="s">
        <v>1314</v>
      </c>
    </row>
    <row r="147" spans="1:6">
      <c r="A147" s="94">
        <v>14635000</v>
      </c>
      <c r="B147" s="94">
        <v>14575000</v>
      </c>
      <c r="C147" s="94">
        <v>14785000</v>
      </c>
      <c r="D147" s="94">
        <v>14725000</v>
      </c>
      <c r="E147" s="95">
        <v>43106</v>
      </c>
      <c r="F147" s="96" t="s">
        <v>1315</v>
      </c>
    </row>
    <row r="148" spans="1:6">
      <c r="A148" s="94">
        <v>15015000</v>
      </c>
      <c r="B148" s="94">
        <v>14560000</v>
      </c>
      <c r="C148" s="94">
        <v>15025000</v>
      </c>
      <c r="D148" s="94">
        <v>14655000</v>
      </c>
      <c r="E148" s="95">
        <v>43104</v>
      </c>
      <c r="F148" s="96" t="s">
        <v>1316</v>
      </c>
    </row>
    <row r="149" spans="1:6">
      <c r="A149" s="94">
        <v>14992500</v>
      </c>
      <c r="B149" s="94">
        <v>14945000</v>
      </c>
      <c r="C149" s="94">
        <v>15120000</v>
      </c>
      <c r="D149" s="94">
        <v>15030000</v>
      </c>
      <c r="E149" s="95">
        <v>43103</v>
      </c>
      <c r="F149" s="96" t="s">
        <v>1317</v>
      </c>
    </row>
    <row r="150" spans="1:6">
      <c r="A150" s="94">
        <v>14855000</v>
      </c>
      <c r="B150" s="94">
        <v>14805000</v>
      </c>
      <c r="C150" s="94">
        <v>15030000</v>
      </c>
      <c r="D150" s="94">
        <v>14907500</v>
      </c>
      <c r="E150" s="95">
        <v>43102</v>
      </c>
      <c r="F150" s="96" t="s">
        <v>1318</v>
      </c>
    </row>
    <row r="151" spans="1:6">
      <c r="A151" s="94">
        <v>14555000</v>
      </c>
      <c r="B151" s="94">
        <v>14542500</v>
      </c>
      <c r="C151" s="94">
        <v>14975000</v>
      </c>
      <c r="D151" s="94">
        <v>14890000</v>
      </c>
      <c r="E151" s="95">
        <v>43101</v>
      </c>
      <c r="F151" s="96" t="s">
        <v>1319</v>
      </c>
    </row>
    <row r="152" spans="1:6">
      <c r="A152" s="94">
        <v>14474000</v>
      </c>
      <c r="B152" s="94">
        <v>14315000</v>
      </c>
      <c r="C152" s="94">
        <v>14650000</v>
      </c>
      <c r="D152" s="94">
        <v>14500000</v>
      </c>
      <c r="E152" s="95">
        <v>43100</v>
      </c>
      <c r="F152" s="96" t="s">
        <v>1320</v>
      </c>
    </row>
    <row r="153" spans="1:6">
      <c r="A153" s="94">
        <v>14213000</v>
      </c>
      <c r="B153" s="94">
        <v>14175000</v>
      </c>
      <c r="C153" s="94">
        <v>14469000</v>
      </c>
      <c r="D153" s="94">
        <v>14434000</v>
      </c>
      <c r="E153" s="95">
        <v>43099</v>
      </c>
      <c r="F153" s="96" t="s">
        <v>1321</v>
      </c>
    </row>
    <row r="154" spans="1:6">
      <c r="A154" s="94">
        <v>14125000</v>
      </c>
      <c r="B154" s="94">
        <v>14108000</v>
      </c>
      <c r="C154" s="94">
        <v>14161000</v>
      </c>
      <c r="D154" s="94">
        <v>14148000</v>
      </c>
      <c r="E154" s="95">
        <v>43097</v>
      </c>
      <c r="F154" s="96" t="s">
        <v>1322</v>
      </c>
    </row>
    <row r="155" spans="1:6">
      <c r="A155" s="94">
        <v>14078000</v>
      </c>
      <c r="B155" s="94">
        <v>14068000</v>
      </c>
      <c r="C155" s="94">
        <v>14153000</v>
      </c>
      <c r="D155" s="94">
        <v>14113000</v>
      </c>
      <c r="E155" s="95">
        <v>43096</v>
      </c>
      <c r="F155" s="96" t="s">
        <v>1323</v>
      </c>
    </row>
    <row r="156" spans="1:6">
      <c r="A156" s="94">
        <v>13972000</v>
      </c>
      <c r="B156" s="94">
        <v>13972000</v>
      </c>
      <c r="C156" s="94">
        <v>14048000</v>
      </c>
      <c r="D156" s="94">
        <v>14043000</v>
      </c>
      <c r="E156" s="95">
        <v>43095</v>
      </c>
      <c r="F156" s="96" t="s">
        <v>1324</v>
      </c>
    </row>
    <row r="157" spans="1:6">
      <c r="A157" s="94">
        <v>13953000</v>
      </c>
      <c r="B157" s="94">
        <v>13940000</v>
      </c>
      <c r="C157" s="94">
        <v>13969000</v>
      </c>
      <c r="D157" s="94">
        <v>13969000</v>
      </c>
      <c r="E157" s="95">
        <v>43094</v>
      </c>
      <c r="F157" s="96" t="s">
        <v>1325</v>
      </c>
    </row>
    <row r="158" spans="1:6">
      <c r="A158" s="94">
        <v>13962000</v>
      </c>
      <c r="B158" s="94">
        <v>13947000</v>
      </c>
      <c r="C158" s="94">
        <v>13990000</v>
      </c>
      <c r="D158" s="94">
        <v>13960000</v>
      </c>
      <c r="E158" s="95">
        <v>43093</v>
      </c>
      <c r="F158" s="96" t="s">
        <v>1326</v>
      </c>
    </row>
    <row r="159" spans="1:6">
      <c r="A159" s="94">
        <v>13950000</v>
      </c>
      <c r="B159" s="94">
        <v>13924000</v>
      </c>
      <c r="C159" s="94">
        <v>13990000</v>
      </c>
      <c r="D159" s="94">
        <v>13955000</v>
      </c>
      <c r="E159" s="95">
        <v>43092</v>
      </c>
      <c r="F159" s="96" t="s">
        <v>1327</v>
      </c>
    </row>
    <row r="160" spans="1:6">
      <c r="A160" s="94">
        <v>13905000</v>
      </c>
      <c r="B160" s="94">
        <v>13897000</v>
      </c>
      <c r="C160" s="94">
        <v>13955000</v>
      </c>
      <c r="D160" s="94">
        <v>13915000</v>
      </c>
      <c r="E160" s="95">
        <v>43090</v>
      </c>
      <c r="F160" s="96" t="s">
        <v>1328</v>
      </c>
    </row>
    <row r="161" spans="1:6">
      <c r="A161" s="94">
        <v>13915000</v>
      </c>
      <c r="B161" s="94">
        <v>13875000</v>
      </c>
      <c r="C161" s="94">
        <v>13945000</v>
      </c>
      <c r="D161" s="94">
        <v>13920000</v>
      </c>
      <c r="E161" s="95">
        <v>43089</v>
      </c>
      <c r="F161" s="96" t="s">
        <v>1329</v>
      </c>
    </row>
    <row r="162" spans="1:6">
      <c r="A162" s="94">
        <v>13942000</v>
      </c>
      <c r="B162" s="94">
        <v>13875000</v>
      </c>
      <c r="C162" s="94">
        <v>13974000</v>
      </c>
      <c r="D162" s="94">
        <v>13880000</v>
      </c>
      <c r="E162" s="95">
        <v>43088</v>
      </c>
      <c r="F162" s="96" t="s">
        <v>1330</v>
      </c>
    </row>
    <row r="163" spans="1:6">
      <c r="A163" s="94">
        <v>13850000</v>
      </c>
      <c r="B163" s="94">
        <v>13850000</v>
      </c>
      <c r="C163" s="94">
        <v>13967000</v>
      </c>
      <c r="D163" s="94">
        <v>13927000</v>
      </c>
      <c r="E163" s="95">
        <v>43087</v>
      </c>
      <c r="F163" s="96" t="s">
        <v>1331</v>
      </c>
    </row>
    <row r="164" spans="1:6">
      <c r="A164" s="94">
        <v>13982000</v>
      </c>
      <c r="B164" s="94">
        <v>13827000</v>
      </c>
      <c r="C164" s="94">
        <v>13990000</v>
      </c>
      <c r="D164" s="94">
        <v>13847000</v>
      </c>
      <c r="E164" s="95">
        <v>43086</v>
      </c>
      <c r="F164" s="96" t="s">
        <v>1332</v>
      </c>
    </row>
    <row r="165" spans="1:6">
      <c r="A165" s="94">
        <v>14122000</v>
      </c>
      <c r="B165" s="94">
        <v>13952000</v>
      </c>
      <c r="C165" s="94">
        <v>14137000</v>
      </c>
      <c r="D165" s="94">
        <v>13997000</v>
      </c>
      <c r="E165" s="95">
        <v>43085</v>
      </c>
      <c r="F165" s="96" t="s">
        <v>1333</v>
      </c>
    </row>
    <row r="166" spans="1:6">
      <c r="A166" s="94">
        <v>14155000</v>
      </c>
      <c r="B166" s="94">
        <v>14102000</v>
      </c>
      <c r="C166" s="94">
        <v>14170000</v>
      </c>
      <c r="D166" s="94">
        <v>14117000</v>
      </c>
      <c r="E166" s="95">
        <v>43083</v>
      </c>
      <c r="F166" s="96" t="s">
        <v>1334</v>
      </c>
    </row>
    <row r="167" spans="1:6">
      <c r="A167" s="94">
        <v>14129000</v>
      </c>
      <c r="B167" s="94">
        <v>14095000</v>
      </c>
      <c r="C167" s="94">
        <v>14150000</v>
      </c>
      <c r="D167" s="94">
        <v>14120000</v>
      </c>
      <c r="E167" s="95">
        <v>43082</v>
      </c>
      <c r="F167" s="96" t="s">
        <v>1335</v>
      </c>
    </row>
    <row r="168" spans="1:6">
      <c r="A168" s="94">
        <v>14117000</v>
      </c>
      <c r="B168" s="94">
        <v>14074000</v>
      </c>
      <c r="C168" s="94">
        <v>14177000</v>
      </c>
      <c r="D168" s="94">
        <v>14104000</v>
      </c>
      <c r="E168" s="95">
        <v>43081</v>
      </c>
      <c r="F168" s="96" t="s">
        <v>1336</v>
      </c>
    </row>
    <row r="169" spans="1:6">
      <c r="A169" s="94">
        <v>14095000</v>
      </c>
      <c r="B169" s="94">
        <v>14072000</v>
      </c>
      <c r="C169" s="94">
        <v>14195000</v>
      </c>
      <c r="D169" s="94">
        <v>14127000</v>
      </c>
      <c r="E169" s="95">
        <v>43080</v>
      </c>
      <c r="F169" s="96" t="s">
        <v>1337</v>
      </c>
    </row>
    <row r="170" spans="1:6">
      <c r="A170" s="94">
        <v>14180000</v>
      </c>
      <c r="B170" s="94">
        <v>14045000</v>
      </c>
      <c r="C170" s="94">
        <v>14250000</v>
      </c>
      <c r="D170" s="94">
        <v>14087000</v>
      </c>
      <c r="E170" s="95">
        <v>43079</v>
      </c>
      <c r="F170" s="96" t="s">
        <v>1338</v>
      </c>
    </row>
    <row r="171" spans="1:6">
      <c r="A171" s="94">
        <v>13960000</v>
      </c>
      <c r="B171" s="94">
        <v>13952000</v>
      </c>
      <c r="C171" s="94">
        <v>14205000</v>
      </c>
      <c r="D171" s="94">
        <v>14155000</v>
      </c>
      <c r="E171" s="95">
        <v>43078</v>
      </c>
      <c r="F171" s="96" t="s">
        <v>1339</v>
      </c>
    </row>
    <row r="172" spans="1:6">
      <c r="A172" s="94">
        <v>14170000</v>
      </c>
      <c r="B172" s="94">
        <v>14135000</v>
      </c>
      <c r="C172" s="94">
        <v>14195000</v>
      </c>
      <c r="D172" s="94">
        <v>14145000</v>
      </c>
      <c r="E172" s="95">
        <v>43076</v>
      </c>
      <c r="F172" s="96" t="s">
        <v>1340</v>
      </c>
    </row>
    <row r="173" spans="1:6">
      <c r="A173" s="94">
        <v>14145000</v>
      </c>
      <c r="B173" s="94">
        <v>14120000</v>
      </c>
      <c r="C173" s="94">
        <v>14185000</v>
      </c>
      <c r="D173" s="94">
        <v>14140000</v>
      </c>
      <c r="E173" s="95">
        <v>43075</v>
      </c>
      <c r="F173" s="96" t="s">
        <v>1341</v>
      </c>
    </row>
    <row r="174" spans="1:6">
      <c r="A174" s="94">
        <v>14358000</v>
      </c>
      <c r="B174" s="94">
        <v>14110000</v>
      </c>
      <c r="C174" s="94">
        <v>14430000</v>
      </c>
      <c r="D174" s="94">
        <v>14155000</v>
      </c>
      <c r="E174" s="95">
        <v>43074</v>
      </c>
      <c r="F174" s="96" t="s">
        <v>1342</v>
      </c>
    </row>
    <row r="175" spans="1:6">
      <c r="A175" s="94">
        <v>13920000</v>
      </c>
      <c r="B175" s="94">
        <v>13915000</v>
      </c>
      <c r="C175" s="94">
        <v>14268000</v>
      </c>
      <c r="D175" s="94">
        <v>14258000</v>
      </c>
      <c r="E175" s="95">
        <v>43073</v>
      </c>
      <c r="F175" s="96" t="s">
        <v>1343</v>
      </c>
    </row>
    <row r="176" spans="1:6">
      <c r="A176" s="94">
        <v>13948000</v>
      </c>
      <c r="B176" s="94">
        <v>13907000</v>
      </c>
      <c r="C176" s="94">
        <v>14040000</v>
      </c>
      <c r="D176" s="94">
        <v>13935000</v>
      </c>
      <c r="E176" s="95">
        <v>43072</v>
      </c>
      <c r="F176" s="96" t="s">
        <v>1344</v>
      </c>
    </row>
    <row r="177" spans="1:6">
      <c r="A177" s="94">
        <v>13805000</v>
      </c>
      <c r="B177" s="94">
        <v>13805000</v>
      </c>
      <c r="C177" s="94">
        <v>13938000</v>
      </c>
      <c r="D177" s="94">
        <v>13938000</v>
      </c>
      <c r="E177" s="95">
        <v>43071</v>
      </c>
      <c r="F177" s="96" t="s">
        <v>1345</v>
      </c>
    </row>
    <row r="178" spans="1:6">
      <c r="A178" s="94">
        <v>13804000</v>
      </c>
      <c r="B178" s="94">
        <v>13752000</v>
      </c>
      <c r="C178" s="94">
        <v>13870000</v>
      </c>
      <c r="D178" s="94">
        <v>13815000</v>
      </c>
      <c r="E178" s="95">
        <v>43069</v>
      </c>
      <c r="F178" s="96" t="s">
        <v>1346</v>
      </c>
    </row>
    <row r="179" spans="1:6">
      <c r="A179" s="94">
        <v>13568000</v>
      </c>
      <c r="B179" s="94">
        <v>13568000</v>
      </c>
      <c r="C179" s="94">
        <v>13774000</v>
      </c>
      <c r="D179" s="94">
        <v>13764000</v>
      </c>
      <c r="E179" s="95">
        <v>43068</v>
      </c>
      <c r="F179" s="96" t="s">
        <v>1347</v>
      </c>
    </row>
    <row r="180" spans="1:6">
      <c r="A180" s="94">
        <v>13588000</v>
      </c>
      <c r="B180" s="94">
        <v>13540000</v>
      </c>
      <c r="C180" s="94">
        <v>13605000</v>
      </c>
      <c r="D180" s="94">
        <v>13560000</v>
      </c>
      <c r="E180" s="95">
        <v>43067</v>
      </c>
      <c r="F180" s="96" t="s">
        <v>1348</v>
      </c>
    </row>
    <row r="181" spans="1:6">
      <c r="A181" s="94">
        <v>13660000</v>
      </c>
      <c r="B181" s="94">
        <v>13560000</v>
      </c>
      <c r="C181" s="94">
        <v>13670000</v>
      </c>
      <c r="D181" s="94">
        <v>13605000</v>
      </c>
      <c r="E181" s="95">
        <v>43066</v>
      </c>
      <c r="F181" s="96" t="s">
        <v>1349</v>
      </c>
    </row>
    <row r="182" spans="1:6">
      <c r="A182" s="94">
        <v>13657000</v>
      </c>
      <c r="B182" s="94">
        <v>13485000</v>
      </c>
      <c r="C182" s="94">
        <v>13680000</v>
      </c>
      <c r="D182" s="94">
        <v>13570000</v>
      </c>
      <c r="E182" s="95">
        <v>43065</v>
      </c>
      <c r="F182" s="96" t="s">
        <v>1350</v>
      </c>
    </row>
    <row r="183" spans="1:6">
      <c r="A183" s="94">
        <v>13818000</v>
      </c>
      <c r="B183" s="94">
        <v>13617000</v>
      </c>
      <c r="C183" s="94">
        <v>13977000</v>
      </c>
      <c r="D183" s="94">
        <v>13617000</v>
      </c>
      <c r="E183" s="95">
        <v>43064</v>
      </c>
      <c r="F183" s="96" t="s">
        <v>1351</v>
      </c>
    </row>
    <row r="184" spans="1:6">
      <c r="A184" s="94">
        <v>14130000</v>
      </c>
      <c r="B184" s="94">
        <v>13853000</v>
      </c>
      <c r="C184" s="94">
        <v>14248000</v>
      </c>
      <c r="D184" s="94">
        <v>13903000</v>
      </c>
      <c r="E184" s="95">
        <v>43062</v>
      </c>
      <c r="F184" s="96" t="s">
        <v>1352</v>
      </c>
    </row>
    <row r="185" spans="1:6">
      <c r="A185" s="94">
        <v>14506000</v>
      </c>
      <c r="B185" s="94">
        <v>14155000</v>
      </c>
      <c r="C185" s="94">
        <v>14536000</v>
      </c>
      <c r="D185" s="94">
        <v>14175000</v>
      </c>
      <c r="E185" s="95">
        <v>43061</v>
      </c>
      <c r="F185" s="96" t="s">
        <v>1353</v>
      </c>
    </row>
    <row r="186" spans="1:6">
      <c r="A186" s="94">
        <v>14285000</v>
      </c>
      <c r="B186" s="94">
        <v>14136000</v>
      </c>
      <c r="C186" s="94">
        <v>14484000</v>
      </c>
      <c r="D186" s="94">
        <v>14441000</v>
      </c>
      <c r="E186" s="95">
        <v>43060</v>
      </c>
      <c r="F186" s="96" t="s">
        <v>1354</v>
      </c>
    </row>
    <row r="187" spans="1:6">
      <c r="A187" s="94">
        <v>14140000</v>
      </c>
      <c r="B187" s="94">
        <v>14105000</v>
      </c>
      <c r="C187" s="94">
        <v>14435000</v>
      </c>
      <c r="D187" s="94">
        <v>14210000</v>
      </c>
      <c r="E187" s="95">
        <v>43059</v>
      </c>
      <c r="F187" s="96" t="s">
        <v>1355</v>
      </c>
    </row>
    <row r="188" spans="1:6">
      <c r="A188" s="94">
        <v>14160000</v>
      </c>
      <c r="B188" s="94">
        <v>14145000</v>
      </c>
      <c r="C188" s="94">
        <v>14195000</v>
      </c>
      <c r="D188" s="94">
        <v>14155000</v>
      </c>
      <c r="E188" s="95">
        <v>43058</v>
      </c>
      <c r="F188" s="96" t="s">
        <v>1356</v>
      </c>
    </row>
    <row r="189" spans="1:6">
      <c r="A189" s="94">
        <v>14016000</v>
      </c>
      <c r="B189" s="94">
        <v>13990000</v>
      </c>
      <c r="C189" s="94">
        <v>14180000</v>
      </c>
      <c r="D189" s="94">
        <v>14145000</v>
      </c>
      <c r="E189" s="95">
        <v>43057</v>
      </c>
      <c r="F189" s="96" t="s">
        <v>1357</v>
      </c>
    </row>
    <row r="190" spans="1:6">
      <c r="A190" s="94">
        <v>13899000</v>
      </c>
      <c r="B190" s="94">
        <v>13855000</v>
      </c>
      <c r="C190" s="94">
        <v>13900000</v>
      </c>
      <c r="D190" s="94">
        <v>13895000</v>
      </c>
      <c r="E190" s="95">
        <v>43055</v>
      </c>
      <c r="F190" s="96" t="s">
        <v>1358</v>
      </c>
    </row>
    <row r="191" spans="1:6">
      <c r="A191" s="94">
        <v>13940000</v>
      </c>
      <c r="B191" s="94">
        <v>13866000</v>
      </c>
      <c r="C191" s="94">
        <v>13940000</v>
      </c>
      <c r="D191" s="94">
        <v>13883000</v>
      </c>
      <c r="E191" s="95">
        <v>43054</v>
      </c>
      <c r="F191" s="96" t="s">
        <v>1359</v>
      </c>
    </row>
    <row r="192" spans="1:6">
      <c r="A192" s="94">
        <v>13940000</v>
      </c>
      <c r="B192" s="94">
        <v>13825000</v>
      </c>
      <c r="C192" s="94">
        <v>13975000</v>
      </c>
      <c r="D192" s="94">
        <v>13895000</v>
      </c>
      <c r="E192" s="95">
        <v>43053</v>
      </c>
      <c r="F192" s="96" t="s">
        <v>1360</v>
      </c>
    </row>
    <row r="193" spans="1:6">
      <c r="A193" s="94">
        <v>13705000</v>
      </c>
      <c r="B193" s="94">
        <v>13690000</v>
      </c>
      <c r="C193" s="94">
        <v>13990000</v>
      </c>
      <c r="D193" s="94">
        <v>13880000</v>
      </c>
      <c r="E193" s="95">
        <v>43052</v>
      </c>
      <c r="F193" s="96" t="s">
        <v>1361</v>
      </c>
    </row>
    <row r="194" spans="1:6">
      <c r="A194" s="94">
        <v>13487000</v>
      </c>
      <c r="B194" s="94">
        <v>13472000</v>
      </c>
      <c r="C194" s="94">
        <v>13760000</v>
      </c>
      <c r="D194" s="94">
        <v>13730000</v>
      </c>
      <c r="E194" s="95">
        <v>43051</v>
      </c>
      <c r="F194" s="96" t="s">
        <v>1362</v>
      </c>
    </row>
    <row r="195" spans="1:6">
      <c r="A195" s="94">
        <v>13564000</v>
      </c>
      <c r="B195" s="94">
        <v>13457000</v>
      </c>
      <c r="C195" s="94">
        <v>13635000</v>
      </c>
      <c r="D195" s="94">
        <v>13497000</v>
      </c>
      <c r="E195" s="95">
        <v>43050</v>
      </c>
      <c r="F195" s="96" t="s">
        <v>1363</v>
      </c>
    </row>
    <row r="196" spans="1:6">
      <c r="A196" s="94">
        <v>13494000</v>
      </c>
      <c r="B196" s="94">
        <v>13494000</v>
      </c>
      <c r="C196" s="94">
        <v>13594000</v>
      </c>
      <c r="D196" s="94">
        <v>13582000</v>
      </c>
      <c r="E196" s="95">
        <v>43048</v>
      </c>
      <c r="F196" s="96" t="s">
        <v>1364</v>
      </c>
    </row>
    <row r="197" spans="1:6">
      <c r="A197" s="94">
        <v>13405000</v>
      </c>
      <c r="B197" s="94">
        <v>13405000</v>
      </c>
      <c r="C197" s="94">
        <v>13510000</v>
      </c>
      <c r="D197" s="94">
        <v>13497000</v>
      </c>
      <c r="E197" s="95">
        <v>43047</v>
      </c>
      <c r="F197" s="96" t="s">
        <v>1365</v>
      </c>
    </row>
    <row r="198" spans="1:6">
      <c r="A198" s="94">
        <v>13450000</v>
      </c>
      <c r="B198" s="94">
        <v>13360000</v>
      </c>
      <c r="C198" s="94">
        <v>13482000</v>
      </c>
      <c r="D198" s="94">
        <v>13393000</v>
      </c>
      <c r="E198" s="95">
        <v>43046</v>
      </c>
      <c r="F198" s="96" t="s">
        <v>1366</v>
      </c>
    </row>
    <row r="199" spans="1:6">
      <c r="A199" s="94">
        <v>13292000</v>
      </c>
      <c r="B199" s="94">
        <v>13290000</v>
      </c>
      <c r="C199" s="94">
        <v>13445000</v>
      </c>
      <c r="D199" s="94">
        <v>13430000</v>
      </c>
      <c r="E199" s="95">
        <v>43045</v>
      </c>
      <c r="F199" s="96" t="s">
        <v>1367</v>
      </c>
    </row>
    <row r="200" spans="1:6">
      <c r="A200" s="94">
        <v>13182000</v>
      </c>
      <c r="B200" s="94">
        <v>13165000</v>
      </c>
      <c r="C200" s="94">
        <v>13317000</v>
      </c>
      <c r="D200" s="94">
        <v>13302000</v>
      </c>
      <c r="E200" s="95">
        <v>43044</v>
      </c>
      <c r="F200" s="96" t="s">
        <v>1368</v>
      </c>
    </row>
    <row r="201" spans="1:6">
      <c r="A201" s="94">
        <v>13155000</v>
      </c>
      <c r="B201" s="94">
        <v>13144000</v>
      </c>
      <c r="C201" s="94">
        <v>13192000</v>
      </c>
      <c r="D201" s="94">
        <v>13187000</v>
      </c>
      <c r="E201" s="95">
        <v>43043</v>
      </c>
      <c r="F201" s="96" t="s">
        <v>1369</v>
      </c>
    </row>
    <row r="202" spans="1:6">
      <c r="A202" s="94">
        <v>13170000</v>
      </c>
      <c r="B202" s="94">
        <v>13155000</v>
      </c>
      <c r="C202" s="94">
        <v>13215000</v>
      </c>
      <c r="D202" s="94">
        <v>13195000</v>
      </c>
      <c r="E202" s="95">
        <v>43041</v>
      </c>
      <c r="F202" s="96" t="s">
        <v>1370</v>
      </c>
    </row>
    <row r="203" spans="1:6">
      <c r="A203" s="94">
        <v>13141000</v>
      </c>
      <c r="B203" s="94">
        <v>13141000</v>
      </c>
      <c r="C203" s="94">
        <v>13197000</v>
      </c>
      <c r="D203" s="94">
        <v>13180000</v>
      </c>
      <c r="E203" s="95">
        <v>43040</v>
      </c>
      <c r="F203" s="96" t="s">
        <v>1371</v>
      </c>
    </row>
    <row r="204" spans="1:6">
      <c r="A204" s="94">
        <v>13135000</v>
      </c>
      <c r="B204" s="94">
        <v>13113000</v>
      </c>
      <c r="C204" s="94">
        <v>13160000</v>
      </c>
      <c r="D204" s="94">
        <v>13133000</v>
      </c>
      <c r="E204" s="95">
        <v>43039</v>
      </c>
      <c r="F204" s="96" t="s">
        <v>1372</v>
      </c>
    </row>
    <row r="205" spans="1:6">
      <c r="A205" s="94">
        <v>13168000</v>
      </c>
      <c r="B205" s="94">
        <v>13120000</v>
      </c>
      <c r="C205" s="94">
        <v>13180000</v>
      </c>
      <c r="D205" s="94">
        <v>13144000</v>
      </c>
      <c r="E205" s="95">
        <v>43038</v>
      </c>
      <c r="F205" s="96" t="s">
        <v>1373</v>
      </c>
    </row>
    <row r="206" spans="1:6">
      <c r="A206" s="94">
        <v>13186000</v>
      </c>
      <c r="B206" s="94">
        <v>13154000</v>
      </c>
      <c r="C206" s="94">
        <v>13220000</v>
      </c>
      <c r="D206" s="94">
        <v>13190000</v>
      </c>
      <c r="E206" s="95">
        <v>43037</v>
      </c>
      <c r="F206" s="96" t="s">
        <v>1374</v>
      </c>
    </row>
    <row r="207" spans="1:6">
      <c r="A207" s="94">
        <v>13056000</v>
      </c>
      <c r="B207" s="94">
        <v>13056000</v>
      </c>
      <c r="C207" s="94">
        <v>13189000</v>
      </c>
      <c r="D207" s="94">
        <v>13174000</v>
      </c>
      <c r="E207" s="95">
        <v>43036</v>
      </c>
      <c r="F207" s="96" t="s">
        <v>1375</v>
      </c>
    </row>
    <row r="208" spans="1:6">
      <c r="A208" s="94">
        <v>13090000</v>
      </c>
      <c r="B208" s="94">
        <v>13026000</v>
      </c>
      <c r="C208" s="94">
        <v>13107000</v>
      </c>
      <c r="D208" s="94">
        <v>13026000</v>
      </c>
      <c r="E208" s="95">
        <v>43034</v>
      </c>
      <c r="F208" s="96" t="s">
        <v>1376</v>
      </c>
    </row>
    <row r="209" spans="1:6">
      <c r="A209" s="94">
        <v>13127000</v>
      </c>
      <c r="B209" s="94">
        <v>13065000</v>
      </c>
      <c r="C209" s="94">
        <v>13127000</v>
      </c>
      <c r="D209" s="94">
        <v>13080000</v>
      </c>
      <c r="E209" s="95">
        <v>43033</v>
      </c>
      <c r="F209" s="96" t="s">
        <v>1377</v>
      </c>
    </row>
    <row r="210" spans="1:6">
      <c r="A210" s="94">
        <v>13076000</v>
      </c>
      <c r="B210" s="94">
        <v>13070000</v>
      </c>
      <c r="C210" s="94">
        <v>13130000</v>
      </c>
      <c r="D210" s="94">
        <v>13110000</v>
      </c>
      <c r="E210" s="95">
        <v>43032</v>
      </c>
      <c r="F210" s="96" t="s">
        <v>1378</v>
      </c>
    </row>
    <row r="211" spans="1:6">
      <c r="A211" s="94">
        <v>12947000</v>
      </c>
      <c r="B211" s="94">
        <v>12945000</v>
      </c>
      <c r="C211" s="94">
        <v>13066000</v>
      </c>
      <c r="D211" s="94">
        <v>13056000</v>
      </c>
      <c r="E211" s="95">
        <v>43031</v>
      </c>
      <c r="F211" s="96" t="s">
        <v>1379</v>
      </c>
    </row>
    <row r="212" spans="1:6">
      <c r="A212" s="94">
        <v>12944000</v>
      </c>
      <c r="B212" s="94">
        <v>12934000</v>
      </c>
      <c r="C212" s="94">
        <v>12970000</v>
      </c>
      <c r="D212" s="94">
        <v>12965000</v>
      </c>
      <c r="E212" s="95">
        <v>43030</v>
      </c>
      <c r="F212" s="96" t="s">
        <v>1380</v>
      </c>
    </row>
    <row r="213" spans="1:6">
      <c r="A213" s="94">
        <v>13000000</v>
      </c>
      <c r="B213" s="94">
        <v>12930000</v>
      </c>
      <c r="C213" s="94">
        <v>13010000</v>
      </c>
      <c r="D213" s="94">
        <v>12952000</v>
      </c>
      <c r="E213" s="95">
        <v>43029</v>
      </c>
      <c r="F213" s="96" t="s">
        <v>1381</v>
      </c>
    </row>
    <row r="214" spans="1:6">
      <c r="A214" s="94">
        <v>13080000</v>
      </c>
      <c r="B214" s="94">
        <v>13080000</v>
      </c>
      <c r="C214" s="94">
        <v>13114000</v>
      </c>
      <c r="D214" s="94">
        <v>13103000</v>
      </c>
      <c r="E214" s="95">
        <v>43027</v>
      </c>
      <c r="F214" s="96" t="s">
        <v>1382</v>
      </c>
    </row>
    <row r="215" spans="1:6">
      <c r="A215" s="94">
        <v>13099000</v>
      </c>
      <c r="B215" s="94">
        <v>13055000</v>
      </c>
      <c r="C215" s="94">
        <v>13125000</v>
      </c>
      <c r="D215" s="94">
        <v>13085000</v>
      </c>
      <c r="E215" s="95">
        <v>43026</v>
      </c>
      <c r="F215" s="96" t="s">
        <v>1383</v>
      </c>
    </row>
    <row r="216" spans="1:6">
      <c r="A216" s="94">
        <v>13118000</v>
      </c>
      <c r="B216" s="94">
        <v>13046000</v>
      </c>
      <c r="C216" s="94">
        <v>13118000</v>
      </c>
      <c r="D216" s="94">
        <v>13089000</v>
      </c>
      <c r="E216" s="95">
        <v>43025</v>
      </c>
      <c r="F216" s="96" t="s">
        <v>1384</v>
      </c>
    </row>
    <row r="217" spans="1:6">
      <c r="A217" s="94">
        <v>13147000</v>
      </c>
      <c r="B217" s="94">
        <v>13130000</v>
      </c>
      <c r="C217" s="94">
        <v>13190000</v>
      </c>
      <c r="D217" s="94">
        <v>13140000</v>
      </c>
      <c r="E217" s="95">
        <v>43024</v>
      </c>
      <c r="F217" s="96" t="s">
        <v>1385</v>
      </c>
    </row>
    <row r="218" spans="1:6">
      <c r="A218" s="94">
        <v>13134000</v>
      </c>
      <c r="B218" s="94">
        <v>13077000</v>
      </c>
      <c r="C218" s="94">
        <v>13190000</v>
      </c>
      <c r="D218" s="94">
        <v>13136000</v>
      </c>
      <c r="E218" s="95">
        <v>43023</v>
      </c>
      <c r="F218" s="96" t="s">
        <v>1386</v>
      </c>
    </row>
    <row r="219" spans="1:6">
      <c r="A219" s="94">
        <v>13145000</v>
      </c>
      <c r="B219" s="94">
        <v>13079000</v>
      </c>
      <c r="C219" s="94">
        <v>13145000</v>
      </c>
      <c r="D219" s="94">
        <v>13110000</v>
      </c>
      <c r="E219" s="95">
        <v>43022</v>
      </c>
      <c r="F219" s="96" t="s">
        <v>1387</v>
      </c>
    </row>
    <row r="220" spans="1:6">
      <c r="A220" s="94">
        <v>13122000</v>
      </c>
      <c r="B220" s="94">
        <v>13122000</v>
      </c>
      <c r="C220" s="94">
        <v>13235000</v>
      </c>
      <c r="D220" s="94">
        <v>13200000</v>
      </c>
      <c r="E220" s="95">
        <v>43020</v>
      </c>
      <c r="F220" s="96" t="s">
        <v>1388</v>
      </c>
    </row>
    <row r="221" spans="1:6">
      <c r="A221" s="94">
        <v>13050000</v>
      </c>
      <c r="B221" s="94">
        <v>13020000</v>
      </c>
      <c r="C221" s="94">
        <v>13155000</v>
      </c>
      <c r="D221" s="94">
        <v>13072000</v>
      </c>
      <c r="E221" s="95">
        <v>43019</v>
      </c>
      <c r="F221" s="96" t="s">
        <v>1389</v>
      </c>
    </row>
    <row r="222" spans="1:6">
      <c r="A222" s="94">
        <v>13055000</v>
      </c>
      <c r="B222" s="94">
        <v>13020000</v>
      </c>
      <c r="C222" s="94">
        <v>13160000</v>
      </c>
      <c r="D222" s="94">
        <v>13060000</v>
      </c>
      <c r="E222" s="95">
        <v>43018</v>
      </c>
      <c r="F222" s="96" t="s">
        <v>1390</v>
      </c>
    </row>
    <row r="223" spans="1:6">
      <c r="A223" s="94">
        <v>12940000</v>
      </c>
      <c r="B223" s="94">
        <v>12925000</v>
      </c>
      <c r="C223" s="94">
        <v>13205000</v>
      </c>
      <c r="D223" s="94">
        <v>13125000</v>
      </c>
      <c r="E223" s="95">
        <v>43017</v>
      </c>
      <c r="F223" s="96" t="s">
        <v>1391</v>
      </c>
    </row>
    <row r="224" spans="1:6">
      <c r="A224" s="94">
        <v>12883000</v>
      </c>
      <c r="B224" s="94">
        <v>12820000</v>
      </c>
      <c r="C224" s="94">
        <v>12990000</v>
      </c>
      <c r="D224" s="94">
        <v>12970000</v>
      </c>
      <c r="E224" s="95">
        <v>43016</v>
      </c>
      <c r="F224" s="96" t="s">
        <v>1392</v>
      </c>
    </row>
    <row r="225" spans="1:6">
      <c r="A225" s="94">
        <v>12560000</v>
      </c>
      <c r="B225" s="94">
        <v>12554000</v>
      </c>
      <c r="C225" s="94">
        <v>12910000</v>
      </c>
      <c r="D225" s="94">
        <v>12875000</v>
      </c>
      <c r="E225" s="95">
        <v>43015</v>
      </c>
      <c r="F225" s="96" t="s">
        <v>1393</v>
      </c>
    </row>
    <row r="226" spans="1:6">
      <c r="A226" s="94">
        <v>12535000</v>
      </c>
      <c r="B226" s="94">
        <v>12521000</v>
      </c>
      <c r="C226" s="94">
        <v>12582000</v>
      </c>
      <c r="D226" s="94">
        <v>12530000</v>
      </c>
      <c r="E226" s="95">
        <v>43013</v>
      </c>
      <c r="F226" s="96" t="s">
        <v>1394</v>
      </c>
    </row>
    <row r="227" spans="1:6">
      <c r="A227" s="94">
        <v>12473000</v>
      </c>
      <c r="B227" s="94">
        <v>12473000</v>
      </c>
      <c r="C227" s="94">
        <v>12560000</v>
      </c>
      <c r="D227" s="94">
        <v>12532000</v>
      </c>
      <c r="E227" s="95">
        <v>43012</v>
      </c>
      <c r="F227" s="96" t="s">
        <v>1395</v>
      </c>
    </row>
    <row r="228" spans="1:6">
      <c r="A228" s="94">
        <v>12431000</v>
      </c>
      <c r="B228" s="94">
        <v>12412000</v>
      </c>
      <c r="C228" s="94">
        <v>12496000</v>
      </c>
      <c r="D228" s="94">
        <v>12474000</v>
      </c>
      <c r="E228" s="95">
        <v>43011</v>
      </c>
      <c r="F228" s="96" t="s">
        <v>1396</v>
      </c>
    </row>
    <row r="229" spans="1:6">
      <c r="A229" s="94">
        <v>12431000</v>
      </c>
      <c r="B229" s="94">
        <v>12406000</v>
      </c>
      <c r="C229" s="94">
        <v>12451000</v>
      </c>
      <c r="D229" s="94">
        <v>12441000</v>
      </c>
      <c r="E229" s="95">
        <v>43010</v>
      </c>
      <c r="F229" s="96" t="s">
        <v>1397</v>
      </c>
    </row>
    <row r="230" spans="1:6">
      <c r="A230" s="94">
        <v>12446000</v>
      </c>
      <c r="B230" s="94">
        <v>12446000</v>
      </c>
      <c r="C230" s="94">
        <v>12446000</v>
      </c>
      <c r="D230" s="94">
        <v>12446000</v>
      </c>
      <c r="E230" s="95">
        <v>43008</v>
      </c>
      <c r="F230" s="96" t="s">
        <v>1398</v>
      </c>
    </row>
    <row r="231" spans="1:6">
      <c r="A231" s="94">
        <v>12446000</v>
      </c>
      <c r="B231" s="94">
        <v>12426000</v>
      </c>
      <c r="C231" s="94">
        <v>12471000</v>
      </c>
      <c r="D231" s="94">
        <v>12466000</v>
      </c>
      <c r="E231" s="95">
        <v>43006</v>
      </c>
      <c r="F231" s="96" t="s">
        <v>1399</v>
      </c>
    </row>
    <row r="232" spans="1:6">
      <c r="A232" s="94">
        <v>12437000</v>
      </c>
      <c r="B232" s="94">
        <v>12419000</v>
      </c>
      <c r="C232" s="94">
        <v>12471000</v>
      </c>
      <c r="D232" s="94">
        <v>12461000</v>
      </c>
      <c r="E232" s="95">
        <v>43005</v>
      </c>
      <c r="F232" s="96" t="s">
        <v>1400</v>
      </c>
    </row>
    <row r="233" spans="1:6">
      <c r="A233" s="94">
        <v>12471000</v>
      </c>
      <c r="B233" s="94">
        <v>12419000</v>
      </c>
      <c r="C233" s="94">
        <v>12489000</v>
      </c>
      <c r="D233" s="94">
        <v>12449000</v>
      </c>
      <c r="E233" s="95">
        <v>43004</v>
      </c>
      <c r="F233" s="96" t="s">
        <v>1401</v>
      </c>
    </row>
    <row r="234" spans="1:6">
      <c r="A234" s="94">
        <v>12395000</v>
      </c>
      <c r="B234" s="94">
        <v>12385000</v>
      </c>
      <c r="C234" s="94">
        <v>12494000</v>
      </c>
      <c r="D234" s="94">
        <v>12484000</v>
      </c>
      <c r="E234" s="95">
        <v>43003</v>
      </c>
      <c r="F234" s="96" t="s">
        <v>1402</v>
      </c>
    </row>
    <row r="235" spans="1:6">
      <c r="A235" s="94">
        <v>12380000</v>
      </c>
      <c r="B235" s="94">
        <v>12379000</v>
      </c>
      <c r="C235" s="94">
        <v>12423000</v>
      </c>
      <c r="D235" s="94">
        <v>12413000</v>
      </c>
      <c r="E235" s="95">
        <v>43002</v>
      </c>
      <c r="F235" s="96" t="s">
        <v>1403</v>
      </c>
    </row>
    <row r="236" spans="1:6">
      <c r="A236" s="94">
        <v>12356000</v>
      </c>
      <c r="B236" s="94">
        <v>12356000</v>
      </c>
      <c r="C236" s="94">
        <v>12405000</v>
      </c>
      <c r="D236" s="94">
        <v>12377000</v>
      </c>
      <c r="E236" s="95">
        <v>43001</v>
      </c>
      <c r="F236" s="96" t="s">
        <v>1404</v>
      </c>
    </row>
    <row r="237" spans="1:6">
      <c r="A237" s="94">
        <v>12403000</v>
      </c>
      <c r="B237" s="94">
        <v>12326000</v>
      </c>
      <c r="C237" s="94">
        <v>12403000</v>
      </c>
      <c r="D237" s="94">
        <v>12361000</v>
      </c>
      <c r="E237" s="95">
        <v>42999</v>
      </c>
      <c r="F237" s="96" t="s">
        <v>1405</v>
      </c>
    </row>
    <row r="238" spans="1:6">
      <c r="A238" s="94">
        <v>12456000</v>
      </c>
      <c r="B238" s="94">
        <v>12445000</v>
      </c>
      <c r="C238" s="94">
        <v>12488000</v>
      </c>
      <c r="D238" s="94">
        <v>12461000</v>
      </c>
      <c r="E238" s="95">
        <v>42998</v>
      </c>
      <c r="F238" s="96" t="s">
        <v>1406</v>
      </c>
    </row>
    <row r="239" spans="1:6">
      <c r="A239" s="94">
        <v>12420000</v>
      </c>
      <c r="B239" s="94">
        <v>12420000</v>
      </c>
      <c r="C239" s="94">
        <v>12475000</v>
      </c>
      <c r="D239" s="94">
        <v>12425000</v>
      </c>
      <c r="E239" s="95">
        <v>42997</v>
      </c>
      <c r="F239" s="96" t="s">
        <v>1407</v>
      </c>
    </row>
    <row r="240" spans="1:6">
      <c r="A240" s="94">
        <v>12438000</v>
      </c>
      <c r="B240" s="94">
        <v>12392000</v>
      </c>
      <c r="C240" s="94">
        <v>12438000</v>
      </c>
      <c r="D240" s="94">
        <v>12412000</v>
      </c>
      <c r="E240" s="95">
        <v>42996</v>
      </c>
      <c r="F240" s="96" t="s">
        <v>1408</v>
      </c>
    </row>
    <row r="241" spans="1:6">
      <c r="A241" s="94">
        <v>12473000</v>
      </c>
      <c r="B241" s="94">
        <v>12432000</v>
      </c>
      <c r="C241" s="94">
        <v>12514000</v>
      </c>
      <c r="D241" s="94">
        <v>12443000</v>
      </c>
      <c r="E241" s="95">
        <v>42995</v>
      </c>
      <c r="F241" s="96" t="s">
        <v>1409</v>
      </c>
    </row>
    <row r="242" spans="1:6">
      <c r="A242" s="94">
        <v>12537000</v>
      </c>
      <c r="B242" s="94">
        <v>12469000</v>
      </c>
      <c r="C242" s="94">
        <v>12540000</v>
      </c>
      <c r="D242" s="94">
        <v>12479000</v>
      </c>
      <c r="E242" s="95">
        <v>42994</v>
      </c>
      <c r="F242" s="96" t="s">
        <v>1410</v>
      </c>
    </row>
    <row r="243" spans="1:6">
      <c r="A243" s="94">
        <v>12575000</v>
      </c>
      <c r="B243" s="94">
        <v>12537000</v>
      </c>
      <c r="C243" s="94">
        <v>12599000</v>
      </c>
      <c r="D243" s="94">
        <v>12542000</v>
      </c>
      <c r="E243" s="95">
        <v>42992</v>
      </c>
      <c r="F243" s="96" t="s">
        <v>1411</v>
      </c>
    </row>
    <row r="244" spans="1:6">
      <c r="A244" s="94">
        <v>12699000</v>
      </c>
      <c r="B244" s="94">
        <v>12592000</v>
      </c>
      <c r="C244" s="94">
        <v>12753000</v>
      </c>
      <c r="D244" s="94">
        <v>12594000</v>
      </c>
      <c r="E244" s="95">
        <v>42991</v>
      </c>
      <c r="F244" s="96" t="s">
        <v>1412</v>
      </c>
    </row>
    <row r="245" spans="1:6">
      <c r="A245" s="94">
        <v>12548000</v>
      </c>
      <c r="B245" s="94">
        <v>12548000</v>
      </c>
      <c r="C245" s="94">
        <v>12655000</v>
      </c>
      <c r="D245" s="94">
        <v>12628000</v>
      </c>
      <c r="E245" s="95">
        <v>42990</v>
      </c>
      <c r="F245" s="96" t="s">
        <v>1413</v>
      </c>
    </row>
    <row r="246" spans="1:6">
      <c r="A246" s="94">
        <v>12662000</v>
      </c>
      <c r="B246" s="94">
        <v>12562000</v>
      </c>
      <c r="C246" s="94">
        <v>12662000</v>
      </c>
      <c r="D246" s="94">
        <v>12572000</v>
      </c>
      <c r="E246" s="95">
        <v>42989</v>
      </c>
      <c r="F246" s="96" t="s">
        <v>1414</v>
      </c>
    </row>
    <row r="247" spans="1:6">
      <c r="A247" s="94">
        <v>12743000</v>
      </c>
      <c r="B247" s="94">
        <v>12667000</v>
      </c>
      <c r="C247" s="94">
        <v>12743000</v>
      </c>
      <c r="D247" s="94">
        <v>12682000</v>
      </c>
      <c r="E247" s="95">
        <v>42988</v>
      </c>
      <c r="F247" s="96" t="s">
        <v>1415</v>
      </c>
    </row>
    <row r="248" spans="1:6">
      <c r="A248" s="94">
        <v>12738000</v>
      </c>
      <c r="B248" s="94">
        <v>12725000</v>
      </c>
      <c r="C248" s="94">
        <v>12758000</v>
      </c>
      <c r="D248" s="94">
        <v>12744000</v>
      </c>
      <c r="E248" s="95">
        <v>42987</v>
      </c>
      <c r="F248" s="96" t="s">
        <v>1416</v>
      </c>
    </row>
    <row r="249" spans="1:6">
      <c r="A249" s="94">
        <v>12650000</v>
      </c>
      <c r="B249" s="94">
        <v>12650000</v>
      </c>
      <c r="C249" s="94">
        <v>12738000</v>
      </c>
      <c r="D249" s="94">
        <v>12728000</v>
      </c>
      <c r="E249" s="95">
        <v>42985</v>
      </c>
      <c r="F249" s="96" t="s">
        <v>1417</v>
      </c>
    </row>
    <row r="250" spans="1:6">
      <c r="A250" s="94">
        <v>12576000</v>
      </c>
      <c r="B250" s="94">
        <v>12556000</v>
      </c>
      <c r="C250" s="94">
        <v>12710000</v>
      </c>
      <c r="D250" s="94">
        <v>12660000</v>
      </c>
      <c r="E250" s="95">
        <v>42984</v>
      </c>
      <c r="F250" s="96" t="s">
        <v>1418</v>
      </c>
    </row>
    <row r="251" spans="1:6">
      <c r="A251" s="94">
        <v>12564000</v>
      </c>
      <c r="B251" s="94">
        <v>12515000</v>
      </c>
      <c r="C251" s="94">
        <v>12589000</v>
      </c>
      <c r="D251" s="94">
        <v>12579000</v>
      </c>
      <c r="E251" s="95">
        <v>42983</v>
      </c>
      <c r="F251" s="96" t="s">
        <v>1419</v>
      </c>
    </row>
    <row r="252" spans="1:6">
      <c r="A252" s="94">
        <v>12784000</v>
      </c>
      <c r="B252" s="94">
        <v>12554000</v>
      </c>
      <c r="C252" s="94">
        <v>12784000</v>
      </c>
      <c r="D252" s="94">
        <v>12559000</v>
      </c>
      <c r="E252" s="95">
        <v>42982</v>
      </c>
      <c r="F252" s="96" t="s">
        <v>1420</v>
      </c>
    </row>
    <row r="253" spans="1:6">
      <c r="A253" s="94">
        <v>12547000</v>
      </c>
      <c r="B253" s="94">
        <v>12532000</v>
      </c>
      <c r="C253" s="94">
        <v>12761000</v>
      </c>
      <c r="D253" s="94">
        <v>12749000</v>
      </c>
      <c r="E253" s="95">
        <v>42981</v>
      </c>
      <c r="F253" s="96" t="s">
        <v>1421</v>
      </c>
    </row>
    <row r="254" spans="1:6">
      <c r="A254" s="94">
        <v>12349000</v>
      </c>
      <c r="B254" s="94">
        <v>12339000</v>
      </c>
      <c r="C254" s="94">
        <v>12568000</v>
      </c>
      <c r="D254" s="94">
        <v>12531000</v>
      </c>
      <c r="E254" s="95">
        <v>42980</v>
      </c>
      <c r="F254" s="96" t="s">
        <v>1422</v>
      </c>
    </row>
    <row r="255" spans="1:6">
      <c r="A255" s="94">
        <v>12212000</v>
      </c>
      <c r="B255" s="94">
        <v>12195000</v>
      </c>
      <c r="C255" s="94">
        <v>12274000</v>
      </c>
      <c r="D255" s="94">
        <v>12263000</v>
      </c>
      <c r="E255" s="95">
        <v>42978</v>
      </c>
      <c r="F255" s="96" t="s">
        <v>1423</v>
      </c>
    </row>
    <row r="256" spans="1:6">
      <c r="A256" s="94">
        <v>12251000</v>
      </c>
      <c r="B256" s="94">
        <v>12220000</v>
      </c>
      <c r="C256" s="94">
        <v>12270000</v>
      </c>
      <c r="D256" s="94">
        <v>12228000</v>
      </c>
      <c r="E256" s="95">
        <v>42977</v>
      </c>
      <c r="F256" s="96" t="s">
        <v>1424</v>
      </c>
    </row>
    <row r="257" spans="1:6">
      <c r="A257" s="94">
        <v>12265000</v>
      </c>
      <c r="B257" s="94">
        <v>12259000</v>
      </c>
      <c r="C257" s="94">
        <v>12324000</v>
      </c>
      <c r="D257" s="94">
        <v>12266000</v>
      </c>
      <c r="E257" s="95">
        <v>42976</v>
      </c>
      <c r="F257" s="96" t="s">
        <v>1425</v>
      </c>
    </row>
    <row r="258" spans="1:6">
      <c r="A258" s="94">
        <v>12220000</v>
      </c>
      <c r="B258" s="94">
        <v>12217000</v>
      </c>
      <c r="C258" s="94">
        <v>12260000</v>
      </c>
      <c r="D258" s="94">
        <v>12256000</v>
      </c>
      <c r="E258" s="95">
        <v>42975</v>
      </c>
      <c r="F258" s="96" t="s">
        <v>1426</v>
      </c>
    </row>
    <row r="259" spans="1:6">
      <c r="A259" s="94">
        <v>12174000</v>
      </c>
      <c r="B259" s="94">
        <v>12174000</v>
      </c>
      <c r="C259" s="94">
        <v>12231000</v>
      </c>
      <c r="D259" s="94">
        <v>12208000</v>
      </c>
      <c r="E259" s="95">
        <v>42974</v>
      </c>
      <c r="F259" s="96" t="s">
        <v>1427</v>
      </c>
    </row>
    <row r="260" spans="1:6">
      <c r="A260" s="94">
        <v>12125000</v>
      </c>
      <c r="B260" s="94">
        <v>12125000</v>
      </c>
      <c r="C260" s="94">
        <v>12174000</v>
      </c>
      <c r="D260" s="94">
        <v>12173000</v>
      </c>
      <c r="E260" s="95">
        <v>42973</v>
      </c>
      <c r="F260" s="96" t="s">
        <v>1428</v>
      </c>
    </row>
    <row r="261" spans="1:6">
      <c r="A261" s="94">
        <v>12116000</v>
      </c>
      <c r="B261" s="94">
        <v>12105000</v>
      </c>
      <c r="C261" s="94">
        <v>12131000</v>
      </c>
      <c r="D261" s="94">
        <v>12122000</v>
      </c>
      <c r="E261" s="95">
        <v>42971</v>
      </c>
      <c r="F261" s="96" t="s">
        <v>1429</v>
      </c>
    </row>
    <row r="262" spans="1:6">
      <c r="A262" s="94">
        <v>12102000</v>
      </c>
      <c r="B262" s="94">
        <v>12098000</v>
      </c>
      <c r="C262" s="94">
        <v>12124000</v>
      </c>
      <c r="D262" s="94">
        <v>12106000</v>
      </c>
      <c r="E262" s="95">
        <v>42970</v>
      </c>
      <c r="F262" s="96" t="s">
        <v>1430</v>
      </c>
    </row>
    <row r="263" spans="1:6">
      <c r="A263" s="94">
        <v>12136000</v>
      </c>
      <c r="B263" s="94">
        <v>12097000</v>
      </c>
      <c r="C263" s="94">
        <v>12136000</v>
      </c>
      <c r="D263" s="94">
        <v>12107000</v>
      </c>
      <c r="E263" s="95">
        <v>42969</v>
      </c>
      <c r="F263" s="96" t="s">
        <v>1431</v>
      </c>
    </row>
    <row r="264" spans="1:6">
      <c r="A264" s="94">
        <v>12072000</v>
      </c>
      <c r="B264" s="94">
        <v>12063000</v>
      </c>
      <c r="C264" s="94">
        <v>12141000</v>
      </c>
      <c r="D264" s="94">
        <v>12141000</v>
      </c>
      <c r="E264" s="95">
        <v>42968</v>
      </c>
      <c r="F264" s="96" t="s">
        <v>1432</v>
      </c>
    </row>
    <row r="265" spans="1:6">
      <c r="A265" s="94">
        <v>12089000</v>
      </c>
      <c r="B265" s="94">
        <v>12061000</v>
      </c>
      <c r="C265" s="94">
        <v>12098000</v>
      </c>
      <c r="D265" s="94">
        <v>12073000</v>
      </c>
      <c r="E265" s="95">
        <v>42967</v>
      </c>
      <c r="F265" s="96" t="s">
        <v>1433</v>
      </c>
    </row>
    <row r="266" spans="1:6">
      <c r="A266" s="94">
        <v>12108000</v>
      </c>
      <c r="B266" s="94">
        <v>12068000</v>
      </c>
      <c r="C266" s="94">
        <v>12119000</v>
      </c>
      <c r="D266" s="94">
        <v>12088000</v>
      </c>
      <c r="E266" s="95">
        <v>42966</v>
      </c>
      <c r="F266" s="96" t="s">
        <v>1434</v>
      </c>
    </row>
    <row r="267" spans="1:6">
      <c r="A267" s="94">
        <v>12141000</v>
      </c>
      <c r="B267" s="94">
        <v>12115000</v>
      </c>
      <c r="C267" s="94">
        <v>12153000</v>
      </c>
      <c r="D267" s="94">
        <v>12122000</v>
      </c>
      <c r="E267" s="95">
        <v>42964</v>
      </c>
      <c r="F267" s="96" t="s">
        <v>1435</v>
      </c>
    </row>
    <row r="268" spans="1:6">
      <c r="A268" s="94">
        <v>12122000</v>
      </c>
      <c r="B268" s="94">
        <v>12105000</v>
      </c>
      <c r="C268" s="94">
        <v>12136000</v>
      </c>
      <c r="D268" s="94">
        <v>12122000</v>
      </c>
      <c r="E268" s="95">
        <v>42963</v>
      </c>
      <c r="F268" s="96" t="s">
        <v>1436</v>
      </c>
    </row>
    <row r="269" spans="1:6">
      <c r="A269" s="94">
        <v>12144000</v>
      </c>
      <c r="B269" s="94">
        <v>12114000</v>
      </c>
      <c r="C269" s="94">
        <v>12147000</v>
      </c>
      <c r="D269" s="94">
        <v>12130000</v>
      </c>
      <c r="E269" s="95">
        <v>42962</v>
      </c>
      <c r="F269" s="96" t="s">
        <v>1437</v>
      </c>
    </row>
    <row r="270" spans="1:6">
      <c r="A270" s="94">
        <v>12214000</v>
      </c>
      <c r="B270" s="94">
        <v>12155000</v>
      </c>
      <c r="C270" s="94">
        <v>12216000</v>
      </c>
      <c r="D270" s="94">
        <v>12177000</v>
      </c>
      <c r="E270" s="95">
        <v>42961</v>
      </c>
      <c r="F270" s="96" t="s">
        <v>1438</v>
      </c>
    </row>
    <row r="271" spans="1:6">
      <c r="A271" s="94">
        <v>12237000</v>
      </c>
      <c r="B271" s="94">
        <v>12220500</v>
      </c>
      <c r="C271" s="94">
        <v>12240500</v>
      </c>
      <c r="D271" s="94">
        <v>12226000</v>
      </c>
      <c r="E271" s="95">
        <v>42960</v>
      </c>
      <c r="F271" s="96" t="s">
        <v>1439</v>
      </c>
    </row>
    <row r="272" spans="1:6">
      <c r="A272" s="94">
        <v>12260000</v>
      </c>
      <c r="B272" s="94">
        <v>12222000</v>
      </c>
      <c r="C272" s="94">
        <v>12261500</v>
      </c>
      <c r="D272" s="94">
        <v>12235500</v>
      </c>
      <c r="E272" s="95">
        <v>42959</v>
      </c>
      <c r="F272" s="96" t="s">
        <v>1440</v>
      </c>
    </row>
    <row r="273" spans="1:6">
      <c r="A273" s="94">
        <v>12215000</v>
      </c>
      <c r="B273" s="94">
        <v>12214000</v>
      </c>
      <c r="C273" s="94">
        <v>12225500</v>
      </c>
      <c r="D273" s="94">
        <v>12219000</v>
      </c>
      <c r="E273" s="95">
        <v>42957</v>
      </c>
      <c r="F273" s="96" t="s">
        <v>1441</v>
      </c>
    </row>
    <row r="274" spans="1:6">
      <c r="A274" s="94">
        <v>12212500</v>
      </c>
      <c r="B274" s="94">
        <v>12191000</v>
      </c>
      <c r="C274" s="94">
        <v>12232000</v>
      </c>
      <c r="D274" s="94">
        <v>12199000</v>
      </c>
      <c r="E274" s="95">
        <v>42956</v>
      </c>
      <c r="F274" s="96" t="s">
        <v>1442</v>
      </c>
    </row>
    <row r="275" spans="1:6">
      <c r="A275" s="94">
        <v>12179000</v>
      </c>
      <c r="B275" s="94">
        <v>12156000</v>
      </c>
      <c r="C275" s="94">
        <v>12224500</v>
      </c>
      <c r="D275" s="94">
        <v>12204500</v>
      </c>
      <c r="E275" s="95">
        <v>42955</v>
      </c>
      <c r="F275" s="96" t="s">
        <v>1443</v>
      </c>
    </row>
    <row r="276" spans="1:6">
      <c r="A276" s="94">
        <v>12146500</v>
      </c>
      <c r="B276" s="94">
        <v>12119500</v>
      </c>
      <c r="C276" s="94">
        <v>12188500</v>
      </c>
      <c r="D276" s="94">
        <v>12182500</v>
      </c>
      <c r="E276" s="95">
        <v>42954</v>
      </c>
      <c r="F276" s="96" t="s">
        <v>1444</v>
      </c>
    </row>
    <row r="277" spans="1:6">
      <c r="A277" s="94">
        <v>12181000</v>
      </c>
      <c r="B277" s="94">
        <v>12144500</v>
      </c>
      <c r="C277" s="94">
        <v>12191500</v>
      </c>
      <c r="D277" s="94">
        <v>12147500</v>
      </c>
      <c r="E277" s="95">
        <v>42953</v>
      </c>
      <c r="F277" s="96" t="s">
        <v>1445</v>
      </c>
    </row>
    <row r="278" spans="1:6">
      <c r="A278" s="94">
        <v>12185500</v>
      </c>
      <c r="B278" s="94">
        <v>12179000</v>
      </c>
      <c r="C278" s="94">
        <v>12188000</v>
      </c>
      <c r="D278" s="94">
        <v>12181500</v>
      </c>
      <c r="E278" s="95">
        <v>42952</v>
      </c>
      <c r="F278" s="96" t="s">
        <v>1446</v>
      </c>
    </row>
    <row r="279" spans="1:6">
      <c r="A279" s="94">
        <v>12193500</v>
      </c>
      <c r="B279" s="94">
        <v>12177000</v>
      </c>
      <c r="C279" s="94">
        <v>12201000</v>
      </c>
      <c r="D279" s="94">
        <v>12196500</v>
      </c>
      <c r="E279" s="95">
        <v>42950</v>
      </c>
      <c r="F279" s="96" t="s">
        <v>1447</v>
      </c>
    </row>
    <row r="280" spans="1:6">
      <c r="A280" s="94">
        <v>12170000</v>
      </c>
      <c r="B280" s="94">
        <v>12163000</v>
      </c>
      <c r="C280" s="94">
        <v>12210000</v>
      </c>
      <c r="D280" s="94">
        <v>12203500</v>
      </c>
      <c r="E280" s="95">
        <v>42949</v>
      </c>
      <c r="F280" s="96" t="s">
        <v>1448</v>
      </c>
    </row>
    <row r="281" spans="1:6">
      <c r="A281" s="94">
        <v>12170500</v>
      </c>
      <c r="B281" s="94">
        <v>12166000</v>
      </c>
      <c r="C281" s="94">
        <v>12188500</v>
      </c>
      <c r="D281" s="94">
        <v>12177500</v>
      </c>
      <c r="E281" s="95">
        <v>42948</v>
      </c>
      <c r="F281" s="96" t="s">
        <v>1449</v>
      </c>
    </row>
    <row r="282" spans="1:6">
      <c r="A282" s="94">
        <v>12192500</v>
      </c>
      <c r="B282" s="94">
        <v>12150000</v>
      </c>
      <c r="C282" s="94">
        <v>12195500</v>
      </c>
      <c r="D282" s="94">
        <v>12168500</v>
      </c>
      <c r="E282" s="95">
        <v>42947</v>
      </c>
      <c r="F282" s="96" t="s">
        <v>1450</v>
      </c>
    </row>
    <row r="283" spans="1:6">
      <c r="A283" s="94">
        <v>12217000</v>
      </c>
      <c r="B283" s="94">
        <v>12188000</v>
      </c>
      <c r="C283" s="94">
        <v>12249500</v>
      </c>
      <c r="D283" s="94">
        <v>12193000</v>
      </c>
      <c r="E283" s="95">
        <v>42946</v>
      </c>
      <c r="F283" s="96" t="s">
        <v>1451</v>
      </c>
    </row>
    <row r="284" spans="1:6">
      <c r="A284" s="94">
        <v>12146500</v>
      </c>
      <c r="B284" s="94">
        <v>12145000</v>
      </c>
      <c r="C284" s="94">
        <v>12223000</v>
      </c>
      <c r="D284" s="94">
        <v>12215000</v>
      </c>
      <c r="E284" s="95">
        <v>42945</v>
      </c>
      <c r="F284" s="96" t="s">
        <v>1452</v>
      </c>
    </row>
    <row r="285" spans="1:6">
      <c r="A285" s="94">
        <v>12132500</v>
      </c>
      <c r="B285" s="94">
        <v>12124000</v>
      </c>
      <c r="C285" s="94">
        <v>12166500</v>
      </c>
      <c r="D285" s="94">
        <v>12128000</v>
      </c>
      <c r="E285" s="95">
        <v>42943</v>
      </c>
      <c r="F285" s="96" t="s">
        <v>1453</v>
      </c>
    </row>
    <row r="286" spans="1:6">
      <c r="A286" s="94">
        <v>12017000</v>
      </c>
      <c r="B286" s="94">
        <v>12017000</v>
      </c>
      <c r="C286" s="94">
        <v>12124500</v>
      </c>
      <c r="D286" s="94">
        <v>12117500</v>
      </c>
      <c r="E286" s="95">
        <v>42942</v>
      </c>
      <c r="F286" s="96" t="s">
        <v>1454</v>
      </c>
    </row>
    <row r="287" spans="1:6">
      <c r="A287" s="94">
        <v>12000000</v>
      </c>
      <c r="B287" s="94">
        <v>12000000</v>
      </c>
      <c r="C287" s="94">
        <v>12046000</v>
      </c>
      <c r="D287" s="94">
        <v>12025500</v>
      </c>
      <c r="E287" s="95">
        <v>42941</v>
      </c>
      <c r="F287" s="96" t="s">
        <v>1455</v>
      </c>
    </row>
    <row r="288" spans="1:6">
      <c r="A288" s="94">
        <v>12006000</v>
      </c>
      <c r="B288" s="94">
        <v>11973500</v>
      </c>
      <c r="C288" s="94">
        <v>12006000</v>
      </c>
      <c r="D288" s="94">
        <v>11993000</v>
      </c>
      <c r="E288" s="95">
        <v>42940</v>
      </c>
      <c r="F288" s="96" t="s">
        <v>1456</v>
      </c>
    </row>
    <row r="289" spans="1:6">
      <c r="A289" s="94">
        <v>12051500</v>
      </c>
      <c r="B289" s="94">
        <v>12018500</v>
      </c>
      <c r="C289" s="94">
        <v>12068500</v>
      </c>
      <c r="D289" s="94">
        <v>12023000</v>
      </c>
      <c r="E289" s="95">
        <v>42938</v>
      </c>
      <c r="F289" s="96" t="s">
        <v>1457</v>
      </c>
    </row>
    <row r="290" spans="1:6">
      <c r="A290" s="94">
        <v>12017000</v>
      </c>
      <c r="B290" s="94">
        <v>11993000</v>
      </c>
      <c r="C290" s="94">
        <v>12020000</v>
      </c>
      <c r="D290" s="94">
        <v>12007500</v>
      </c>
      <c r="E290" s="95">
        <v>42939</v>
      </c>
      <c r="F290" s="96" t="s">
        <v>1458</v>
      </c>
    </row>
    <row r="291" spans="1:6">
      <c r="A291" s="94">
        <v>12042000</v>
      </c>
      <c r="B291" s="94">
        <v>12038000</v>
      </c>
      <c r="C291" s="94">
        <v>12049000</v>
      </c>
      <c r="D291" s="94">
        <v>12046500</v>
      </c>
      <c r="E291" s="95">
        <v>42936</v>
      </c>
      <c r="F291" s="96" t="s">
        <v>1459</v>
      </c>
    </row>
    <row r="292" spans="1:6">
      <c r="A292" s="94">
        <v>12049500</v>
      </c>
      <c r="B292" s="94">
        <v>12038000</v>
      </c>
      <c r="C292" s="94">
        <v>12049500</v>
      </c>
      <c r="D292" s="94">
        <v>12045000</v>
      </c>
      <c r="E292" s="95">
        <v>42935</v>
      </c>
      <c r="F292" s="96" t="s">
        <v>1460</v>
      </c>
    </row>
    <row r="293" spans="1:6">
      <c r="A293" s="94">
        <v>12060000</v>
      </c>
      <c r="B293" s="94">
        <v>12034000</v>
      </c>
      <c r="C293" s="94">
        <v>12064000</v>
      </c>
      <c r="D293" s="94">
        <v>12050000</v>
      </c>
      <c r="E293" s="95">
        <v>42934</v>
      </c>
      <c r="F293" s="96" t="s">
        <v>1461</v>
      </c>
    </row>
    <row r="294" spans="1:6">
      <c r="A294" s="94">
        <v>12071000</v>
      </c>
      <c r="B294" s="94">
        <v>12057000</v>
      </c>
      <c r="C294" s="94">
        <v>12080500</v>
      </c>
      <c r="D294" s="94">
        <v>12060500</v>
      </c>
      <c r="E294" s="95">
        <v>42933</v>
      </c>
      <c r="F294" s="96" t="s">
        <v>1462</v>
      </c>
    </row>
    <row r="295" spans="1:6">
      <c r="A295" s="94">
        <v>12087500</v>
      </c>
      <c r="B295" s="94">
        <v>12058500</v>
      </c>
      <c r="C295" s="94">
        <v>12103500</v>
      </c>
      <c r="D295" s="94">
        <v>12072000</v>
      </c>
      <c r="E295" s="95">
        <v>42932</v>
      </c>
      <c r="F295" s="96" t="s">
        <v>1463</v>
      </c>
    </row>
    <row r="296" spans="1:6">
      <c r="A296" s="94">
        <v>12074500</v>
      </c>
      <c r="B296" s="94">
        <v>12074000</v>
      </c>
      <c r="C296" s="94">
        <v>12094000</v>
      </c>
      <c r="D296" s="94">
        <v>12086500</v>
      </c>
      <c r="E296" s="95">
        <v>42931</v>
      </c>
      <c r="F296" s="96" t="s">
        <v>1464</v>
      </c>
    </row>
    <row r="297" spans="1:6">
      <c r="A297" s="94">
        <v>12090000</v>
      </c>
      <c r="B297" s="94">
        <v>12062500</v>
      </c>
      <c r="C297" s="94">
        <v>12096500</v>
      </c>
      <c r="D297" s="94">
        <v>12067500</v>
      </c>
      <c r="E297" s="95">
        <v>42929</v>
      </c>
      <c r="F297" s="96" t="s">
        <v>1465</v>
      </c>
    </row>
    <row r="298" spans="1:6">
      <c r="A298" s="94">
        <v>12104500</v>
      </c>
      <c r="B298" s="94">
        <v>12090500</v>
      </c>
      <c r="C298" s="94">
        <v>12125000</v>
      </c>
      <c r="D298" s="94">
        <v>12095500</v>
      </c>
      <c r="E298" s="95">
        <v>42928</v>
      </c>
      <c r="F298" s="96" t="s">
        <v>1466</v>
      </c>
    </row>
    <row r="299" spans="1:6">
      <c r="A299" s="94">
        <v>12098500</v>
      </c>
      <c r="B299" s="94">
        <v>12090500</v>
      </c>
      <c r="C299" s="94">
        <v>12123500</v>
      </c>
      <c r="D299" s="94">
        <v>12106000</v>
      </c>
      <c r="E299" s="95">
        <v>42927</v>
      </c>
      <c r="F299" s="96" t="s">
        <v>1467</v>
      </c>
    </row>
    <row r="300" spans="1:6">
      <c r="A300" s="94">
        <v>12102500</v>
      </c>
      <c r="B300" s="94">
        <v>12091500</v>
      </c>
      <c r="C300" s="94">
        <v>12137000</v>
      </c>
      <c r="D300" s="94">
        <v>12108500</v>
      </c>
      <c r="E300" s="95">
        <v>42926</v>
      </c>
      <c r="F300" s="96" t="s">
        <v>1468</v>
      </c>
    </row>
    <row r="301" spans="1:6">
      <c r="A301" s="94">
        <v>12059500</v>
      </c>
      <c r="B301" s="94">
        <v>12046000</v>
      </c>
      <c r="C301" s="94">
        <v>12111000</v>
      </c>
      <c r="D301" s="94">
        <v>12107500</v>
      </c>
      <c r="E301" s="95">
        <v>42925</v>
      </c>
      <c r="F301" s="96" t="s">
        <v>1469</v>
      </c>
    </row>
    <row r="302" spans="1:6">
      <c r="A302" s="94">
        <v>12104500</v>
      </c>
      <c r="B302" s="94">
        <v>12062000</v>
      </c>
      <c r="C302" s="94">
        <v>12107000</v>
      </c>
      <c r="D302" s="94">
        <v>12064500</v>
      </c>
      <c r="E302" s="95">
        <v>42924</v>
      </c>
      <c r="F302" s="96" t="s">
        <v>1470</v>
      </c>
    </row>
    <row r="303" spans="1:6">
      <c r="A303" s="94">
        <v>12121000</v>
      </c>
      <c r="B303" s="94">
        <v>12111500</v>
      </c>
      <c r="C303" s="94">
        <v>12124000</v>
      </c>
      <c r="D303" s="94">
        <v>12119000</v>
      </c>
      <c r="E303" s="95">
        <v>42922</v>
      </c>
      <c r="F303" s="96" t="s">
        <v>1471</v>
      </c>
    </row>
    <row r="304" spans="1:6">
      <c r="A304" s="94">
        <v>12115000</v>
      </c>
      <c r="B304" s="94">
        <v>12109000</v>
      </c>
      <c r="C304" s="94">
        <v>12135500</v>
      </c>
      <c r="D304" s="94">
        <v>12122000</v>
      </c>
      <c r="E304" s="95">
        <v>42921</v>
      </c>
      <c r="F304" s="96" t="s">
        <v>1472</v>
      </c>
    </row>
    <row r="305" spans="1:6">
      <c r="A305" s="94">
        <v>12143000</v>
      </c>
      <c r="B305" s="94">
        <v>12109500</v>
      </c>
      <c r="C305" s="94">
        <v>12144000</v>
      </c>
      <c r="D305" s="94">
        <v>12119000</v>
      </c>
      <c r="E305" s="95">
        <v>42920</v>
      </c>
      <c r="F305" s="96" t="s">
        <v>1473</v>
      </c>
    </row>
    <row r="306" spans="1:6">
      <c r="A306" s="94">
        <v>12178000</v>
      </c>
      <c r="B306" s="94">
        <v>12139000</v>
      </c>
      <c r="C306" s="94">
        <v>12183000</v>
      </c>
      <c r="D306" s="94">
        <v>12142500</v>
      </c>
      <c r="E306" s="95">
        <v>42919</v>
      </c>
      <c r="F306" s="96" t="s">
        <v>1474</v>
      </c>
    </row>
    <row r="307" spans="1:6">
      <c r="A307" s="94">
        <v>12184500</v>
      </c>
      <c r="B307" s="94">
        <v>12179500</v>
      </c>
      <c r="C307" s="94">
        <v>12195500</v>
      </c>
      <c r="D307" s="94">
        <v>12185000</v>
      </c>
      <c r="E307" s="95">
        <v>42918</v>
      </c>
      <c r="F307" s="96" t="s">
        <v>1475</v>
      </c>
    </row>
    <row r="308" spans="1:6">
      <c r="A308" s="94">
        <v>12153500</v>
      </c>
      <c r="B308" s="94">
        <v>12151000</v>
      </c>
      <c r="C308" s="94">
        <v>12195000</v>
      </c>
      <c r="D308" s="94">
        <v>12181000</v>
      </c>
      <c r="E308" s="95">
        <v>42917</v>
      </c>
      <c r="F308" s="96" t="s">
        <v>1476</v>
      </c>
    </row>
    <row r="309" spans="1:6">
      <c r="A309" s="94">
        <v>12150000</v>
      </c>
      <c r="B309" s="94">
        <v>12148000</v>
      </c>
      <c r="C309" s="94">
        <v>12167500</v>
      </c>
      <c r="D309" s="94">
        <v>12159000</v>
      </c>
      <c r="E309" s="95">
        <v>42915</v>
      </c>
      <c r="F309" s="96" t="s">
        <v>1477</v>
      </c>
    </row>
    <row r="310" spans="1:6">
      <c r="A310" s="94">
        <v>12128500</v>
      </c>
      <c r="B310" s="94">
        <v>12121500</v>
      </c>
      <c r="C310" s="94">
        <v>12151000</v>
      </c>
      <c r="D310" s="94">
        <v>12148500</v>
      </c>
      <c r="E310" s="95">
        <v>42914</v>
      </c>
      <c r="F310" s="96" t="s">
        <v>1478</v>
      </c>
    </row>
    <row r="311" spans="1:6">
      <c r="A311" s="94">
        <v>12125000</v>
      </c>
      <c r="B311" s="94">
        <v>12125000</v>
      </c>
      <c r="C311" s="94">
        <v>12134000</v>
      </c>
      <c r="D311" s="94">
        <v>12130000</v>
      </c>
      <c r="E311" s="95">
        <v>42913</v>
      </c>
      <c r="F311" s="96" t="s">
        <v>1479</v>
      </c>
    </row>
    <row r="312" spans="1:6">
      <c r="A312" s="94">
        <v>12138500</v>
      </c>
      <c r="B312" s="94">
        <v>12122500</v>
      </c>
      <c r="C312" s="94">
        <v>12138500</v>
      </c>
      <c r="D312" s="94">
        <v>12125500</v>
      </c>
      <c r="E312" s="95">
        <v>42912</v>
      </c>
      <c r="F312" s="96" t="s">
        <v>1480</v>
      </c>
    </row>
    <row r="313" spans="1:6">
      <c r="A313" s="94">
        <v>12111000</v>
      </c>
      <c r="B313" s="94">
        <v>12095500</v>
      </c>
      <c r="C313" s="94">
        <v>12140500</v>
      </c>
      <c r="D313" s="94">
        <v>12138000</v>
      </c>
      <c r="E313" s="95">
        <v>42911</v>
      </c>
      <c r="F313" s="96" t="s">
        <v>1481</v>
      </c>
    </row>
    <row r="314" spans="1:6">
      <c r="A314" s="94">
        <v>12115500</v>
      </c>
      <c r="B314" s="94">
        <v>12106000</v>
      </c>
      <c r="C314" s="94">
        <v>12140000</v>
      </c>
      <c r="D314" s="94">
        <v>12109000</v>
      </c>
      <c r="E314" s="95">
        <v>42910</v>
      </c>
      <c r="F314" s="96" t="s">
        <v>1482</v>
      </c>
    </row>
    <row r="315" spans="1:6">
      <c r="A315" s="94">
        <v>12096500</v>
      </c>
      <c r="B315" s="94">
        <v>12096000</v>
      </c>
      <c r="C315" s="94">
        <v>12125500</v>
      </c>
      <c r="D315" s="94">
        <v>12117000</v>
      </c>
      <c r="E315" s="95">
        <v>42908</v>
      </c>
      <c r="F315" s="96" t="s">
        <v>1483</v>
      </c>
    </row>
    <row r="316" spans="1:6">
      <c r="A316" s="94">
        <v>12124500</v>
      </c>
      <c r="B316" s="94">
        <v>12075000</v>
      </c>
      <c r="C316" s="94">
        <v>12124500</v>
      </c>
      <c r="D316" s="94">
        <v>12089500</v>
      </c>
      <c r="E316" s="95">
        <v>42907</v>
      </c>
      <c r="F316" s="96" t="s">
        <v>1484</v>
      </c>
    </row>
    <row r="317" spans="1:6">
      <c r="A317" s="94">
        <v>12120500</v>
      </c>
      <c r="B317" s="94">
        <v>12094500</v>
      </c>
      <c r="C317" s="94">
        <v>12140000</v>
      </c>
      <c r="D317" s="94">
        <v>12119000</v>
      </c>
      <c r="E317" s="95">
        <v>42906</v>
      </c>
      <c r="F317" s="96" t="s">
        <v>1485</v>
      </c>
    </row>
    <row r="318" spans="1:6">
      <c r="A318" s="94">
        <v>12199000</v>
      </c>
      <c r="B318" s="94">
        <v>12116500</v>
      </c>
      <c r="C318" s="94">
        <v>12207000</v>
      </c>
      <c r="D318" s="94">
        <v>12118500</v>
      </c>
      <c r="E318" s="95">
        <v>42905</v>
      </c>
      <c r="F318" s="96" t="s">
        <v>1486</v>
      </c>
    </row>
    <row r="319" spans="1:6">
      <c r="A319" s="94">
        <v>12160500</v>
      </c>
      <c r="B319" s="94">
        <v>12152500</v>
      </c>
      <c r="C319" s="94">
        <v>12228000</v>
      </c>
      <c r="D319" s="94">
        <v>12195000</v>
      </c>
      <c r="E319" s="95">
        <v>42904</v>
      </c>
      <c r="F319" s="96" t="s">
        <v>1487</v>
      </c>
    </row>
    <row r="320" spans="1:6">
      <c r="A320" s="94">
        <v>12031500</v>
      </c>
      <c r="B320" s="94">
        <v>12029000</v>
      </c>
      <c r="C320" s="94">
        <v>12172000</v>
      </c>
      <c r="D320" s="94">
        <v>12164500</v>
      </c>
      <c r="E320" s="95">
        <v>42903</v>
      </c>
      <c r="F320" s="96" t="s">
        <v>1488</v>
      </c>
    </row>
    <row r="321" spans="1:6">
      <c r="A321" s="94">
        <v>12003000</v>
      </c>
      <c r="B321" s="94">
        <v>11990000</v>
      </c>
      <c r="C321" s="94">
        <v>12004500</v>
      </c>
      <c r="D321" s="94">
        <v>12000000</v>
      </c>
      <c r="E321" s="95">
        <v>42901</v>
      </c>
      <c r="F321" s="96" t="s">
        <v>1489</v>
      </c>
    </row>
    <row r="322" spans="1:6">
      <c r="A322" s="94">
        <v>12012000</v>
      </c>
      <c r="B322" s="94">
        <v>11998000</v>
      </c>
      <c r="C322" s="94">
        <v>12020000</v>
      </c>
      <c r="D322" s="94">
        <v>12014500</v>
      </c>
      <c r="E322" s="95">
        <v>42900</v>
      </c>
      <c r="F322" s="96" t="s">
        <v>1490</v>
      </c>
    </row>
    <row r="323" spans="1:6">
      <c r="A323" s="94">
        <v>11996000</v>
      </c>
      <c r="B323" s="94">
        <v>11976000</v>
      </c>
      <c r="C323" s="94">
        <v>12008000</v>
      </c>
      <c r="D323" s="94">
        <v>12008000</v>
      </c>
      <c r="E323" s="95">
        <v>42899</v>
      </c>
      <c r="F323" s="96" t="s">
        <v>1491</v>
      </c>
    </row>
    <row r="324" spans="1:6">
      <c r="A324" s="94">
        <v>11997000</v>
      </c>
      <c r="B324" s="94">
        <v>11983000</v>
      </c>
      <c r="C324" s="94">
        <v>12009000</v>
      </c>
      <c r="D324" s="94">
        <v>11990000</v>
      </c>
      <c r="E324" s="95">
        <v>42898</v>
      </c>
      <c r="F324" s="96" t="s">
        <v>1492</v>
      </c>
    </row>
    <row r="325" spans="1:6">
      <c r="A325" s="94">
        <v>11983000</v>
      </c>
      <c r="B325" s="94">
        <v>11981500</v>
      </c>
      <c r="C325" s="94">
        <v>12014500</v>
      </c>
      <c r="D325" s="94">
        <v>12000000</v>
      </c>
      <c r="E325" s="95">
        <v>42897</v>
      </c>
      <c r="F325" s="96" t="s">
        <v>1493</v>
      </c>
    </row>
    <row r="326" spans="1:6">
      <c r="A326" s="94">
        <v>12014000</v>
      </c>
      <c r="B326" s="94">
        <v>11972000</v>
      </c>
      <c r="C326" s="94">
        <v>12017500</v>
      </c>
      <c r="D326" s="94">
        <v>11984000</v>
      </c>
      <c r="E326" s="95">
        <v>42896</v>
      </c>
      <c r="F326" s="96" t="s">
        <v>1494</v>
      </c>
    </row>
    <row r="327" spans="1:6">
      <c r="A327" s="94">
        <v>12049500</v>
      </c>
      <c r="B327" s="94">
        <v>12024000</v>
      </c>
      <c r="C327" s="94">
        <v>12054500</v>
      </c>
      <c r="D327" s="94">
        <v>12029500</v>
      </c>
      <c r="E327" s="95">
        <v>42894</v>
      </c>
      <c r="F327" s="96" t="s">
        <v>1495</v>
      </c>
    </row>
    <row r="328" spans="1:6">
      <c r="A328" s="94">
        <v>12049000</v>
      </c>
      <c r="B328" s="94">
        <v>12047500</v>
      </c>
      <c r="C328" s="94">
        <v>12078500</v>
      </c>
      <c r="D328" s="94">
        <v>12052500</v>
      </c>
      <c r="E328" s="95">
        <v>42893</v>
      </c>
      <c r="F328" s="96" t="s">
        <v>1496</v>
      </c>
    </row>
    <row r="329" spans="1:6">
      <c r="A329" s="94">
        <v>12029500</v>
      </c>
      <c r="B329" s="94">
        <v>12029500</v>
      </c>
      <c r="C329" s="94">
        <v>12064500</v>
      </c>
      <c r="D329" s="94">
        <v>12051000</v>
      </c>
      <c r="E329" s="95">
        <v>42892</v>
      </c>
      <c r="F329" s="96" t="s">
        <v>1497</v>
      </c>
    </row>
    <row r="330" spans="1:6">
      <c r="A330" s="94">
        <v>12026500</v>
      </c>
      <c r="B330" s="94">
        <v>12009500</v>
      </c>
      <c r="C330" s="94">
        <v>12030500</v>
      </c>
      <c r="D330" s="94">
        <v>12017000</v>
      </c>
      <c r="E330" s="95">
        <v>42891</v>
      </c>
      <c r="F330" s="96" t="s">
        <v>1498</v>
      </c>
    </row>
    <row r="331" spans="1:6">
      <c r="A331" s="94">
        <v>12028000</v>
      </c>
      <c r="B331" s="94">
        <v>12025500</v>
      </c>
      <c r="C331" s="94">
        <v>12031000</v>
      </c>
      <c r="D331" s="94">
        <v>12028500</v>
      </c>
      <c r="E331" s="95">
        <v>42890</v>
      </c>
      <c r="F331" s="96" t="s">
        <v>1499</v>
      </c>
    </row>
    <row r="332" spans="1:6">
      <c r="A332" s="94">
        <v>12007000</v>
      </c>
      <c r="B332" s="94">
        <v>12007000</v>
      </c>
      <c r="C332" s="94">
        <v>12032000</v>
      </c>
      <c r="D332" s="94">
        <v>12027000</v>
      </c>
      <c r="E332" s="95">
        <v>42889</v>
      </c>
      <c r="F332" s="96" t="s">
        <v>1500</v>
      </c>
    </row>
    <row r="333" spans="1:6">
      <c r="A333" s="94">
        <v>11987500</v>
      </c>
      <c r="B333" s="94">
        <v>11983500</v>
      </c>
      <c r="C333" s="94">
        <v>12010500</v>
      </c>
      <c r="D333" s="94">
        <v>12004000</v>
      </c>
      <c r="E333" s="95">
        <v>42887</v>
      </c>
      <c r="F333" s="96" t="s">
        <v>1501</v>
      </c>
    </row>
    <row r="334" spans="1:6">
      <c r="A334" s="94">
        <v>11991000</v>
      </c>
      <c r="B334" s="94">
        <v>11968000</v>
      </c>
      <c r="C334" s="94">
        <v>11998000</v>
      </c>
      <c r="D334" s="94">
        <v>11990000</v>
      </c>
      <c r="E334" s="95">
        <v>42886</v>
      </c>
      <c r="F334" s="96" t="s">
        <v>1502</v>
      </c>
    </row>
    <row r="335" spans="1:6">
      <c r="A335" s="94">
        <v>12036500</v>
      </c>
      <c r="B335" s="94">
        <v>11988000</v>
      </c>
      <c r="C335" s="94">
        <v>12044500</v>
      </c>
      <c r="D335" s="94">
        <v>11996000</v>
      </c>
      <c r="E335" s="95">
        <v>42885</v>
      </c>
      <c r="F335" s="96" t="s">
        <v>1503</v>
      </c>
    </row>
    <row r="336" spans="1:6">
      <c r="A336" s="94">
        <v>12067500</v>
      </c>
      <c r="B336" s="94">
        <v>12043000</v>
      </c>
      <c r="C336" s="94">
        <v>12074500</v>
      </c>
      <c r="D336" s="94">
        <v>12045500</v>
      </c>
      <c r="E336" s="95">
        <v>42884</v>
      </c>
      <c r="F336" s="96" t="s">
        <v>1504</v>
      </c>
    </row>
    <row r="337" spans="1:6">
      <c r="A337" s="94">
        <v>12054000</v>
      </c>
      <c r="B337" s="94">
        <v>12043000</v>
      </c>
      <c r="C337" s="94">
        <v>12076500</v>
      </c>
      <c r="D337" s="94">
        <v>12065500</v>
      </c>
      <c r="E337" s="95">
        <v>42883</v>
      </c>
      <c r="F337" s="96" t="s">
        <v>1505</v>
      </c>
    </row>
    <row r="338" spans="1:6">
      <c r="A338" s="94">
        <v>12035000</v>
      </c>
      <c r="B338" s="94">
        <v>12026500</v>
      </c>
      <c r="C338" s="94">
        <v>12088500</v>
      </c>
      <c r="D338" s="94">
        <v>12055000</v>
      </c>
      <c r="E338" s="95">
        <v>42882</v>
      </c>
      <c r="F338" s="96" t="s">
        <v>1506</v>
      </c>
    </row>
    <row r="339" spans="1:6">
      <c r="A339" s="94">
        <v>11991000</v>
      </c>
      <c r="B339" s="94">
        <v>11991000</v>
      </c>
      <c r="C339" s="94">
        <v>12038000</v>
      </c>
      <c r="D339" s="94">
        <v>12029000</v>
      </c>
      <c r="E339" s="95">
        <v>42880</v>
      </c>
      <c r="F339" s="96" t="s">
        <v>1507</v>
      </c>
    </row>
    <row r="340" spans="1:6">
      <c r="A340" s="94">
        <v>12062000</v>
      </c>
      <c r="B340" s="94">
        <v>11975500</v>
      </c>
      <c r="C340" s="94">
        <v>12062000</v>
      </c>
      <c r="D340" s="94">
        <v>11984500</v>
      </c>
      <c r="E340" s="95">
        <v>42879</v>
      </c>
      <c r="F340" s="96" t="s">
        <v>1508</v>
      </c>
    </row>
    <row r="341" spans="1:6">
      <c r="A341" s="94">
        <v>12169500</v>
      </c>
      <c r="B341" s="94">
        <v>12148000</v>
      </c>
      <c r="C341" s="94">
        <v>12197500</v>
      </c>
      <c r="D341" s="94">
        <v>12151500</v>
      </c>
      <c r="E341" s="95">
        <v>42876</v>
      </c>
      <c r="F341" s="96" t="s">
        <v>1509</v>
      </c>
    </row>
    <row r="342" spans="1:6">
      <c r="A342" s="94">
        <v>12118500</v>
      </c>
      <c r="B342" s="94">
        <v>12058000</v>
      </c>
      <c r="C342" s="94">
        <v>12148500</v>
      </c>
      <c r="D342" s="94">
        <v>12059500</v>
      </c>
      <c r="E342" s="95">
        <v>42878</v>
      </c>
      <c r="F342" s="96" t="s">
        <v>1510</v>
      </c>
    </row>
    <row r="343" spans="1:6">
      <c r="A343" s="94">
        <v>12201000</v>
      </c>
      <c r="B343" s="94">
        <v>12160000</v>
      </c>
      <c r="C343" s="94">
        <v>12201000</v>
      </c>
      <c r="D343" s="94">
        <v>12167500</v>
      </c>
      <c r="E343" s="95">
        <v>42875</v>
      </c>
      <c r="F343" s="96" t="s">
        <v>1511</v>
      </c>
    </row>
    <row r="344" spans="1:6">
      <c r="A344" s="94">
        <v>12152500</v>
      </c>
      <c r="B344" s="94">
        <v>12085000</v>
      </c>
      <c r="C344" s="94">
        <v>12152500</v>
      </c>
      <c r="D344" s="94">
        <v>12115500</v>
      </c>
      <c r="E344" s="95">
        <v>42877</v>
      </c>
      <c r="F344" s="96" t="s">
        <v>1512</v>
      </c>
    </row>
    <row r="345" spans="1:6">
      <c r="A345" s="94">
        <v>12255500</v>
      </c>
      <c r="B345" s="94">
        <v>12201000</v>
      </c>
      <c r="C345" s="94">
        <v>12265000</v>
      </c>
      <c r="D345" s="94">
        <v>12211000</v>
      </c>
      <c r="E345" s="95">
        <v>42873</v>
      </c>
      <c r="F345" s="96" t="s">
        <v>1513</v>
      </c>
    </row>
    <row r="346" spans="1:6">
      <c r="A346" s="94">
        <v>12166500</v>
      </c>
      <c r="B346" s="94">
        <v>12166500</v>
      </c>
      <c r="C346" s="94">
        <v>12271500</v>
      </c>
      <c r="D346" s="94">
        <v>12256500</v>
      </c>
      <c r="E346" s="95">
        <v>42872</v>
      </c>
      <c r="F346" s="96" t="s">
        <v>1514</v>
      </c>
    </row>
    <row r="347" spans="1:6">
      <c r="A347" s="94">
        <v>12128000</v>
      </c>
      <c r="B347" s="94">
        <v>12101500</v>
      </c>
      <c r="C347" s="94">
        <v>12170500</v>
      </c>
      <c r="D347" s="94">
        <v>12150500</v>
      </c>
      <c r="E347" s="95">
        <v>42871</v>
      </c>
      <c r="F347" s="96" t="s">
        <v>1515</v>
      </c>
    </row>
    <row r="348" spans="1:6">
      <c r="A348" s="94">
        <v>12145500</v>
      </c>
      <c r="B348" s="94">
        <v>12115000</v>
      </c>
      <c r="C348" s="94">
        <v>12171500</v>
      </c>
      <c r="D348" s="94">
        <v>12122000</v>
      </c>
      <c r="E348" s="95">
        <v>42870</v>
      </c>
      <c r="F348" s="96" t="s">
        <v>1516</v>
      </c>
    </row>
    <row r="349" spans="1:6">
      <c r="A349" s="94">
        <v>12096500</v>
      </c>
      <c r="B349" s="94">
        <v>12091500</v>
      </c>
      <c r="C349" s="94">
        <v>12151000</v>
      </c>
      <c r="D349" s="94">
        <v>12140500</v>
      </c>
      <c r="E349" s="95">
        <v>42869</v>
      </c>
      <c r="F349" s="96" t="s">
        <v>1517</v>
      </c>
    </row>
    <row r="350" spans="1:6">
      <c r="A350" s="94">
        <v>12086000</v>
      </c>
      <c r="B350" s="94">
        <v>12060000</v>
      </c>
      <c r="C350" s="94">
        <v>12105000</v>
      </c>
      <c r="D350" s="94">
        <v>12093500</v>
      </c>
      <c r="E350" s="95">
        <v>42868</v>
      </c>
      <c r="F350" s="96" t="s">
        <v>1518</v>
      </c>
    </row>
    <row r="351" spans="1:6">
      <c r="A351" s="94">
        <v>12062500</v>
      </c>
      <c r="B351" s="94">
        <v>12061000</v>
      </c>
      <c r="C351" s="94">
        <v>12090000</v>
      </c>
      <c r="D351" s="94">
        <v>12083500</v>
      </c>
      <c r="E351" s="95">
        <v>42866</v>
      </c>
      <c r="F351" s="96" t="s">
        <v>1519</v>
      </c>
    </row>
    <row r="352" spans="1:6">
      <c r="A352" s="94">
        <v>12049000</v>
      </c>
      <c r="B352" s="94">
        <v>12041000</v>
      </c>
      <c r="C352" s="94">
        <v>12068000</v>
      </c>
      <c r="D352" s="94">
        <v>12060000</v>
      </c>
      <c r="E352" s="95">
        <v>42865</v>
      </c>
      <c r="F352" s="96" t="s">
        <v>1520</v>
      </c>
    </row>
    <row r="353" spans="1:6">
      <c r="A353" s="94">
        <v>12031000</v>
      </c>
      <c r="B353" s="94">
        <v>11996500</v>
      </c>
      <c r="C353" s="94">
        <v>12046500</v>
      </c>
      <c r="D353" s="94">
        <v>12033000</v>
      </c>
      <c r="E353" s="95">
        <v>42864</v>
      </c>
      <c r="F353" s="96" t="s">
        <v>1521</v>
      </c>
    </row>
    <row r="354" spans="1:6">
      <c r="A354" s="94">
        <v>11963500</v>
      </c>
      <c r="B354" s="94">
        <v>11957500</v>
      </c>
      <c r="C354" s="94">
        <v>12049500</v>
      </c>
      <c r="D354" s="94">
        <v>12032000</v>
      </c>
      <c r="E354" s="95">
        <v>42863</v>
      </c>
      <c r="F354" s="96" t="s">
        <v>1522</v>
      </c>
    </row>
    <row r="355" spans="1:6">
      <c r="A355" s="94">
        <v>11923000</v>
      </c>
      <c r="B355" s="94">
        <v>11866500</v>
      </c>
      <c r="C355" s="94">
        <v>11960500</v>
      </c>
      <c r="D355" s="94">
        <v>11956000</v>
      </c>
      <c r="E355" s="95">
        <v>42862</v>
      </c>
      <c r="F355" s="96" t="s">
        <v>1523</v>
      </c>
    </row>
    <row r="356" spans="1:6">
      <c r="A356" s="94">
        <v>12045000</v>
      </c>
      <c r="B356" s="94">
        <v>11950500</v>
      </c>
      <c r="C356" s="94">
        <v>12045000</v>
      </c>
      <c r="D356" s="94">
        <v>11958000</v>
      </c>
      <c r="E356" s="95">
        <v>42861</v>
      </c>
      <c r="F356" s="96" t="s">
        <v>1524</v>
      </c>
    </row>
    <row r="357" spans="1:6">
      <c r="A357" s="94">
        <v>12084000</v>
      </c>
      <c r="B357" s="94">
        <v>12058000</v>
      </c>
      <c r="C357" s="94">
        <v>12088000</v>
      </c>
      <c r="D357" s="94">
        <v>12080000</v>
      </c>
      <c r="E357" s="95">
        <v>42859</v>
      </c>
      <c r="F357" s="96" t="s">
        <v>1525</v>
      </c>
    </row>
    <row r="358" spans="1:6">
      <c r="A358" s="94">
        <v>12100000</v>
      </c>
      <c r="B358" s="94">
        <v>12086000</v>
      </c>
      <c r="C358" s="94">
        <v>12135000</v>
      </c>
      <c r="D358" s="94">
        <v>12113000</v>
      </c>
      <c r="E358" s="95">
        <v>42858</v>
      </c>
      <c r="F358" s="96" t="s">
        <v>1526</v>
      </c>
    </row>
    <row r="359" spans="1:6">
      <c r="A359" s="94">
        <v>12125000</v>
      </c>
      <c r="B359" s="94">
        <v>12084000</v>
      </c>
      <c r="C359" s="94">
        <v>12132000</v>
      </c>
      <c r="D359" s="94">
        <v>12092000</v>
      </c>
      <c r="E359" s="95">
        <v>42857</v>
      </c>
      <c r="F359" s="96" t="s">
        <v>1527</v>
      </c>
    </row>
    <row r="360" spans="1:6">
      <c r="A360" s="94">
        <v>12201000</v>
      </c>
      <c r="B360" s="94">
        <v>12132000</v>
      </c>
      <c r="C360" s="94">
        <v>12201000</v>
      </c>
      <c r="D360" s="94">
        <v>12134000</v>
      </c>
      <c r="E360" s="95">
        <v>42856</v>
      </c>
      <c r="F360" s="96" t="s">
        <v>1528</v>
      </c>
    </row>
    <row r="361" spans="1:6">
      <c r="A361" s="94">
        <v>12187500</v>
      </c>
      <c r="B361" s="94">
        <v>12187500</v>
      </c>
      <c r="C361" s="94">
        <v>12210500</v>
      </c>
      <c r="D361" s="94">
        <v>12202000</v>
      </c>
      <c r="E361" s="95">
        <v>42855</v>
      </c>
      <c r="F361" s="96" t="s">
        <v>1529</v>
      </c>
    </row>
    <row r="362" spans="1:6">
      <c r="A362" s="94">
        <v>12194000</v>
      </c>
      <c r="B362" s="94">
        <v>12159500</v>
      </c>
      <c r="C362" s="94">
        <v>12198000</v>
      </c>
      <c r="D362" s="94">
        <v>12188000</v>
      </c>
      <c r="E362" s="95">
        <v>42854</v>
      </c>
      <c r="F362" s="96" t="s">
        <v>1530</v>
      </c>
    </row>
    <row r="363" spans="1:6">
      <c r="A363" s="94">
        <v>12214500</v>
      </c>
      <c r="B363" s="94">
        <v>12199500</v>
      </c>
      <c r="C363" s="94">
        <v>12218000</v>
      </c>
      <c r="D363" s="94">
        <v>12204000</v>
      </c>
      <c r="E363" s="95">
        <v>42852</v>
      </c>
      <c r="F363" s="96" t="s">
        <v>1531</v>
      </c>
    </row>
    <row r="364" spans="1:6">
      <c r="A364" s="94">
        <v>12195500</v>
      </c>
      <c r="B364" s="94">
        <v>12188000</v>
      </c>
      <c r="C364" s="94">
        <v>12212500</v>
      </c>
      <c r="D364" s="94">
        <v>12199500</v>
      </c>
      <c r="E364" s="95">
        <v>42851</v>
      </c>
      <c r="F364" s="96" t="s">
        <v>1532</v>
      </c>
    </row>
    <row r="365" spans="1:6">
      <c r="A365" s="94">
        <v>12202500</v>
      </c>
      <c r="B365" s="94">
        <v>12192500</v>
      </c>
      <c r="C365" s="94">
        <v>12208500</v>
      </c>
      <c r="D365" s="94">
        <v>12196000</v>
      </c>
      <c r="E365" s="95">
        <v>42850</v>
      </c>
      <c r="F365" s="96" t="s">
        <v>1533</v>
      </c>
    </row>
    <row r="366" spans="1:6">
      <c r="A366" s="94">
        <v>12244000</v>
      </c>
      <c r="B366" s="94">
        <v>12185000</v>
      </c>
      <c r="C366" s="94">
        <v>12244000</v>
      </c>
      <c r="D366" s="94">
        <v>12203500</v>
      </c>
      <c r="E366" s="95">
        <v>42849</v>
      </c>
      <c r="F366" s="96" t="s">
        <v>1534</v>
      </c>
    </row>
    <row r="367" spans="1:6">
      <c r="A367" s="94">
        <v>12235000</v>
      </c>
      <c r="B367" s="94">
        <v>12221500</v>
      </c>
      <c r="C367" s="94">
        <v>12266000</v>
      </c>
      <c r="D367" s="94">
        <v>12250000</v>
      </c>
      <c r="E367" s="95">
        <v>42848</v>
      </c>
      <c r="F367" s="96" t="s">
        <v>1535</v>
      </c>
    </row>
    <row r="368" spans="1:6">
      <c r="A368" s="94">
        <v>12170500</v>
      </c>
      <c r="B368" s="94">
        <v>12165000</v>
      </c>
      <c r="C368" s="94">
        <v>12237500</v>
      </c>
      <c r="D368" s="94">
        <v>12230000</v>
      </c>
      <c r="E368" s="95">
        <v>42847</v>
      </c>
      <c r="F368" s="96" t="s">
        <v>1536</v>
      </c>
    </row>
    <row r="369" spans="1:6">
      <c r="A369" s="94">
        <v>12159000</v>
      </c>
      <c r="B369" s="94">
        <v>12141500</v>
      </c>
      <c r="C369" s="94">
        <v>12173500</v>
      </c>
      <c r="D369" s="94">
        <v>12170000</v>
      </c>
      <c r="E369" s="95">
        <v>42845</v>
      </c>
      <c r="F369" s="96" t="s">
        <v>1537</v>
      </c>
    </row>
    <row r="370" spans="1:6">
      <c r="A370" s="94">
        <v>12226000</v>
      </c>
      <c r="B370" s="94">
        <v>12162500</v>
      </c>
      <c r="C370" s="94">
        <v>12226000</v>
      </c>
      <c r="D370" s="94">
        <v>12167000</v>
      </c>
      <c r="E370" s="95">
        <v>42844</v>
      </c>
      <c r="F370" s="96" t="s">
        <v>1538</v>
      </c>
    </row>
    <row r="371" spans="1:6">
      <c r="A371" s="94">
        <v>12273500</v>
      </c>
      <c r="B371" s="94">
        <v>12190000</v>
      </c>
      <c r="C371" s="94">
        <v>12273500</v>
      </c>
      <c r="D371" s="94">
        <v>12221000</v>
      </c>
      <c r="E371" s="95">
        <v>42843</v>
      </c>
      <c r="F371" s="96" t="s">
        <v>1539</v>
      </c>
    </row>
    <row r="372" spans="1:6">
      <c r="A372" s="94">
        <v>12228500</v>
      </c>
      <c r="B372" s="94">
        <v>12196000</v>
      </c>
      <c r="C372" s="94">
        <v>12306000</v>
      </c>
      <c r="D372" s="94">
        <v>12279000</v>
      </c>
      <c r="E372" s="95">
        <v>42842</v>
      </c>
      <c r="F372" s="96" t="s">
        <v>1540</v>
      </c>
    </row>
    <row r="373" spans="1:6">
      <c r="A373" s="94">
        <v>12161000</v>
      </c>
      <c r="B373" s="94">
        <v>12149500</v>
      </c>
      <c r="C373" s="94">
        <v>12236000</v>
      </c>
      <c r="D373" s="94">
        <v>12226000</v>
      </c>
      <c r="E373" s="95">
        <v>42841</v>
      </c>
      <c r="F373" s="96" t="s">
        <v>1541</v>
      </c>
    </row>
    <row r="374" spans="1:6">
      <c r="A374" s="94">
        <v>12100500</v>
      </c>
      <c r="B374" s="94">
        <v>12097500</v>
      </c>
      <c r="C374" s="94">
        <v>12170000</v>
      </c>
      <c r="D374" s="94">
        <v>12164000</v>
      </c>
      <c r="E374" s="95">
        <v>42840</v>
      </c>
      <c r="F374" s="96" t="s">
        <v>1542</v>
      </c>
    </row>
    <row r="375" spans="1:6">
      <c r="A375" s="94">
        <v>12079000</v>
      </c>
      <c r="B375" s="94">
        <v>12066500</v>
      </c>
      <c r="C375" s="94">
        <v>12092500</v>
      </c>
      <c r="D375" s="94">
        <v>12073500</v>
      </c>
      <c r="E375" s="95">
        <v>42838</v>
      </c>
      <c r="F375" s="96" t="s">
        <v>1543</v>
      </c>
    </row>
    <row r="376" spans="1:6">
      <c r="A376" s="94">
        <v>12020000</v>
      </c>
      <c r="B376" s="94">
        <v>12015000</v>
      </c>
      <c r="C376" s="94">
        <v>12075000</v>
      </c>
      <c r="D376" s="94">
        <v>12061500</v>
      </c>
      <c r="E376" s="95">
        <v>42837</v>
      </c>
      <c r="F376" s="96" t="s">
        <v>1544</v>
      </c>
    </row>
    <row r="377" spans="1:6">
      <c r="A377" s="94">
        <v>11997500</v>
      </c>
      <c r="B377" s="94">
        <v>11997500</v>
      </c>
      <c r="C377" s="94">
        <v>12022500</v>
      </c>
      <c r="D377" s="94">
        <v>12012500</v>
      </c>
      <c r="E377" s="95">
        <v>42836</v>
      </c>
      <c r="F377" s="96" t="s">
        <v>1545</v>
      </c>
    </row>
    <row r="378" spans="1:6">
      <c r="A378" s="94">
        <v>12015000</v>
      </c>
      <c r="B378" s="94">
        <v>11987500</v>
      </c>
      <c r="C378" s="94">
        <v>12026500</v>
      </c>
      <c r="D378" s="94">
        <v>12000000</v>
      </c>
      <c r="E378" s="95">
        <v>42835</v>
      </c>
      <c r="F378" s="96" t="s">
        <v>1546</v>
      </c>
    </row>
    <row r="379" spans="1:6">
      <c r="A379" s="94">
        <v>12020000</v>
      </c>
      <c r="B379" s="94">
        <v>12009000</v>
      </c>
      <c r="C379" s="94">
        <v>12050000</v>
      </c>
      <c r="D379" s="94">
        <v>12014500</v>
      </c>
      <c r="E379" s="95">
        <v>42834</v>
      </c>
      <c r="F379" s="96" t="s">
        <v>1547</v>
      </c>
    </row>
    <row r="380" spans="1:6">
      <c r="A380" s="94">
        <v>12115000</v>
      </c>
      <c r="B380" s="94">
        <v>12005000</v>
      </c>
      <c r="C380" s="94">
        <v>12115000</v>
      </c>
      <c r="D380" s="94">
        <v>12025000</v>
      </c>
      <c r="E380" s="95">
        <v>42833</v>
      </c>
      <c r="F380" s="96" t="s">
        <v>1548</v>
      </c>
    </row>
    <row r="381" spans="1:6">
      <c r="A381" s="94">
        <v>12095000</v>
      </c>
      <c r="B381" s="94">
        <v>12080000</v>
      </c>
      <c r="C381" s="94">
        <v>12125000</v>
      </c>
      <c r="D381" s="94">
        <v>12095000</v>
      </c>
      <c r="E381" s="95">
        <v>42831</v>
      </c>
      <c r="F381" s="96" t="s">
        <v>1549</v>
      </c>
    </row>
    <row r="382" spans="1:6">
      <c r="A382" s="94">
        <v>12090000</v>
      </c>
      <c r="B382" s="94">
        <v>12010000</v>
      </c>
      <c r="C382" s="94">
        <v>12120000</v>
      </c>
      <c r="D382" s="94">
        <v>12100000</v>
      </c>
      <c r="E382" s="95">
        <v>42830</v>
      </c>
      <c r="F382" s="96" t="s">
        <v>1550</v>
      </c>
    </row>
    <row r="383" spans="1:6">
      <c r="A383" s="94">
        <v>12050000</v>
      </c>
      <c r="B383" s="94">
        <v>12040000</v>
      </c>
      <c r="C383" s="94">
        <v>12110000</v>
      </c>
      <c r="D383" s="94">
        <v>12085000</v>
      </c>
      <c r="E383" s="95">
        <v>42829</v>
      </c>
      <c r="F383" s="96" t="s">
        <v>1551</v>
      </c>
    </row>
    <row r="384" spans="1:6">
      <c r="A384" s="94">
        <v>12040000</v>
      </c>
      <c r="B384" s="94">
        <v>11985000</v>
      </c>
      <c r="C384" s="94">
        <v>12040000</v>
      </c>
      <c r="D384" s="94">
        <v>12040000</v>
      </c>
      <c r="E384" s="95">
        <v>42828</v>
      </c>
      <c r="F384" s="96" t="s">
        <v>1552</v>
      </c>
    </row>
    <row r="385" spans="1:6">
      <c r="A385" s="94">
        <v>12035000</v>
      </c>
      <c r="B385" s="94">
        <v>12035000</v>
      </c>
      <c r="C385" s="94">
        <v>12035000</v>
      </c>
      <c r="D385" s="94">
        <v>12035000</v>
      </c>
      <c r="E385" s="95">
        <v>42826</v>
      </c>
      <c r="F385" s="96" t="s">
        <v>1553</v>
      </c>
    </row>
    <row r="386" spans="1:6">
      <c r="A386" s="94">
        <v>12030000</v>
      </c>
      <c r="B386" s="94">
        <v>12015000</v>
      </c>
      <c r="C386" s="94">
        <v>12055000</v>
      </c>
      <c r="D386" s="94">
        <v>12045000</v>
      </c>
      <c r="E386" s="95">
        <v>42824</v>
      </c>
      <c r="F386" s="96" t="s">
        <v>1554</v>
      </c>
    </row>
    <row r="387" spans="1:6">
      <c r="A387" s="94">
        <v>12025000</v>
      </c>
      <c r="B387" s="94">
        <v>12020000</v>
      </c>
      <c r="C387" s="94">
        <v>12045000</v>
      </c>
      <c r="D387" s="94">
        <v>12045000</v>
      </c>
      <c r="E387" s="95">
        <v>42823</v>
      </c>
      <c r="F387" s="96" t="s">
        <v>1555</v>
      </c>
    </row>
    <row r="388" spans="1:6">
      <c r="A388" s="94">
        <v>12067000</v>
      </c>
      <c r="B388" s="94">
        <v>12065000</v>
      </c>
      <c r="C388" s="94">
        <v>12080000</v>
      </c>
      <c r="D388" s="94">
        <v>12077000</v>
      </c>
      <c r="E388" s="95">
        <v>42822</v>
      </c>
      <c r="F388" s="96" t="s">
        <v>1556</v>
      </c>
    </row>
    <row r="389" spans="1:6">
      <c r="A389" s="94">
        <v>12005000</v>
      </c>
      <c r="B389" s="94">
        <v>12005000</v>
      </c>
      <c r="C389" s="94">
        <v>12090000</v>
      </c>
      <c r="D389" s="94">
        <v>12052000</v>
      </c>
      <c r="E389" s="95">
        <v>42821</v>
      </c>
      <c r="F389" s="96" t="s">
        <v>1557</v>
      </c>
    </row>
    <row r="390" spans="1:6">
      <c r="A390" s="94">
        <v>12010000</v>
      </c>
      <c r="B390" s="94">
        <v>11965000</v>
      </c>
      <c r="C390" s="94">
        <v>12010000</v>
      </c>
      <c r="D390" s="94">
        <v>12010000</v>
      </c>
      <c r="E390" s="95">
        <v>42820</v>
      </c>
      <c r="F390" s="96" t="s">
        <v>1558</v>
      </c>
    </row>
    <row r="391" spans="1:6">
      <c r="A391" s="94">
        <v>12008000</v>
      </c>
      <c r="B391" s="94">
        <v>11993000</v>
      </c>
      <c r="C391" s="94">
        <v>12008000</v>
      </c>
      <c r="D391" s="94">
        <v>12008000</v>
      </c>
      <c r="E391" s="95">
        <v>42815</v>
      </c>
      <c r="F391" s="96" t="s">
        <v>1559</v>
      </c>
    </row>
    <row r="392" spans="1:6">
      <c r="A392" s="94">
        <v>11967000</v>
      </c>
      <c r="B392" s="94">
        <v>11925000</v>
      </c>
      <c r="C392" s="94">
        <v>11973000</v>
      </c>
      <c r="D392" s="94">
        <v>11968000</v>
      </c>
      <c r="E392" s="95">
        <v>42812</v>
      </c>
      <c r="F392" s="96" t="s">
        <v>1560</v>
      </c>
    </row>
    <row r="393" spans="1:6">
      <c r="A393" s="94">
        <v>11925000</v>
      </c>
      <c r="B393" s="94">
        <v>11925000</v>
      </c>
      <c r="C393" s="94">
        <v>11982000</v>
      </c>
      <c r="D393" s="94">
        <v>11952000</v>
      </c>
      <c r="E393" s="95">
        <v>42810</v>
      </c>
      <c r="F393" s="96" t="s">
        <v>1561</v>
      </c>
    </row>
    <row r="394" spans="1:6">
      <c r="A394" s="94">
        <v>11890000</v>
      </c>
      <c r="B394" s="94">
        <v>11835000</v>
      </c>
      <c r="C394" s="94">
        <v>11910000</v>
      </c>
      <c r="D394" s="94">
        <v>11885000</v>
      </c>
      <c r="E394" s="95">
        <v>42809</v>
      </c>
      <c r="F394" s="96" t="s">
        <v>1562</v>
      </c>
    </row>
    <row r="395" spans="1:6">
      <c r="A395" s="94">
        <v>11973000</v>
      </c>
      <c r="B395" s="94">
        <v>11870000</v>
      </c>
      <c r="C395" s="94">
        <v>12233000</v>
      </c>
      <c r="D395" s="94">
        <v>11880000</v>
      </c>
      <c r="E395" s="95">
        <v>42808</v>
      </c>
      <c r="F395" s="96" t="s">
        <v>1563</v>
      </c>
    </row>
    <row r="396" spans="1:6">
      <c r="A396" s="94">
        <v>12050000</v>
      </c>
      <c r="B396" s="94">
        <v>11908000</v>
      </c>
      <c r="C396" s="94">
        <v>12213000</v>
      </c>
      <c r="D396" s="94">
        <v>11983000</v>
      </c>
      <c r="E396" s="95">
        <v>42807</v>
      </c>
      <c r="F396" s="96" t="s">
        <v>1564</v>
      </c>
    </row>
    <row r="397" spans="1:6">
      <c r="A397" s="94">
        <v>11885000</v>
      </c>
      <c r="B397" s="94">
        <v>11875000</v>
      </c>
      <c r="C397" s="94">
        <v>12108000</v>
      </c>
      <c r="D397" s="94">
        <v>12100000</v>
      </c>
      <c r="E397" s="95">
        <v>42806</v>
      </c>
      <c r="F397" s="96" t="s">
        <v>1565</v>
      </c>
    </row>
    <row r="398" spans="1:6">
      <c r="A398" s="94">
        <v>11935000</v>
      </c>
      <c r="B398" s="94">
        <v>11856000</v>
      </c>
      <c r="C398" s="94">
        <v>11950000</v>
      </c>
      <c r="D398" s="94">
        <v>11891000</v>
      </c>
      <c r="E398" s="95">
        <v>42805</v>
      </c>
      <c r="F398" s="96" t="s">
        <v>1566</v>
      </c>
    </row>
    <row r="399" spans="1:6">
      <c r="A399" s="94">
        <v>11898000</v>
      </c>
      <c r="B399" s="94">
        <v>11865000</v>
      </c>
      <c r="C399" s="94">
        <v>11965000</v>
      </c>
      <c r="D399" s="94">
        <v>11945000</v>
      </c>
      <c r="E399" s="95">
        <v>42803</v>
      </c>
      <c r="F399" s="96" t="s">
        <v>1567</v>
      </c>
    </row>
    <row r="400" spans="1:6">
      <c r="A400" s="94">
        <v>11990000</v>
      </c>
      <c r="B400" s="94">
        <v>11838000</v>
      </c>
      <c r="C400" s="94">
        <v>11990000</v>
      </c>
      <c r="D400" s="94">
        <v>11878000</v>
      </c>
      <c r="E400" s="95">
        <v>42802</v>
      </c>
      <c r="F400" s="96" t="s">
        <v>1568</v>
      </c>
    </row>
    <row r="401" spans="1:6">
      <c r="A401" s="94">
        <v>12030000</v>
      </c>
      <c r="B401" s="94">
        <v>11987000</v>
      </c>
      <c r="C401" s="94">
        <v>12032000</v>
      </c>
      <c r="D401" s="94">
        <v>11995000</v>
      </c>
      <c r="E401" s="95">
        <v>42801</v>
      </c>
      <c r="F401" s="96" t="s">
        <v>1569</v>
      </c>
    </row>
    <row r="402" spans="1:6">
      <c r="A402" s="94">
        <v>12007000</v>
      </c>
      <c r="B402" s="94">
        <v>11980000</v>
      </c>
      <c r="C402" s="94">
        <v>12038000</v>
      </c>
      <c r="D402" s="94">
        <v>12015000</v>
      </c>
      <c r="E402" s="95">
        <v>42800</v>
      </c>
      <c r="F402" s="96" t="s">
        <v>1570</v>
      </c>
    </row>
    <row r="403" spans="1:6">
      <c r="A403" s="94">
        <v>12039000</v>
      </c>
      <c r="B403" s="94">
        <v>11981000</v>
      </c>
      <c r="C403" s="94">
        <v>12050000</v>
      </c>
      <c r="D403" s="94">
        <v>12012000</v>
      </c>
      <c r="E403" s="95">
        <v>42799</v>
      </c>
      <c r="F403" s="96" t="s">
        <v>1571</v>
      </c>
    </row>
    <row r="404" spans="1:6">
      <c r="A404" s="94">
        <v>11960000</v>
      </c>
      <c r="B404" s="94">
        <v>11945000</v>
      </c>
      <c r="C404" s="94">
        <v>12034000</v>
      </c>
      <c r="D404" s="94">
        <v>12029000</v>
      </c>
      <c r="E404" s="95">
        <v>42798</v>
      </c>
      <c r="F404" s="96" t="s">
        <v>1572</v>
      </c>
    </row>
    <row r="405" spans="1:6">
      <c r="A405" s="94">
        <v>11972000</v>
      </c>
      <c r="B405" s="94">
        <v>11965000</v>
      </c>
      <c r="C405" s="94">
        <v>12020000</v>
      </c>
      <c r="D405" s="94">
        <v>11985000</v>
      </c>
      <c r="E405" s="95">
        <v>42795</v>
      </c>
      <c r="F405" s="96" t="s">
        <v>1573</v>
      </c>
    </row>
    <row r="406" spans="1:6">
      <c r="A406" s="94">
        <v>12020000</v>
      </c>
      <c r="B406" s="94">
        <v>11985000</v>
      </c>
      <c r="C406" s="94">
        <v>12045000</v>
      </c>
      <c r="D406" s="94">
        <v>12013000</v>
      </c>
      <c r="E406" s="95">
        <v>42794</v>
      </c>
      <c r="F406" s="96" t="s">
        <v>1574</v>
      </c>
    </row>
    <row r="407" spans="1:6">
      <c r="A407" s="94">
        <v>12140000</v>
      </c>
      <c r="B407" s="94">
        <v>12015000</v>
      </c>
      <c r="C407" s="94">
        <v>12149000</v>
      </c>
      <c r="D407" s="94">
        <v>12040000</v>
      </c>
      <c r="E407" s="95">
        <v>42793</v>
      </c>
      <c r="F407" s="96" t="s">
        <v>1575</v>
      </c>
    </row>
    <row r="408" spans="1:6">
      <c r="A408" s="94">
        <v>12078000</v>
      </c>
      <c r="B408" s="94">
        <v>12073000</v>
      </c>
      <c r="C408" s="94">
        <v>12147000</v>
      </c>
      <c r="D408" s="94">
        <v>12145000</v>
      </c>
      <c r="E408" s="95">
        <v>42792</v>
      </c>
      <c r="F408" s="96" t="s">
        <v>1576</v>
      </c>
    </row>
    <row r="409" spans="1:6">
      <c r="A409" s="94">
        <v>12032000</v>
      </c>
      <c r="B409" s="94">
        <v>12022000</v>
      </c>
      <c r="C409" s="94">
        <v>12091000</v>
      </c>
      <c r="D409" s="94">
        <v>12081000</v>
      </c>
      <c r="E409" s="95">
        <v>42791</v>
      </c>
      <c r="F409" s="96" t="s">
        <v>1577</v>
      </c>
    </row>
    <row r="410" spans="1:6">
      <c r="A410" s="94">
        <v>11960000</v>
      </c>
      <c r="B410" s="94">
        <v>11945000</v>
      </c>
      <c r="C410" s="94">
        <v>12010000</v>
      </c>
      <c r="D410" s="94">
        <v>12000000</v>
      </c>
      <c r="E410" s="95">
        <v>42789</v>
      </c>
      <c r="F410" s="96" t="s">
        <v>1578</v>
      </c>
    </row>
    <row r="411" spans="1:6">
      <c r="A411" s="94">
        <v>11900000</v>
      </c>
      <c r="B411" s="94">
        <v>11900000</v>
      </c>
      <c r="C411" s="94">
        <v>11960000</v>
      </c>
      <c r="D411" s="94">
        <v>11935000</v>
      </c>
      <c r="E411" s="95">
        <v>42788</v>
      </c>
      <c r="F411" s="96" t="s">
        <v>1579</v>
      </c>
    </row>
    <row r="412" spans="1:6">
      <c r="A412" s="94">
        <v>11940000</v>
      </c>
      <c r="B412" s="94">
        <v>11875000</v>
      </c>
      <c r="C412" s="94">
        <v>11940000</v>
      </c>
      <c r="D412" s="94">
        <v>11920000</v>
      </c>
      <c r="E412" s="95">
        <v>42787</v>
      </c>
      <c r="F412" s="96" t="s">
        <v>1580</v>
      </c>
    </row>
    <row r="413" spans="1:6">
      <c r="A413" s="94">
        <v>11885000</v>
      </c>
      <c r="B413" s="94">
        <v>11885000</v>
      </c>
      <c r="C413" s="94">
        <v>11945000</v>
      </c>
      <c r="D413" s="94">
        <v>11930000</v>
      </c>
      <c r="E413" s="95">
        <v>42786</v>
      </c>
      <c r="F413" s="96" t="s">
        <v>1581</v>
      </c>
    </row>
    <row r="414" spans="1:6">
      <c r="A414" s="94">
        <v>11900000</v>
      </c>
      <c r="B414" s="94">
        <v>11869000</v>
      </c>
      <c r="C414" s="94">
        <v>11910000</v>
      </c>
      <c r="D414" s="94">
        <v>11890000</v>
      </c>
      <c r="E414" s="95">
        <v>42785</v>
      </c>
      <c r="F414" s="96" t="s">
        <v>1582</v>
      </c>
    </row>
    <row r="415" spans="1:6">
      <c r="A415" s="94">
        <v>11970000</v>
      </c>
      <c r="B415" s="94">
        <v>11883000</v>
      </c>
      <c r="C415" s="94">
        <v>11975000</v>
      </c>
      <c r="D415" s="94">
        <v>11890000</v>
      </c>
      <c r="E415" s="95">
        <v>42784</v>
      </c>
      <c r="F415" s="96" t="s">
        <v>1583</v>
      </c>
    </row>
    <row r="416" spans="1:6">
      <c r="A416" s="94">
        <v>11943000</v>
      </c>
      <c r="B416" s="94">
        <v>11922000</v>
      </c>
      <c r="C416" s="94">
        <v>11985000</v>
      </c>
      <c r="D416" s="94">
        <v>11975000</v>
      </c>
      <c r="E416" s="95">
        <v>42782</v>
      </c>
      <c r="F416" s="96" t="s">
        <v>1584</v>
      </c>
    </row>
    <row r="417" spans="1:6">
      <c r="A417" s="94">
        <v>11897000</v>
      </c>
      <c r="B417" s="94">
        <v>11833000</v>
      </c>
      <c r="C417" s="94">
        <v>11932000</v>
      </c>
      <c r="D417" s="94">
        <v>11903000</v>
      </c>
      <c r="E417" s="95">
        <v>42781</v>
      </c>
      <c r="F417" s="96" t="s">
        <v>1585</v>
      </c>
    </row>
    <row r="418" spans="1:6">
      <c r="A418" s="94">
        <v>11845000</v>
      </c>
      <c r="B418" s="94">
        <v>11835000</v>
      </c>
      <c r="C418" s="94">
        <v>11922000</v>
      </c>
      <c r="D418" s="94">
        <v>11877000</v>
      </c>
      <c r="E418" s="95">
        <v>42780</v>
      </c>
      <c r="F418" s="96" t="s">
        <v>1586</v>
      </c>
    </row>
    <row r="419" spans="1:6">
      <c r="A419" s="94">
        <v>12005000</v>
      </c>
      <c r="B419" s="94">
        <v>11820000</v>
      </c>
      <c r="C419" s="94">
        <v>12005000</v>
      </c>
      <c r="D419" s="94">
        <v>11840000</v>
      </c>
      <c r="E419" s="95">
        <v>42779</v>
      </c>
      <c r="F419" s="96" t="s">
        <v>1587</v>
      </c>
    </row>
    <row r="420" spans="1:6">
      <c r="A420" s="94">
        <v>12013000</v>
      </c>
      <c r="B420" s="94">
        <v>12005000</v>
      </c>
      <c r="C420" s="94">
        <v>12053000</v>
      </c>
      <c r="D420" s="94">
        <v>12015000</v>
      </c>
      <c r="E420" s="95">
        <v>42778</v>
      </c>
      <c r="F420" s="96" t="s">
        <v>1588</v>
      </c>
    </row>
    <row r="421" spans="1:6">
      <c r="A421" s="94">
        <v>11988000</v>
      </c>
      <c r="B421" s="94">
        <v>11963000</v>
      </c>
      <c r="C421" s="94">
        <v>12028000</v>
      </c>
      <c r="D421" s="94">
        <v>12023000</v>
      </c>
      <c r="E421" s="95">
        <v>42777</v>
      </c>
      <c r="F421" s="96" t="s">
        <v>1589</v>
      </c>
    </row>
    <row r="422" spans="1:6">
      <c r="A422" s="94">
        <v>12023000</v>
      </c>
      <c r="B422" s="94">
        <v>11978000</v>
      </c>
      <c r="C422" s="94">
        <v>12070000</v>
      </c>
      <c r="D422" s="94">
        <v>11993000</v>
      </c>
      <c r="E422" s="95">
        <v>42775</v>
      </c>
      <c r="F422" s="96" t="s">
        <v>1590</v>
      </c>
    </row>
    <row r="423" spans="1:6">
      <c r="A423" s="94">
        <v>12102000</v>
      </c>
      <c r="B423" s="94">
        <v>12003000</v>
      </c>
      <c r="C423" s="94">
        <v>12120000</v>
      </c>
      <c r="D423" s="94">
        <v>12033000</v>
      </c>
      <c r="E423" s="95">
        <v>42774</v>
      </c>
      <c r="F423" s="96" t="s">
        <v>1591</v>
      </c>
    </row>
    <row r="424" spans="1:6">
      <c r="A424" s="94">
        <v>12132000</v>
      </c>
      <c r="B424" s="94">
        <v>12087000</v>
      </c>
      <c r="C424" s="94">
        <v>12175000</v>
      </c>
      <c r="D424" s="94">
        <v>12097000</v>
      </c>
      <c r="E424" s="95">
        <v>42773</v>
      </c>
      <c r="F424" s="96" t="s">
        <v>1592</v>
      </c>
    </row>
    <row r="425" spans="1:6">
      <c r="A425" s="94">
        <v>12007000</v>
      </c>
      <c r="B425" s="94">
        <v>11990000</v>
      </c>
      <c r="C425" s="94">
        <v>12135000</v>
      </c>
      <c r="D425" s="94">
        <v>12135000</v>
      </c>
      <c r="E425" s="95">
        <v>42772</v>
      </c>
      <c r="F425" s="96" t="s">
        <v>1593</v>
      </c>
    </row>
    <row r="426" spans="1:6">
      <c r="A426" s="94">
        <v>11970000</v>
      </c>
      <c r="B426" s="94">
        <v>11952000</v>
      </c>
      <c r="C426" s="94">
        <v>12030000</v>
      </c>
      <c r="D426" s="94">
        <v>11972000</v>
      </c>
      <c r="E426" s="95">
        <v>42771</v>
      </c>
      <c r="F426" s="96" t="s">
        <v>1594</v>
      </c>
    </row>
    <row r="427" spans="1:6">
      <c r="A427" s="94">
        <v>11876000</v>
      </c>
      <c r="B427" s="94">
        <v>11876000</v>
      </c>
      <c r="C427" s="94">
        <v>11965000</v>
      </c>
      <c r="D427" s="94">
        <v>11965000</v>
      </c>
      <c r="E427" s="95">
        <v>42770</v>
      </c>
      <c r="F427" s="96" t="s">
        <v>1595</v>
      </c>
    </row>
    <row r="428" spans="1:6">
      <c r="A428" s="94">
        <v>11877000</v>
      </c>
      <c r="B428" s="94">
        <v>11850000</v>
      </c>
      <c r="C428" s="94">
        <v>11936000</v>
      </c>
      <c r="D428" s="94">
        <v>11886000</v>
      </c>
      <c r="E428" s="95">
        <v>42768</v>
      </c>
      <c r="F428" s="96" t="s">
        <v>1596</v>
      </c>
    </row>
    <row r="429" spans="1:6">
      <c r="A429" s="94">
        <v>11890000</v>
      </c>
      <c r="B429" s="94">
        <v>11797000</v>
      </c>
      <c r="C429" s="94">
        <v>11940000</v>
      </c>
      <c r="D429" s="94">
        <v>11837000</v>
      </c>
      <c r="E429" s="95">
        <v>42767</v>
      </c>
      <c r="F429" s="96" t="s">
        <v>1597</v>
      </c>
    </row>
    <row r="430" spans="1:6">
      <c r="A430" s="94">
        <v>11697000</v>
      </c>
      <c r="B430" s="94">
        <v>11687000</v>
      </c>
      <c r="C430" s="94">
        <v>11905000</v>
      </c>
      <c r="D430" s="94">
        <v>11870000</v>
      </c>
      <c r="E430" s="95">
        <v>42766</v>
      </c>
      <c r="F430" s="96" t="s">
        <v>1598</v>
      </c>
    </row>
    <row r="431" spans="1:6">
      <c r="A431" s="94">
        <v>11760000</v>
      </c>
      <c r="B431" s="94">
        <v>11672000</v>
      </c>
      <c r="C431" s="94">
        <v>11760000</v>
      </c>
      <c r="D431" s="94">
        <v>11692000</v>
      </c>
      <c r="E431" s="95">
        <v>42765</v>
      </c>
      <c r="F431" s="96" t="s">
        <v>1599</v>
      </c>
    </row>
    <row r="432" spans="1:6">
      <c r="A432" s="94">
        <v>11730000</v>
      </c>
      <c r="B432" s="94">
        <v>11720000</v>
      </c>
      <c r="C432" s="94">
        <v>11775000</v>
      </c>
      <c r="D432" s="94">
        <v>11755000</v>
      </c>
      <c r="E432" s="95">
        <v>42764</v>
      </c>
      <c r="F432" s="96" t="s">
        <v>1600</v>
      </c>
    </row>
    <row r="433" spans="1:6">
      <c r="A433" s="94">
        <v>11749000</v>
      </c>
      <c r="B433" s="94">
        <v>11698000</v>
      </c>
      <c r="C433" s="94">
        <v>11780000</v>
      </c>
      <c r="D433" s="94">
        <v>11740000</v>
      </c>
      <c r="E433" s="95">
        <v>42763</v>
      </c>
      <c r="F433" s="96" t="s">
        <v>1601</v>
      </c>
    </row>
    <row r="434" spans="1:6">
      <c r="A434" s="94">
        <v>11771000</v>
      </c>
      <c r="B434" s="94">
        <v>11714000</v>
      </c>
      <c r="C434" s="94">
        <v>11794000</v>
      </c>
      <c r="D434" s="94">
        <v>11724000</v>
      </c>
      <c r="E434" s="95">
        <v>42761</v>
      </c>
      <c r="F434" s="96" t="s">
        <v>1602</v>
      </c>
    </row>
    <row r="435" spans="1:6">
      <c r="A435" s="94">
        <v>11797000</v>
      </c>
      <c r="B435" s="94">
        <v>11752000</v>
      </c>
      <c r="C435" s="94">
        <v>11836000</v>
      </c>
      <c r="D435" s="94">
        <v>11786000</v>
      </c>
      <c r="E435" s="95">
        <v>42760</v>
      </c>
      <c r="F435" s="96" t="s">
        <v>1603</v>
      </c>
    </row>
    <row r="436" spans="1:6">
      <c r="A436" s="94">
        <v>11860000</v>
      </c>
      <c r="B436" s="94">
        <v>11817000</v>
      </c>
      <c r="C436" s="94">
        <v>11895000</v>
      </c>
      <c r="D436" s="94">
        <v>11827000</v>
      </c>
      <c r="E436" s="95">
        <v>42759</v>
      </c>
      <c r="F436" s="96" t="s">
        <v>1604</v>
      </c>
    </row>
    <row r="437" spans="1:6">
      <c r="A437" s="94">
        <v>11792000</v>
      </c>
      <c r="B437" s="94">
        <v>11792000</v>
      </c>
      <c r="C437" s="94">
        <v>11894000</v>
      </c>
      <c r="D437" s="94">
        <v>11864000</v>
      </c>
      <c r="E437" s="95">
        <v>42758</v>
      </c>
      <c r="F437" s="96" t="s">
        <v>1605</v>
      </c>
    </row>
    <row r="438" spans="1:6">
      <c r="A438" s="94">
        <v>11663000</v>
      </c>
      <c r="B438" s="94">
        <v>11663000</v>
      </c>
      <c r="C438" s="94">
        <v>11792000</v>
      </c>
      <c r="D438" s="94">
        <v>11782000</v>
      </c>
      <c r="E438" s="95">
        <v>42757</v>
      </c>
      <c r="F438" s="96" t="s">
        <v>1606</v>
      </c>
    </row>
    <row r="439" spans="1:6">
      <c r="A439" s="94">
        <v>11777000</v>
      </c>
      <c r="B439" s="94">
        <v>11630000</v>
      </c>
      <c r="C439" s="94">
        <v>11800000</v>
      </c>
      <c r="D439" s="94">
        <v>11638000</v>
      </c>
      <c r="E439" s="95">
        <v>42756</v>
      </c>
      <c r="F439" s="96" t="s">
        <v>1607</v>
      </c>
    </row>
    <row r="440" spans="1:6">
      <c r="A440" s="94">
        <v>11844000</v>
      </c>
      <c r="B440" s="94">
        <v>11782000</v>
      </c>
      <c r="C440" s="94">
        <v>11865000</v>
      </c>
      <c r="D440" s="94">
        <v>11837000</v>
      </c>
      <c r="E440" s="95">
        <v>42754</v>
      </c>
      <c r="F440" s="96" t="s">
        <v>1608</v>
      </c>
    </row>
    <row r="441" spans="1:6">
      <c r="A441" s="94">
        <v>11858000</v>
      </c>
      <c r="B441" s="94">
        <v>11812000</v>
      </c>
      <c r="C441" s="94">
        <v>11872000</v>
      </c>
      <c r="D441" s="94">
        <v>11847000</v>
      </c>
      <c r="E441" s="95">
        <v>42753</v>
      </c>
      <c r="F441" s="96" t="s">
        <v>1609</v>
      </c>
    </row>
    <row r="442" spans="1:6">
      <c r="A442" s="94">
        <v>11889000</v>
      </c>
      <c r="B442" s="94">
        <v>11815000</v>
      </c>
      <c r="C442" s="94">
        <v>11907000</v>
      </c>
      <c r="D442" s="94">
        <v>11845000</v>
      </c>
      <c r="E442" s="95">
        <v>42752</v>
      </c>
      <c r="F442" s="96" t="s">
        <v>1610</v>
      </c>
    </row>
    <row r="443" spans="1:6">
      <c r="A443" s="94">
        <v>11865000</v>
      </c>
      <c r="B443" s="94">
        <v>11819000</v>
      </c>
      <c r="C443" s="94">
        <v>11933000</v>
      </c>
      <c r="D443" s="94">
        <v>11837000</v>
      </c>
      <c r="E443" s="95">
        <v>42751</v>
      </c>
      <c r="F443" s="96" t="s">
        <v>1611</v>
      </c>
    </row>
    <row r="444" spans="1:6">
      <c r="A444" s="94">
        <v>11767000</v>
      </c>
      <c r="B444" s="94">
        <v>11717000</v>
      </c>
      <c r="C444" s="94">
        <v>11878000</v>
      </c>
      <c r="D444" s="94">
        <v>11863000</v>
      </c>
      <c r="E444" s="95">
        <v>42750</v>
      </c>
      <c r="F444" s="96" t="s">
        <v>1612</v>
      </c>
    </row>
    <row r="445" spans="1:6">
      <c r="A445" s="94">
        <v>11978000</v>
      </c>
      <c r="B445" s="94">
        <v>11752000</v>
      </c>
      <c r="C445" s="94">
        <v>11997000</v>
      </c>
      <c r="D445" s="94">
        <v>11762000</v>
      </c>
      <c r="E445" s="95">
        <v>42749</v>
      </c>
      <c r="F445" s="96" t="s">
        <v>1613</v>
      </c>
    </row>
    <row r="446" spans="1:6">
      <c r="A446" s="94">
        <v>11979000</v>
      </c>
      <c r="B446" s="94">
        <v>11979000</v>
      </c>
      <c r="C446" s="94">
        <v>12060000</v>
      </c>
      <c r="D446" s="94">
        <v>12003000</v>
      </c>
      <c r="E446" s="95">
        <v>42747</v>
      </c>
      <c r="F446" s="96" t="s">
        <v>1614</v>
      </c>
    </row>
    <row r="447" spans="1:6">
      <c r="A447" s="94">
        <v>11933000</v>
      </c>
      <c r="B447" s="94">
        <v>11874000</v>
      </c>
      <c r="C447" s="94">
        <v>11977000</v>
      </c>
      <c r="D447" s="94">
        <v>11947000</v>
      </c>
      <c r="E447" s="95">
        <v>42746</v>
      </c>
      <c r="F447" s="96" t="s">
        <v>1615</v>
      </c>
    </row>
    <row r="448" spans="1:6">
      <c r="A448" s="94">
        <v>11875000</v>
      </c>
      <c r="B448" s="94">
        <v>11865000</v>
      </c>
      <c r="C448" s="94">
        <v>11920000</v>
      </c>
      <c r="D448" s="94">
        <v>11898000</v>
      </c>
      <c r="E448" s="95">
        <v>42745</v>
      </c>
      <c r="F448" s="96" t="s">
        <v>1616</v>
      </c>
    </row>
    <row r="449" spans="1:6">
      <c r="A449" s="94">
        <v>11776000</v>
      </c>
      <c r="B449" s="94">
        <v>11757000</v>
      </c>
      <c r="C449" s="94">
        <v>11886000</v>
      </c>
      <c r="D449" s="94">
        <v>11870000</v>
      </c>
      <c r="E449" s="95">
        <v>42744</v>
      </c>
      <c r="F449" s="96" t="s">
        <v>1617</v>
      </c>
    </row>
    <row r="450" spans="1:6">
      <c r="A450" s="94">
        <v>11919000</v>
      </c>
      <c r="B450" s="94">
        <v>11736000</v>
      </c>
      <c r="C450" s="94">
        <v>11945000</v>
      </c>
      <c r="D450" s="94">
        <v>11804000</v>
      </c>
      <c r="E450" s="95">
        <v>42743</v>
      </c>
      <c r="F450" s="96" t="s">
        <v>1618</v>
      </c>
    </row>
    <row r="451" spans="1:6">
      <c r="A451" s="94">
        <v>11887000</v>
      </c>
      <c r="B451" s="94">
        <v>11675000</v>
      </c>
      <c r="C451" s="94">
        <v>11942000</v>
      </c>
      <c r="D451" s="94">
        <v>11887000</v>
      </c>
      <c r="E451" s="95">
        <v>42742</v>
      </c>
      <c r="F451" s="96" t="s">
        <v>1619</v>
      </c>
    </row>
    <row r="452" spans="1:6">
      <c r="A452" s="94">
        <v>11740000</v>
      </c>
      <c r="B452" s="94">
        <v>11630000</v>
      </c>
      <c r="C452" s="94">
        <v>11745000</v>
      </c>
      <c r="D452" s="94">
        <v>11740000</v>
      </c>
      <c r="E452" s="95">
        <v>42740</v>
      </c>
      <c r="F452" s="96" t="s">
        <v>1620</v>
      </c>
    </row>
    <row r="453" spans="1:6">
      <c r="A453" s="94">
        <v>11627000</v>
      </c>
      <c r="B453" s="94">
        <v>11497000</v>
      </c>
      <c r="C453" s="94">
        <v>11655000</v>
      </c>
      <c r="D453" s="94">
        <v>11627000</v>
      </c>
      <c r="E453" s="95">
        <v>42739</v>
      </c>
      <c r="F453" s="96" t="s">
        <v>1621</v>
      </c>
    </row>
    <row r="454" spans="1:6">
      <c r="A454" s="94">
        <v>11557000</v>
      </c>
      <c r="B454" s="94">
        <v>11472000</v>
      </c>
      <c r="C454" s="94">
        <v>11720000</v>
      </c>
      <c r="D454" s="94">
        <v>11557000</v>
      </c>
      <c r="E454" s="95">
        <v>42738</v>
      </c>
      <c r="F454" s="96" t="s">
        <v>1622</v>
      </c>
    </row>
    <row r="455" spans="1:6">
      <c r="A455" s="94">
        <v>11565000</v>
      </c>
      <c r="B455" s="94">
        <v>11382000</v>
      </c>
      <c r="C455" s="94">
        <v>11635000</v>
      </c>
      <c r="D455" s="94">
        <v>11565000</v>
      </c>
      <c r="E455" s="95">
        <v>42737</v>
      </c>
      <c r="F455" s="96" t="s">
        <v>1623</v>
      </c>
    </row>
    <row r="456" spans="1:6">
      <c r="A456" s="94">
        <v>11460000</v>
      </c>
      <c r="B456" s="94">
        <v>11102000</v>
      </c>
      <c r="C456" s="94">
        <v>11507000</v>
      </c>
      <c r="D456" s="94">
        <v>11460000</v>
      </c>
      <c r="E456" s="95">
        <v>42736</v>
      </c>
      <c r="F456" s="96" t="s">
        <v>1624</v>
      </c>
    </row>
    <row r="457" spans="1:6">
      <c r="A457" s="94">
        <v>11302000</v>
      </c>
      <c r="B457" s="94">
        <v>11279000</v>
      </c>
      <c r="C457" s="94">
        <v>11645000</v>
      </c>
      <c r="D457" s="94">
        <v>11302000</v>
      </c>
      <c r="E457" s="95">
        <v>42735</v>
      </c>
      <c r="F457" s="96" t="s">
        <v>1625</v>
      </c>
    </row>
    <row r="458" spans="1:6">
      <c r="A458" s="94">
        <v>11682000</v>
      </c>
      <c r="B458" s="94">
        <v>11642000</v>
      </c>
      <c r="C458" s="94">
        <v>11915000</v>
      </c>
      <c r="D458" s="94">
        <v>11682000</v>
      </c>
      <c r="E458" s="95">
        <v>42733</v>
      </c>
      <c r="F458" s="96" t="s">
        <v>1626</v>
      </c>
    </row>
    <row r="459" spans="1:6">
      <c r="A459" s="94">
        <v>11885000</v>
      </c>
      <c r="B459" s="94">
        <v>11827000</v>
      </c>
      <c r="C459" s="94">
        <v>12250000</v>
      </c>
      <c r="D459" s="94">
        <v>11885000</v>
      </c>
      <c r="E459" s="95">
        <v>42732</v>
      </c>
      <c r="F459" s="96" t="s">
        <v>1627</v>
      </c>
    </row>
    <row r="460" spans="1:6">
      <c r="A460" s="94">
        <v>12163000</v>
      </c>
      <c r="B460" s="94">
        <v>11917000</v>
      </c>
      <c r="C460" s="94">
        <v>12223000</v>
      </c>
      <c r="D460" s="94">
        <v>12163000</v>
      </c>
      <c r="E460" s="95">
        <v>42731</v>
      </c>
      <c r="F460" s="96" t="s">
        <v>1628</v>
      </c>
    </row>
    <row r="461" spans="1:6">
      <c r="A461" s="94">
        <v>11864000</v>
      </c>
      <c r="B461" s="94">
        <v>11707000</v>
      </c>
      <c r="C461" s="94">
        <v>11985000</v>
      </c>
      <c r="D461" s="94">
        <v>11864000</v>
      </c>
      <c r="E461" s="95">
        <v>42730</v>
      </c>
      <c r="F461" s="96" t="s">
        <v>1629</v>
      </c>
    </row>
    <row r="462" spans="1:6">
      <c r="A462" s="94">
        <v>11713000</v>
      </c>
      <c r="B462" s="94">
        <v>11593000</v>
      </c>
      <c r="C462" s="94">
        <v>11713000</v>
      </c>
      <c r="D462" s="94">
        <v>11713000</v>
      </c>
      <c r="E462" s="95">
        <v>42729</v>
      </c>
      <c r="F462" s="96" t="s">
        <v>1630</v>
      </c>
    </row>
    <row r="463" spans="1:6">
      <c r="A463" s="94">
        <v>11568000</v>
      </c>
      <c r="B463" s="94">
        <v>11472000</v>
      </c>
      <c r="C463" s="94">
        <v>11586000</v>
      </c>
      <c r="D463" s="94">
        <v>11568000</v>
      </c>
      <c r="E463" s="95">
        <v>42728</v>
      </c>
      <c r="F463" s="96" t="s">
        <v>1631</v>
      </c>
    </row>
    <row r="464" spans="1:6">
      <c r="A464" s="94">
        <v>11477000</v>
      </c>
      <c r="B464" s="94">
        <v>11455000</v>
      </c>
      <c r="C464" s="94">
        <v>11493000</v>
      </c>
      <c r="D464" s="94">
        <v>11477000</v>
      </c>
      <c r="E464" s="95">
        <v>42726</v>
      </c>
      <c r="F464" s="96" t="s">
        <v>1632</v>
      </c>
    </row>
    <row r="465" spans="1:6">
      <c r="A465" s="94">
        <v>11461000</v>
      </c>
      <c r="B465" s="94">
        <v>11417000</v>
      </c>
      <c r="C465" s="94">
        <v>11494000</v>
      </c>
      <c r="D465" s="94">
        <v>11461000</v>
      </c>
      <c r="E465" s="95">
        <v>42725</v>
      </c>
      <c r="F465" s="96" t="s">
        <v>1633</v>
      </c>
    </row>
    <row r="466" spans="1:6">
      <c r="A466" s="94">
        <v>11412000</v>
      </c>
      <c r="B466" s="94">
        <v>11385000</v>
      </c>
      <c r="C466" s="94">
        <v>11414000</v>
      </c>
      <c r="D466" s="94">
        <v>11412000</v>
      </c>
      <c r="E466" s="95">
        <v>42724</v>
      </c>
      <c r="F466" s="96" t="s">
        <v>1634</v>
      </c>
    </row>
    <row r="467" spans="1:6">
      <c r="A467" s="94">
        <v>11388000</v>
      </c>
      <c r="B467" s="94">
        <v>11366000</v>
      </c>
      <c r="C467" s="94">
        <v>11393000</v>
      </c>
      <c r="D467" s="94">
        <v>11388000</v>
      </c>
      <c r="E467" s="95">
        <v>42723</v>
      </c>
      <c r="F467" s="96" t="s">
        <v>1635</v>
      </c>
    </row>
    <row r="468" spans="1:6">
      <c r="A468" s="94">
        <v>11379000</v>
      </c>
      <c r="B468" s="94">
        <v>11365000</v>
      </c>
      <c r="C468" s="94">
        <v>11395000</v>
      </c>
      <c r="D468" s="94">
        <v>11379000</v>
      </c>
      <c r="E468" s="95">
        <v>42722</v>
      </c>
      <c r="F468" s="96" t="s">
        <v>1636</v>
      </c>
    </row>
    <row r="469" spans="1:6">
      <c r="A469" s="94">
        <v>11387000</v>
      </c>
      <c r="B469" s="94">
        <v>11377000</v>
      </c>
      <c r="C469" s="94">
        <v>11400000</v>
      </c>
      <c r="D469" s="94">
        <v>11387000</v>
      </c>
      <c r="E469" s="95">
        <v>42721</v>
      </c>
      <c r="F469" s="96" t="s">
        <v>1637</v>
      </c>
    </row>
    <row r="470" spans="1:6">
      <c r="A470" s="94">
        <v>11382000</v>
      </c>
      <c r="B470" s="94">
        <v>11372000</v>
      </c>
      <c r="C470" s="94">
        <v>11415000</v>
      </c>
      <c r="D470" s="94">
        <v>11382000</v>
      </c>
      <c r="E470" s="95">
        <v>42719</v>
      </c>
      <c r="F470" s="96" t="s">
        <v>1638</v>
      </c>
    </row>
    <row r="471" spans="1:6">
      <c r="A471" s="94">
        <v>11455000</v>
      </c>
      <c r="B471" s="94">
        <v>11424000</v>
      </c>
      <c r="C471" s="94">
        <v>11467000</v>
      </c>
      <c r="D471" s="94">
        <v>11455000</v>
      </c>
      <c r="E471" s="95">
        <v>42718</v>
      </c>
      <c r="F471" s="96" t="s">
        <v>1639</v>
      </c>
    </row>
    <row r="472" spans="1:6">
      <c r="A472" s="94">
        <v>11426000</v>
      </c>
      <c r="B472" s="94">
        <v>11395000</v>
      </c>
      <c r="C472" s="94">
        <v>11436000</v>
      </c>
      <c r="D472" s="94">
        <v>11426000</v>
      </c>
      <c r="E472" s="95">
        <v>42717</v>
      </c>
      <c r="F472" s="96" t="s">
        <v>1640</v>
      </c>
    </row>
    <row r="473" spans="1:6">
      <c r="A473" s="94">
        <v>11414000</v>
      </c>
      <c r="B473" s="94">
        <v>11340000</v>
      </c>
      <c r="C473" s="94">
        <v>11423000</v>
      </c>
      <c r="D473" s="94">
        <v>11414000</v>
      </c>
      <c r="E473" s="95">
        <v>42716</v>
      </c>
      <c r="F473" s="96" t="s">
        <v>1641</v>
      </c>
    </row>
    <row r="474" spans="1:6">
      <c r="A474" s="94">
        <v>11363000</v>
      </c>
      <c r="B474" s="94">
        <v>11347000</v>
      </c>
      <c r="C474" s="94">
        <v>11387000</v>
      </c>
      <c r="D474" s="94">
        <v>11363000</v>
      </c>
      <c r="E474" s="95">
        <v>42715</v>
      </c>
      <c r="F474" s="96" t="s">
        <v>1642</v>
      </c>
    </row>
    <row r="475" spans="1:6">
      <c r="A475" s="94">
        <v>11382000</v>
      </c>
      <c r="B475" s="94">
        <v>11361000</v>
      </c>
      <c r="C475" s="94">
        <v>11410000</v>
      </c>
      <c r="D475" s="94">
        <v>11382000</v>
      </c>
      <c r="E475" s="95">
        <v>42714</v>
      </c>
      <c r="F475" s="96" t="s">
        <v>1643</v>
      </c>
    </row>
    <row r="476" spans="1:6">
      <c r="A476" s="94">
        <v>11387000</v>
      </c>
      <c r="B476" s="94">
        <v>11372000</v>
      </c>
      <c r="C476" s="94">
        <v>11400000</v>
      </c>
      <c r="D476" s="94">
        <v>11387000</v>
      </c>
      <c r="E476" s="95">
        <v>42712</v>
      </c>
      <c r="F476" s="96" t="s">
        <v>1644</v>
      </c>
    </row>
    <row r="477" spans="1:6">
      <c r="A477" s="94">
        <v>11373000</v>
      </c>
      <c r="B477" s="94">
        <v>11339000</v>
      </c>
      <c r="C477" s="94">
        <v>11395000</v>
      </c>
      <c r="D477" s="94">
        <v>11373000</v>
      </c>
      <c r="E477" s="95">
        <v>42711</v>
      </c>
      <c r="F477" s="96" t="s">
        <v>1645</v>
      </c>
    </row>
    <row r="478" spans="1:6">
      <c r="A478" s="94">
        <v>11350000</v>
      </c>
      <c r="B478" s="94">
        <v>11343000</v>
      </c>
      <c r="C478" s="94">
        <v>11388000</v>
      </c>
      <c r="D478" s="94">
        <v>11350000</v>
      </c>
      <c r="E478" s="95">
        <v>42710</v>
      </c>
      <c r="F478" s="96" t="s">
        <v>1646</v>
      </c>
    </row>
    <row r="479" spans="1:6">
      <c r="A479" s="94">
        <v>11381000</v>
      </c>
      <c r="B479" s="94">
        <v>11319000</v>
      </c>
      <c r="C479" s="94">
        <v>11429000</v>
      </c>
      <c r="D479" s="94">
        <v>11381000</v>
      </c>
      <c r="E479" s="95">
        <v>42709</v>
      </c>
      <c r="F479" s="96" t="s">
        <v>1647</v>
      </c>
    </row>
    <row r="480" spans="1:6">
      <c r="A480" s="94">
        <v>11387000</v>
      </c>
      <c r="B480" s="94">
        <v>11321000</v>
      </c>
      <c r="C480" s="94">
        <v>11450000</v>
      </c>
      <c r="D480" s="94">
        <v>11387000</v>
      </c>
      <c r="E480" s="95">
        <v>42708</v>
      </c>
      <c r="F480" s="96" t="s">
        <v>1648</v>
      </c>
    </row>
    <row r="481" spans="1:6">
      <c r="A481" s="94">
        <v>11316000</v>
      </c>
      <c r="B481" s="94">
        <v>11140000</v>
      </c>
      <c r="C481" s="94">
        <v>11319000</v>
      </c>
      <c r="D481" s="94">
        <v>11316000</v>
      </c>
      <c r="E481" s="95">
        <v>42707</v>
      </c>
      <c r="F481" s="96" t="s">
        <v>1649</v>
      </c>
    </row>
    <row r="482" spans="1:6">
      <c r="A482" s="94">
        <v>11158000</v>
      </c>
      <c r="B482" s="94">
        <v>11144000</v>
      </c>
      <c r="C482" s="94">
        <v>11189000</v>
      </c>
      <c r="D482" s="94">
        <v>11158000</v>
      </c>
      <c r="E482" s="95">
        <v>42705</v>
      </c>
      <c r="F482" s="96" t="s">
        <v>1650</v>
      </c>
    </row>
    <row r="483" spans="1:6">
      <c r="A483" s="94">
        <v>11280000</v>
      </c>
      <c r="B483" s="94">
        <v>11202000</v>
      </c>
      <c r="C483" s="94">
        <v>11280000</v>
      </c>
      <c r="D483" s="94">
        <v>11280000</v>
      </c>
      <c r="E483" s="95">
        <v>42703</v>
      </c>
      <c r="F483" s="96" t="s">
        <v>1651</v>
      </c>
    </row>
    <row r="484" spans="1:6">
      <c r="A484" s="94">
        <v>11202000</v>
      </c>
      <c r="B484" s="94">
        <v>11162000</v>
      </c>
      <c r="C484" s="94">
        <v>11220000</v>
      </c>
      <c r="D484" s="94">
        <v>11202000</v>
      </c>
      <c r="E484" s="95">
        <v>42702</v>
      </c>
      <c r="F484" s="96" t="s">
        <v>1652</v>
      </c>
    </row>
    <row r="485" spans="1:6">
      <c r="A485" s="94">
        <v>11144000</v>
      </c>
      <c r="B485" s="94">
        <v>11040000</v>
      </c>
      <c r="C485" s="94">
        <v>11155000</v>
      </c>
      <c r="D485" s="94">
        <v>11144000</v>
      </c>
      <c r="E485" s="95">
        <v>42701</v>
      </c>
      <c r="F485" s="96" t="s">
        <v>1653</v>
      </c>
    </row>
    <row r="486" spans="1:6">
      <c r="A486" s="94">
        <v>11048000</v>
      </c>
      <c r="B486" s="94">
        <v>11003000</v>
      </c>
      <c r="C486" s="94">
        <v>11105000</v>
      </c>
      <c r="D486" s="94">
        <v>11048000</v>
      </c>
      <c r="E486" s="95">
        <v>42700</v>
      </c>
      <c r="F486" s="96" t="s">
        <v>1654</v>
      </c>
    </row>
    <row r="487" spans="1:6">
      <c r="A487" s="94">
        <v>11079000</v>
      </c>
      <c r="B487" s="94">
        <v>11062000</v>
      </c>
      <c r="C487" s="94">
        <v>11104000</v>
      </c>
      <c r="D487" s="94">
        <v>11079000</v>
      </c>
      <c r="E487" s="95">
        <v>42698</v>
      </c>
      <c r="F487" s="96" t="s">
        <v>1655</v>
      </c>
    </row>
    <row r="488" spans="1:6">
      <c r="A488" s="94">
        <v>11092000</v>
      </c>
      <c r="B488" s="94">
        <v>11069000</v>
      </c>
      <c r="C488" s="94">
        <v>11168000</v>
      </c>
      <c r="D488" s="94">
        <v>11092000</v>
      </c>
      <c r="E488" s="95">
        <v>42697</v>
      </c>
      <c r="F488" s="96" t="s">
        <v>1656</v>
      </c>
    </row>
    <row r="489" spans="1:6">
      <c r="A489" s="94">
        <v>11127000</v>
      </c>
      <c r="B489" s="94">
        <v>11022000</v>
      </c>
      <c r="C489" s="94">
        <v>11132000</v>
      </c>
      <c r="D489" s="94">
        <v>11127000</v>
      </c>
      <c r="E489" s="95">
        <v>42696</v>
      </c>
      <c r="F489" s="96" t="s">
        <v>1657</v>
      </c>
    </row>
    <row r="490" spans="1:6">
      <c r="A490" s="94">
        <v>11010000</v>
      </c>
      <c r="B490" s="94">
        <v>10982000</v>
      </c>
      <c r="C490" s="94">
        <v>11032000</v>
      </c>
      <c r="D490" s="94">
        <v>11010000</v>
      </c>
      <c r="E490" s="95">
        <v>42695</v>
      </c>
      <c r="F490" s="96" t="s">
        <v>1658</v>
      </c>
    </row>
    <row r="491" spans="1:6">
      <c r="A491" s="94">
        <v>11003000</v>
      </c>
      <c r="B491" s="94">
        <v>10983000</v>
      </c>
      <c r="C491" s="94">
        <v>11046000</v>
      </c>
      <c r="D491" s="94">
        <v>11003000</v>
      </c>
      <c r="E491" s="95">
        <v>42693</v>
      </c>
      <c r="F491" s="96" t="s">
        <v>1659</v>
      </c>
    </row>
    <row r="492" spans="1:6">
      <c r="A492" s="94">
        <v>11088000</v>
      </c>
      <c r="B492" s="94">
        <v>11081000</v>
      </c>
      <c r="C492" s="94">
        <v>11143000</v>
      </c>
      <c r="D492" s="94">
        <v>11088000</v>
      </c>
      <c r="E492" s="95">
        <v>42691</v>
      </c>
      <c r="F492" s="96" t="s">
        <v>1660</v>
      </c>
    </row>
    <row r="493" spans="1:6">
      <c r="A493" s="94">
        <v>11130000</v>
      </c>
      <c r="B493" s="94">
        <v>11090000</v>
      </c>
      <c r="C493" s="94">
        <v>11136000</v>
      </c>
      <c r="D493" s="94">
        <v>11130000</v>
      </c>
      <c r="E493" s="95">
        <v>42690</v>
      </c>
      <c r="F493" s="96" t="s">
        <v>1661</v>
      </c>
    </row>
    <row r="494" spans="1:6">
      <c r="A494" s="94">
        <v>11119000</v>
      </c>
      <c r="B494" s="94">
        <v>11051000</v>
      </c>
      <c r="C494" s="94">
        <v>11160000</v>
      </c>
      <c r="D494" s="94">
        <v>11119000</v>
      </c>
      <c r="E494" s="95">
        <v>42689</v>
      </c>
      <c r="F494" s="96" t="s">
        <v>1662</v>
      </c>
    </row>
    <row r="495" spans="1:6">
      <c r="A495" s="94">
        <v>11150000</v>
      </c>
      <c r="B495" s="94">
        <v>11052000</v>
      </c>
      <c r="C495" s="94">
        <v>11155000</v>
      </c>
      <c r="D495" s="94">
        <v>11150000</v>
      </c>
      <c r="E495" s="95">
        <v>42688</v>
      </c>
      <c r="F495" s="96" t="s">
        <v>1663</v>
      </c>
    </row>
    <row r="496" spans="1:6">
      <c r="A496" s="94">
        <v>11099000</v>
      </c>
      <c r="B496" s="94">
        <v>11054000</v>
      </c>
      <c r="C496" s="94">
        <v>11099000</v>
      </c>
      <c r="D496" s="94">
        <v>11099000</v>
      </c>
      <c r="E496" s="95">
        <v>42687</v>
      </c>
      <c r="F496" s="96" t="s">
        <v>1664</v>
      </c>
    </row>
    <row r="497" spans="1:6">
      <c r="A497" s="94">
        <v>11066000</v>
      </c>
      <c r="B497" s="94">
        <v>11042000</v>
      </c>
      <c r="C497" s="94">
        <v>11080000</v>
      </c>
      <c r="D497" s="94">
        <v>11066000</v>
      </c>
      <c r="E497" s="95">
        <v>42686</v>
      </c>
      <c r="F497" s="96" t="s">
        <v>1665</v>
      </c>
    </row>
    <row r="498" spans="1:6">
      <c r="A498" s="94">
        <v>11232000</v>
      </c>
      <c r="B498" s="94">
        <v>11210000</v>
      </c>
      <c r="C498" s="94">
        <v>11285000</v>
      </c>
      <c r="D498" s="94">
        <v>11232000</v>
      </c>
      <c r="E498" s="95">
        <v>42684</v>
      </c>
      <c r="F498" s="96" t="s">
        <v>1666</v>
      </c>
    </row>
    <row r="499" spans="1:6">
      <c r="A499" s="94">
        <v>11240000</v>
      </c>
      <c r="B499" s="94">
        <v>11240000</v>
      </c>
      <c r="C499" s="94">
        <v>11399000</v>
      </c>
      <c r="D499" s="94">
        <v>11240000</v>
      </c>
      <c r="E499" s="95">
        <v>42683</v>
      </c>
      <c r="F499" s="96" t="s">
        <v>1667</v>
      </c>
    </row>
    <row r="500" spans="1:6">
      <c r="A500" s="94">
        <v>11170000</v>
      </c>
      <c r="B500" s="94">
        <v>11159000</v>
      </c>
      <c r="C500" s="94">
        <v>11222000</v>
      </c>
      <c r="D500" s="94">
        <v>11170000</v>
      </c>
      <c r="E500" s="95">
        <v>42682</v>
      </c>
      <c r="F500" s="96" t="s">
        <v>1668</v>
      </c>
    </row>
    <row r="501" spans="1:6">
      <c r="A501" s="94">
        <v>11160000</v>
      </c>
      <c r="B501" s="94">
        <v>11140000</v>
      </c>
      <c r="C501" s="94">
        <v>11213000</v>
      </c>
      <c r="D501" s="94">
        <v>11160000</v>
      </c>
      <c r="E501" s="95">
        <v>42681</v>
      </c>
      <c r="F501" s="96" t="s">
        <v>1669</v>
      </c>
    </row>
    <row r="502" spans="1:6">
      <c r="A502" s="94">
        <v>11269000</v>
      </c>
      <c r="B502" s="94">
        <v>11252000</v>
      </c>
      <c r="C502" s="94">
        <v>11279000</v>
      </c>
      <c r="D502" s="94">
        <v>11269000</v>
      </c>
      <c r="E502" s="95">
        <v>42680</v>
      </c>
      <c r="F502" s="96" t="s">
        <v>1670</v>
      </c>
    </row>
    <row r="503" spans="1:6">
      <c r="A503" s="94">
        <v>11245000</v>
      </c>
      <c r="B503" s="94">
        <v>11205000</v>
      </c>
      <c r="C503" s="94">
        <v>11247000</v>
      </c>
      <c r="D503" s="94">
        <v>11245000</v>
      </c>
      <c r="E503" s="95">
        <v>42679</v>
      </c>
      <c r="F503" s="96" t="s">
        <v>1671</v>
      </c>
    </row>
    <row r="504" spans="1:6">
      <c r="A504" s="94">
        <v>11229000</v>
      </c>
      <c r="B504" s="94">
        <v>11204000</v>
      </c>
      <c r="C504" s="94">
        <v>11268000</v>
      </c>
      <c r="D504" s="94">
        <v>11229000</v>
      </c>
      <c r="E504" s="95">
        <v>42677</v>
      </c>
      <c r="F504" s="96" t="s">
        <v>1672</v>
      </c>
    </row>
    <row r="505" spans="1:6">
      <c r="A505" s="94">
        <v>11271000</v>
      </c>
      <c r="B505" s="94">
        <v>11202000</v>
      </c>
      <c r="C505" s="94">
        <v>11281000</v>
      </c>
      <c r="D505" s="94">
        <v>11271000</v>
      </c>
      <c r="E505" s="95">
        <v>42676</v>
      </c>
      <c r="F505" s="96" t="s">
        <v>1673</v>
      </c>
    </row>
    <row r="506" spans="1:6">
      <c r="A506" s="94">
        <v>11179000</v>
      </c>
      <c r="B506" s="94">
        <v>11122000</v>
      </c>
      <c r="C506" s="94">
        <v>11186000</v>
      </c>
      <c r="D506" s="94">
        <v>11179000</v>
      </c>
      <c r="E506" s="95">
        <v>42675</v>
      </c>
      <c r="F506" s="96" t="s">
        <v>1674</v>
      </c>
    </row>
    <row r="507" spans="1:6">
      <c r="A507" s="94">
        <v>11117000</v>
      </c>
      <c r="B507" s="94">
        <v>11100000</v>
      </c>
      <c r="C507" s="94">
        <v>11180000</v>
      </c>
      <c r="D507" s="94">
        <v>11117000</v>
      </c>
      <c r="E507" s="95">
        <v>42674</v>
      </c>
      <c r="F507" s="96" t="s">
        <v>1675</v>
      </c>
    </row>
    <row r="508" spans="1:6">
      <c r="A508" s="94">
        <v>11183000</v>
      </c>
      <c r="B508" s="94">
        <v>11103000</v>
      </c>
      <c r="C508" s="94">
        <v>11186000</v>
      </c>
      <c r="D508" s="94">
        <v>11183000</v>
      </c>
      <c r="E508" s="95">
        <v>42673</v>
      </c>
      <c r="F508" s="96" t="s">
        <v>1676</v>
      </c>
    </row>
    <row r="509" spans="1:6">
      <c r="A509" s="94">
        <v>11101000</v>
      </c>
      <c r="B509" s="94">
        <v>11088000</v>
      </c>
      <c r="C509" s="94">
        <v>11145000</v>
      </c>
      <c r="D509" s="94">
        <v>11101000</v>
      </c>
      <c r="E509" s="95">
        <v>42672</v>
      </c>
      <c r="F509" s="96" t="s">
        <v>1677</v>
      </c>
    </row>
    <row r="510" spans="1:6">
      <c r="A510" s="94">
        <v>11096000</v>
      </c>
      <c r="B510" s="94">
        <v>11037000</v>
      </c>
      <c r="C510" s="94">
        <v>11099000</v>
      </c>
      <c r="D510" s="94">
        <v>11096000</v>
      </c>
      <c r="E510" s="95">
        <v>42670</v>
      </c>
      <c r="F510" s="96" t="s">
        <v>1678</v>
      </c>
    </row>
    <row r="511" spans="1:6">
      <c r="A511" s="94">
        <v>11088000</v>
      </c>
      <c r="B511" s="94">
        <v>11064000</v>
      </c>
      <c r="C511" s="94">
        <v>11164000</v>
      </c>
      <c r="D511" s="94">
        <v>11088000</v>
      </c>
      <c r="E511" s="95">
        <v>42669</v>
      </c>
      <c r="F511" s="96" t="s">
        <v>1679</v>
      </c>
    </row>
    <row r="512" spans="1:6">
      <c r="A512" s="94">
        <v>11107000</v>
      </c>
      <c r="B512" s="94">
        <v>11035000</v>
      </c>
      <c r="C512" s="94">
        <v>11110000</v>
      </c>
      <c r="D512" s="94">
        <v>11107000</v>
      </c>
      <c r="E512" s="95">
        <v>42668</v>
      </c>
      <c r="F512" s="96" t="s">
        <v>1680</v>
      </c>
    </row>
    <row r="513" spans="1:6">
      <c r="A513" s="94">
        <v>11029000</v>
      </c>
      <c r="B513" s="94">
        <v>10966000</v>
      </c>
      <c r="C513" s="94">
        <v>11046000</v>
      </c>
      <c r="D513" s="94">
        <v>11029000</v>
      </c>
      <c r="E513" s="95">
        <v>42667</v>
      </c>
      <c r="F513" s="96" t="s">
        <v>1681</v>
      </c>
    </row>
    <row r="514" spans="1:6">
      <c r="A514" s="94">
        <v>10974000</v>
      </c>
      <c r="B514" s="94">
        <v>10948000</v>
      </c>
      <c r="C514" s="94">
        <v>10981000</v>
      </c>
      <c r="D514" s="94">
        <v>10974000</v>
      </c>
      <c r="E514" s="95">
        <v>42666</v>
      </c>
      <c r="F514" s="96" t="s">
        <v>1682</v>
      </c>
    </row>
    <row r="515" spans="1:6">
      <c r="A515" s="94">
        <v>10964000</v>
      </c>
      <c r="B515" s="94">
        <v>10936000</v>
      </c>
      <c r="C515" s="94">
        <v>10968000</v>
      </c>
      <c r="D515" s="94">
        <v>10964000</v>
      </c>
      <c r="E515" s="95">
        <v>42665</v>
      </c>
      <c r="F515" s="96" t="s">
        <v>1683</v>
      </c>
    </row>
    <row r="516" spans="1:6">
      <c r="A516" s="94">
        <v>10944000</v>
      </c>
      <c r="B516" s="94">
        <v>10928000</v>
      </c>
      <c r="C516" s="94">
        <v>10963000</v>
      </c>
      <c r="D516" s="94">
        <v>10944000</v>
      </c>
      <c r="E516" s="95">
        <v>42663</v>
      </c>
      <c r="F516" s="96" t="s">
        <v>1684</v>
      </c>
    </row>
    <row r="517" spans="1:6">
      <c r="A517" s="94">
        <v>10923000</v>
      </c>
      <c r="B517" s="94">
        <v>10919000</v>
      </c>
      <c r="C517" s="94">
        <v>10968000</v>
      </c>
      <c r="D517" s="94">
        <v>10923000</v>
      </c>
      <c r="E517" s="95">
        <v>42662</v>
      </c>
      <c r="F517" s="96" t="s">
        <v>1685</v>
      </c>
    </row>
    <row r="518" spans="1:6">
      <c r="A518" s="94">
        <v>10927000</v>
      </c>
      <c r="B518" s="94">
        <v>10880000</v>
      </c>
      <c r="C518" s="94">
        <v>10936000</v>
      </c>
      <c r="D518" s="94">
        <v>10927000</v>
      </c>
      <c r="E518" s="95">
        <v>42661</v>
      </c>
      <c r="F518" s="96" t="s">
        <v>1686</v>
      </c>
    </row>
    <row r="519" spans="1:6">
      <c r="A519" s="94">
        <v>10883000</v>
      </c>
      <c r="B519" s="94">
        <v>10839000</v>
      </c>
      <c r="C519" s="94">
        <v>10883000</v>
      </c>
      <c r="D519" s="94">
        <v>10883000</v>
      </c>
      <c r="E519" s="95">
        <v>42660</v>
      </c>
      <c r="F519" s="96" t="s">
        <v>1687</v>
      </c>
    </row>
    <row r="520" spans="1:6">
      <c r="A520" s="94">
        <v>10839000</v>
      </c>
      <c r="B520" s="94">
        <v>10825000</v>
      </c>
      <c r="C520" s="94">
        <v>10843000</v>
      </c>
      <c r="D520" s="94">
        <v>10839000</v>
      </c>
      <c r="E520" s="95">
        <v>42659</v>
      </c>
      <c r="F520" s="96" t="s">
        <v>1688</v>
      </c>
    </row>
    <row r="521" spans="1:6">
      <c r="A521" s="94">
        <v>10838000</v>
      </c>
      <c r="B521" s="94">
        <v>10812000</v>
      </c>
      <c r="C521" s="94">
        <v>10850000</v>
      </c>
      <c r="D521" s="94">
        <v>10838000</v>
      </c>
      <c r="E521" s="95">
        <v>42658</v>
      </c>
      <c r="F521" s="96" t="s">
        <v>1689</v>
      </c>
    </row>
    <row r="522" spans="1:6">
      <c r="A522" s="94">
        <v>10852000</v>
      </c>
      <c r="B522" s="94">
        <v>10836000</v>
      </c>
      <c r="C522" s="94">
        <v>10860000</v>
      </c>
      <c r="D522" s="94">
        <v>10852000</v>
      </c>
      <c r="E522" s="95">
        <v>42656</v>
      </c>
      <c r="F522" s="96" t="s">
        <v>1690</v>
      </c>
    </row>
    <row r="523" spans="1:6">
      <c r="A523" s="94">
        <v>10835000</v>
      </c>
      <c r="B523" s="94">
        <v>10830000</v>
      </c>
      <c r="C523" s="94">
        <v>10835000</v>
      </c>
      <c r="D523" s="94">
        <v>10835000</v>
      </c>
      <c r="E523" s="95">
        <v>42655</v>
      </c>
      <c r="F523" s="96" t="s">
        <v>1691</v>
      </c>
    </row>
    <row r="524" spans="1:6">
      <c r="A524" s="94">
        <v>10851000</v>
      </c>
      <c r="B524" s="94">
        <v>10851000</v>
      </c>
      <c r="C524" s="94">
        <v>10851000</v>
      </c>
      <c r="D524" s="94">
        <v>10851000</v>
      </c>
      <c r="E524" s="95">
        <v>42654</v>
      </c>
      <c r="F524" s="96" t="s">
        <v>1692</v>
      </c>
    </row>
    <row r="525" spans="1:6">
      <c r="A525" s="94">
        <v>10848000</v>
      </c>
      <c r="B525" s="94">
        <v>10845000</v>
      </c>
      <c r="C525" s="94">
        <v>10864000</v>
      </c>
      <c r="D525" s="94">
        <v>10848000</v>
      </c>
      <c r="E525" s="95">
        <v>42653</v>
      </c>
      <c r="F525" s="96" t="s">
        <v>1693</v>
      </c>
    </row>
    <row r="526" spans="1:6">
      <c r="A526" s="94">
        <v>10835000</v>
      </c>
      <c r="B526" s="94">
        <v>10822000</v>
      </c>
      <c r="C526" s="94">
        <v>10840000</v>
      </c>
      <c r="D526" s="94">
        <v>10835000</v>
      </c>
      <c r="E526" s="95">
        <v>42652</v>
      </c>
      <c r="F526" s="96" t="s">
        <v>1694</v>
      </c>
    </row>
    <row r="527" spans="1:6">
      <c r="A527" s="94">
        <v>10828000</v>
      </c>
      <c r="B527" s="94">
        <v>10825000</v>
      </c>
      <c r="C527" s="94">
        <v>10835000</v>
      </c>
      <c r="D527" s="94">
        <v>10828000</v>
      </c>
      <c r="E527" s="95">
        <v>42651</v>
      </c>
      <c r="F527" s="96" t="s">
        <v>1695</v>
      </c>
    </row>
    <row r="528" spans="1:6">
      <c r="A528" s="94">
        <v>10833000</v>
      </c>
      <c r="B528" s="94">
        <v>10821000</v>
      </c>
      <c r="C528" s="94">
        <v>10894000</v>
      </c>
      <c r="D528" s="94">
        <v>10833000</v>
      </c>
      <c r="E528" s="95">
        <v>42649</v>
      </c>
      <c r="F528" s="96" t="s">
        <v>1696</v>
      </c>
    </row>
    <row r="529" spans="1:6">
      <c r="A529" s="94">
        <v>10875000</v>
      </c>
      <c r="B529" s="94">
        <v>10837000</v>
      </c>
      <c r="C529" s="94">
        <v>10930000</v>
      </c>
      <c r="D529" s="94">
        <v>10875000</v>
      </c>
      <c r="E529" s="95">
        <v>42648</v>
      </c>
      <c r="F529" s="96" t="s">
        <v>1697</v>
      </c>
    </row>
    <row r="530" spans="1:6">
      <c r="A530" s="94">
        <v>10907000</v>
      </c>
      <c r="B530" s="94">
        <v>10889000</v>
      </c>
      <c r="C530" s="94">
        <v>11150000</v>
      </c>
      <c r="D530" s="94">
        <v>10907000</v>
      </c>
      <c r="E530" s="95">
        <v>42647</v>
      </c>
      <c r="F530" s="96" t="s">
        <v>1698</v>
      </c>
    </row>
    <row r="531" spans="1:6">
      <c r="A531" s="94">
        <v>11160000</v>
      </c>
      <c r="B531" s="94">
        <v>11155000</v>
      </c>
      <c r="C531" s="94">
        <v>11183000</v>
      </c>
      <c r="D531" s="94">
        <v>11160000</v>
      </c>
      <c r="E531" s="95">
        <v>42646</v>
      </c>
      <c r="F531" s="96" t="s">
        <v>1699</v>
      </c>
    </row>
    <row r="532" spans="1:6">
      <c r="A532" s="94">
        <v>11168000</v>
      </c>
      <c r="B532" s="94">
        <v>11147000</v>
      </c>
      <c r="C532" s="94">
        <v>11170000</v>
      </c>
      <c r="D532" s="94">
        <v>11168000</v>
      </c>
      <c r="E532" s="95">
        <v>42645</v>
      </c>
      <c r="F532" s="96" t="s">
        <v>1700</v>
      </c>
    </row>
    <row r="533" spans="1:6">
      <c r="A533" s="94">
        <v>11156000</v>
      </c>
      <c r="B533" s="94">
        <v>11137000</v>
      </c>
      <c r="C533" s="94">
        <v>11160000</v>
      </c>
      <c r="D533" s="94">
        <v>11156000</v>
      </c>
      <c r="E533" s="95">
        <v>42644</v>
      </c>
      <c r="F533" s="96" t="s">
        <v>1701</v>
      </c>
    </row>
    <row r="534" spans="1:6">
      <c r="A534" s="94">
        <v>11151000</v>
      </c>
      <c r="B534" s="94">
        <v>11136000</v>
      </c>
      <c r="C534" s="94">
        <v>11153000</v>
      </c>
      <c r="D534" s="94">
        <v>11151000</v>
      </c>
      <c r="E534" s="95">
        <v>42642</v>
      </c>
      <c r="F534" s="96" t="s">
        <v>1702</v>
      </c>
    </row>
    <row r="535" spans="1:6">
      <c r="A535" s="94">
        <v>11145000</v>
      </c>
      <c r="B535" s="94">
        <v>11135000</v>
      </c>
      <c r="C535" s="94">
        <v>11164000</v>
      </c>
      <c r="D535" s="94">
        <v>11145000</v>
      </c>
      <c r="E535" s="95">
        <v>42641</v>
      </c>
      <c r="F535" s="96" t="s">
        <v>1703</v>
      </c>
    </row>
    <row r="536" spans="1:6">
      <c r="A536" s="94">
        <v>11166000</v>
      </c>
      <c r="B536" s="94">
        <v>11157000</v>
      </c>
      <c r="C536" s="94">
        <v>11185000</v>
      </c>
      <c r="D536" s="94">
        <v>11166000</v>
      </c>
      <c r="E536" s="95">
        <v>42640</v>
      </c>
      <c r="F536" s="96" t="s">
        <v>1704</v>
      </c>
    </row>
    <row r="537" spans="1:6">
      <c r="A537" s="94">
        <v>11187000</v>
      </c>
      <c r="B537" s="94">
        <v>11156000</v>
      </c>
      <c r="C537" s="94">
        <v>11193000</v>
      </c>
      <c r="D537" s="94">
        <v>11187000</v>
      </c>
      <c r="E537" s="95">
        <v>42639</v>
      </c>
      <c r="F537" s="96" t="s">
        <v>1705</v>
      </c>
    </row>
    <row r="538" spans="1:6">
      <c r="A538" s="94">
        <v>11192000</v>
      </c>
      <c r="B538" s="94">
        <v>11175000</v>
      </c>
      <c r="C538" s="94">
        <v>11200000</v>
      </c>
      <c r="D538" s="94">
        <v>11192000</v>
      </c>
      <c r="E538" s="95">
        <v>42638</v>
      </c>
      <c r="F538" s="96" t="s">
        <v>1706</v>
      </c>
    </row>
    <row r="539" spans="1:6">
      <c r="A539" s="94">
        <v>11177000</v>
      </c>
      <c r="B539" s="94">
        <v>11174000</v>
      </c>
      <c r="C539" s="94">
        <v>11216000</v>
      </c>
      <c r="D539" s="94">
        <v>11177000</v>
      </c>
      <c r="E539" s="95">
        <v>42637</v>
      </c>
      <c r="F539" s="96" t="s">
        <v>1707</v>
      </c>
    </row>
    <row r="540" spans="1:6">
      <c r="A540" s="94">
        <v>11177000</v>
      </c>
      <c r="B540" s="94">
        <v>11142000</v>
      </c>
      <c r="C540" s="94">
        <v>11183000</v>
      </c>
      <c r="D540" s="94">
        <v>11177000</v>
      </c>
      <c r="E540" s="95">
        <v>42634</v>
      </c>
      <c r="F540" s="96" t="s">
        <v>1708</v>
      </c>
    </row>
    <row r="541" spans="1:6">
      <c r="A541" s="94">
        <v>11202000</v>
      </c>
      <c r="B541" s="94">
        <v>11196000</v>
      </c>
      <c r="C541" s="94">
        <v>11230000</v>
      </c>
      <c r="D541" s="94">
        <v>11202000</v>
      </c>
      <c r="E541" s="95">
        <v>42635</v>
      </c>
      <c r="F541" s="96" t="s">
        <v>1709</v>
      </c>
    </row>
    <row r="542" spans="1:6">
      <c r="A542" s="94">
        <v>11136000</v>
      </c>
      <c r="B542" s="94">
        <v>11112000</v>
      </c>
      <c r="C542" s="94">
        <v>11143000</v>
      </c>
      <c r="D542" s="94">
        <v>11136000</v>
      </c>
      <c r="E542" s="95">
        <v>42633</v>
      </c>
      <c r="F542" s="96" t="s">
        <v>1710</v>
      </c>
    </row>
    <row r="543" spans="1:6">
      <c r="A543" s="94">
        <v>11130000</v>
      </c>
      <c r="B543" s="94">
        <v>11126000</v>
      </c>
      <c r="C543" s="94">
        <v>11166000</v>
      </c>
      <c r="D543" s="94">
        <v>11130000</v>
      </c>
      <c r="E543" s="95">
        <v>42632</v>
      </c>
      <c r="F543" s="96" t="s">
        <v>1711</v>
      </c>
    </row>
    <row r="544" spans="1:6">
      <c r="A544" s="94">
        <v>11136000</v>
      </c>
      <c r="B544" s="94">
        <v>11121000</v>
      </c>
      <c r="C544" s="94">
        <v>11138000</v>
      </c>
      <c r="D544" s="94">
        <v>11136000</v>
      </c>
      <c r="E544" s="95">
        <v>42631</v>
      </c>
      <c r="F544" s="96" t="s">
        <v>1712</v>
      </c>
    </row>
    <row r="545" spans="1:6">
      <c r="A545" s="94">
        <v>11126000</v>
      </c>
      <c r="B545" s="94">
        <v>11112000</v>
      </c>
      <c r="C545" s="94">
        <v>11130000</v>
      </c>
      <c r="D545" s="94">
        <v>11126000</v>
      </c>
      <c r="E545" s="95">
        <v>42630</v>
      </c>
      <c r="F545" s="96" t="s">
        <v>1713</v>
      </c>
    </row>
    <row r="546" spans="1:6">
      <c r="A546" s="94">
        <v>11155000</v>
      </c>
      <c r="B546" s="94">
        <v>11132000</v>
      </c>
      <c r="C546" s="94">
        <v>11190000</v>
      </c>
      <c r="D546" s="94">
        <v>11155000</v>
      </c>
      <c r="E546" s="95">
        <v>42628</v>
      </c>
      <c r="F546" s="96" t="s">
        <v>1714</v>
      </c>
    </row>
    <row r="547" spans="1:6">
      <c r="A547" s="94">
        <v>11155000</v>
      </c>
      <c r="B547" s="94">
        <v>11149000</v>
      </c>
      <c r="C547" s="94">
        <v>11172000</v>
      </c>
      <c r="D547" s="94">
        <v>11155000</v>
      </c>
      <c r="E547" s="95">
        <v>42627</v>
      </c>
      <c r="F547" s="96" t="s">
        <v>1715</v>
      </c>
    </row>
    <row r="548" spans="1:6">
      <c r="A548" s="94">
        <v>11161000</v>
      </c>
      <c r="B548" s="94">
        <v>11140000</v>
      </c>
      <c r="C548" s="94">
        <v>11171000</v>
      </c>
      <c r="D548" s="94">
        <v>11161000</v>
      </c>
      <c r="E548" s="95">
        <v>42626</v>
      </c>
      <c r="F548" s="96" t="s">
        <v>1716</v>
      </c>
    </row>
    <row r="549" spans="1:6">
      <c r="A549" s="94">
        <v>11155000</v>
      </c>
      <c r="B549" s="94">
        <v>11152000</v>
      </c>
      <c r="C549" s="94">
        <v>11189000</v>
      </c>
      <c r="D549" s="94">
        <v>11155000</v>
      </c>
      <c r="E549" s="95">
        <v>42625</v>
      </c>
      <c r="F549" s="96" t="s">
        <v>1717</v>
      </c>
    </row>
    <row r="550" spans="1:6">
      <c r="A550" s="94">
        <v>11170000</v>
      </c>
      <c r="B550" s="94">
        <v>11148000</v>
      </c>
      <c r="C550" s="94">
        <v>11171000</v>
      </c>
      <c r="D550" s="94">
        <v>11170000</v>
      </c>
      <c r="E550" s="95">
        <v>42624</v>
      </c>
      <c r="F550" s="96" t="s">
        <v>1718</v>
      </c>
    </row>
    <row r="551" spans="1:6">
      <c r="A551" s="94">
        <v>11148000</v>
      </c>
      <c r="B551" s="94">
        <v>11137000</v>
      </c>
      <c r="C551" s="94">
        <v>11178000</v>
      </c>
      <c r="D551" s="94">
        <v>11148000</v>
      </c>
      <c r="E551" s="95">
        <v>42623</v>
      </c>
      <c r="F551" s="96" t="s">
        <v>1719</v>
      </c>
    </row>
    <row r="552" spans="1:6">
      <c r="A552" s="94">
        <v>11219000</v>
      </c>
      <c r="B552" s="94">
        <v>11216000</v>
      </c>
      <c r="C552" s="94">
        <v>11262000</v>
      </c>
      <c r="D552" s="94">
        <v>11219000</v>
      </c>
      <c r="E552" s="95">
        <v>42621</v>
      </c>
      <c r="F552" s="96" t="s">
        <v>1720</v>
      </c>
    </row>
    <row r="553" spans="1:6">
      <c r="A553" s="94">
        <v>11216000</v>
      </c>
      <c r="B553" s="94">
        <v>11209000</v>
      </c>
      <c r="C553" s="94">
        <v>11275000</v>
      </c>
      <c r="D553" s="94">
        <v>11216000</v>
      </c>
      <c r="E553" s="95">
        <v>42620</v>
      </c>
      <c r="F553" s="96" t="s">
        <v>1721</v>
      </c>
    </row>
    <row r="554" spans="1:6">
      <c r="A554" s="94">
        <v>11230000</v>
      </c>
      <c r="B554" s="94">
        <v>11157000</v>
      </c>
      <c r="C554" s="94">
        <v>11231000</v>
      </c>
      <c r="D554" s="94">
        <v>11230000</v>
      </c>
      <c r="E554" s="95">
        <v>42619</v>
      </c>
      <c r="F554" s="96" t="s">
        <v>1722</v>
      </c>
    </row>
    <row r="555" spans="1:6">
      <c r="A555" s="94">
        <v>11164000</v>
      </c>
      <c r="B555" s="94">
        <v>11144000</v>
      </c>
      <c r="C555" s="94">
        <v>11207000</v>
      </c>
      <c r="D555" s="94">
        <v>11164000</v>
      </c>
      <c r="E555" s="95">
        <v>42618</v>
      </c>
      <c r="F555" s="96" t="s">
        <v>1723</v>
      </c>
    </row>
    <row r="556" spans="1:6">
      <c r="A556" s="94">
        <v>11197000</v>
      </c>
      <c r="B556" s="94">
        <v>11192000</v>
      </c>
      <c r="C556" s="94">
        <v>11210000</v>
      </c>
      <c r="D556" s="94">
        <v>11197000</v>
      </c>
      <c r="E556" s="95">
        <v>42617</v>
      </c>
      <c r="F556" s="96" t="s">
        <v>1724</v>
      </c>
    </row>
    <row r="557" spans="1:6">
      <c r="A557" s="94">
        <v>11198000</v>
      </c>
      <c r="B557" s="94">
        <v>11169000</v>
      </c>
      <c r="C557" s="94">
        <v>11214000</v>
      </c>
      <c r="D557" s="94">
        <v>11198000</v>
      </c>
      <c r="E557" s="95">
        <v>42616</v>
      </c>
      <c r="F557" s="96" t="s">
        <v>1725</v>
      </c>
    </row>
    <row r="558" spans="1:6">
      <c r="A558" s="94">
        <v>11115000</v>
      </c>
      <c r="B558" s="94">
        <v>11085000</v>
      </c>
      <c r="C558" s="94">
        <v>11122000</v>
      </c>
      <c r="D558" s="94">
        <v>11115000</v>
      </c>
      <c r="E558" s="95">
        <v>42614</v>
      </c>
      <c r="F558" s="96" t="s">
        <v>1726</v>
      </c>
    </row>
    <row r="559" spans="1:6">
      <c r="A559" s="94">
        <v>11094000</v>
      </c>
      <c r="B559" s="94">
        <v>11087000</v>
      </c>
      <c r="C559" s="94">
        <v>11129000</v>
      </c>
      <c r="D559" s="94">
        <v>11094000</v>
      </c>
      <c r="E559" s="95">
        <v>42613</v>
      </c>
      <c r="F559" s="96" t="s">
        <v>1727</v>
      </c>
    </row>
    <row r="560" spans="1:6">
      <c r="A560" s="94">
        <v>11127000</v>
      </c>
      <c r="B560" s="94">
        <v>11127000</v>
      </c>
      <c r="C560" s="94">
        <v>11156000</v>
      </c>
      <c r="D560" s="94">
        <v>11127000</v>
      </c>
      <c r="E560" s="95">
        <v>42612</v>
      </c>
      <c r="F560" s="96" t="s">
        <v>1728</v>
      </c>
    </row>
    <row r="561" spans="1:6">
      <c r="A561" s="94">
        <v>11150000</v>
      </c>
      <c r="B561" s="94">
        <v>11102000</v>
      </c>
      <c r="C561" s="94">
        <v>11160000</v>
      </c>
      <c r="D561" s="94">
        <v>11150000</v>
      </c>
      <c r="E561" s="95">
        <v>42611</v>
      </c>
      <c r="F561" s="96" t="s">
        <v>1729</v>
      </c>
    </row>
    <row r="562" spans="1:6">
      <c r="A562" s="94">
        <v>11114000</v>
      </c>
      <c r="B562" s="94">
        <v>11107000</v>
      </c>
      <c r="C562" s="94">
        <v>11123000</v>
      </c>
      <c r="D562" s="94">
        <v>11114000</v>
      </c>
      <c r="E562" s="95">
        <v>42610</v>
      </c>
      <c r="F562" s="96" t="s">
        <v>1730</v>
      </c>
    </row>
    <row r="563" spans="1:6">
      <c r="A563" s="94">
        <v>11115000</v>
      </c>
      <c r="B563" s="94">
        <v>11095000</v>
      </c>
      <c r="C563" s="94">
        <v>11119000</v>
      </c>
      <c r="D563" s="94">
        <v>11115000</v>
      </c>
      <c r="E563" s="95">
        <v>42609</v>
      </c>
      <c r="F563" s="96" t="s">
        <v>1731</v>
      </c>
    </row>
    <row r="564" spans="1:6">
      <c r="A564" s="94">
        <v>11090000</v>
      </c>
      <c r="B564" s="94">
        <v>11081000</v>
      </c>
      <c r="C564" s="94">
        <v>11112000</v>
      </c>
      <c r="D564" s="94">
        <v>11090000</v>
      </c>
      <c r="E564" s="95">
        <v>42607</v>
      </c>
      <c r="F564" s="96" t="s">
        <v>1732</v>
      </c>
    </row>
    <row r="565" spans="1:6">
      <c r="A565" s="94">
        <v>11097000</v>
      </c>
      <c r="B565" s="94">
        <v>11082000</v>
      </c>
      <c r="C565" s="94">
        <v>11165000</v>
      </c>
      <c r="D565" s="94">
        <v>11097000</v>
      </c>
      <c r="E565" s="95">
        <v>42606</v>
      </c>
      <c r="F565" s="96" t="s">
        <v>1733</v>
      </c>
    </row>
    <row r="566" spans="1:6">
      <c r="A566" s="94">
        <v>11163000</v>
      </c>
      <c r="B566" s="94">
        <v>11127000</v>
      </c>
      <c r="C566" s="94">
        <v>11174000</v>
      </c>
      <c r="D566" s="94">
        <v>11163000</v>
      </c>
      <c r="E566" s="95">
        <v>42605</v>
      </c>
      <c r="F566" s="96" t="s">
        <v>1734</v>
      </c>
    </row>
    <row r="567" spans="1:6">
      <c r="A567" s="94">
        <v>11134000</v>
      </c>
      <c r="B567" s="94">
        <v>11107000</v>
      </c>
      <c r="C567" s="94">
        <v>11137000</v>
      </c>
      <c r="D567" s="94">
        <v>11134000</v>
      </c>
      <c r="E567" s="95">
        <v>42604</v>
      </c>
      <c r="F567" s="96" t="s">
        <v>1735</v>
      </c>
    </row>
    <row r="568" spans="1:6">
      <c r="A568" s="94">
        <v>11147000</v>
      </c>
      <c r="B568" s="94">
        <v>11113800</v>
      </c>
      <c r="C568" s="94">
        <v>11154000</v>
      </c>
      <c r="D568" s="94">
        <v>11147000</v>
      </c>
      <c r="E568" s="95">
        <v>42603</v>
      </c>
      <c r="F568" s="96" t="s">
        <v>1736</v>
      </c>
    </row>
    <row r="569" spans="1:6">
      <c r="A569" s="94">
        <v>11140000</v>
      </c>
      <c r="B569" s="94">
        <v>11127000</v>
      </c>
      <c r="C569" s="94">
        <v>11161000</v>
      </c>
      <c r="D569" s="94">
        <v>11140000</v>
      </c>
      <c r="E569" s="95">
        <v>42602</v>
      </c>
      <c r="F569" s="96" t="s">
        <v>1737</v>
      </c>
    </row>
    <row r="570" spans="1:6">
      <c r="A570" s="94">
        <v>11205000</v>
      </c>
      <c r="B570" s="94">
        <v>11196000</v>
      </c>
      <c r="C570" s="94">
        <v>11242000</v>
      </c>
      <c r="D570" s="94">
        <v>11205000</v>
      </c>
      <c r="E570" s="95">
        <v>42600</v>
      </c>
      <c r="F570" s="96" t="s">
        <v>1738</v>
      </c>
    </row>
    <row r="571" spans="1:6">
      <c r="A571" s="94">
        <v>11184000</v>
      </c>
      <c r="B571" s="94">
        <v>11171000</v>
      </c>
      <c r="C571" s="94">
        <v>11210000</v>
      </c>
      <c r="D571" s="94">
        <v>11184000</v>
      </c>
      <c r="E571" s="95">
        <v>42599</v>
      </c>
      <c r="F571" s="96" t="s">
        <v>1739</v>
      </c>
    </row>
    <row r="572" spans="1:6">
      <c r="A572" s="94">
        <v>11188000</v>
      </c>
      <c r="B572" s="94">
        <v>11167000</v>
      </c>
      <c r="C572" s="94">
        <v>11230000</v>
      </c>
      <c r="D572" s="94">
        <v>11188000</v>
      </c>
      <c r="E572" s="95">
        <v>42598</v>
      </c>
      <c r="F572" s="96" t="s">
        <v>1740</v>
      </c>
    </row>
    <row r="573" spans="1:6">
      <c r="A573" s="94">
        <v>11126000</v>
      </c>
      <c r="B573" s="94">
        <v>11090000</v>
      </c>
      <c r="C573" s="94">
        <v>11135000</v>
      </c>
      <c r="D573" s="94">
        <v>11126000</v>
      </c>
      <c r="E573" s="95">
        <v>42597</v>
      </c>
      <c r="F573" s="96" t="s">
        <v>1741</v>
      </c>
    </row>
    <row r="574" spans="1:6">
      <c r="A574" s="94">
        <v>11086000</v>
      </c>
      <c r="B574" s="94">
        <v>11083000</v>
      </c>
      <c r="C574" s="94">
        <v>11104000</v>
      </c>
      <c r="D574" s="94">
        <v>11086000</v>
      </c>
      <c r="E574" s="95">
        <v>42596</v>
      </c>
      <c r="F574" s="96" t="s">
        <v>1742</v>
      </c>
    </row>
    <row r="575" spans="1:6">
      <c r="A575" s="94">
        <v>11089000</v>
      </c>
      <c r="B575" s="94">
        <v>11086000</v>
      </c>
      <c r="C575" s="94">
        <v>11134000</v>
      </c>
      <c r="D575" s="94">
        <v>11089000</v>
      </c>
      <c r="E575" s="95">
        <v>42595</v>
      </c>
      <c r="F575" s="96" t="s">
        <v>1743</v>
      </c>
    </row>
    <row r="576" spans="1:6">
      <c r="A576" s="94">
        <v>11195000</v>
      </c>
      <c r="B576" s="94">
        <v>11185000</v>
      </c>
      <c r="C576" s="94">
        <v>11210000</v>
      </c>
      <c r="D576" s="94">
        <v>11195000</v>
      </c>
      <c r="E576" s="95">
        <v>42593</v>
      </c>
      <c r="F576" s="96" t="s">
        <v>1744</v>
      </c>
    </row>
    <row r="577" spans="1:6">
      <c r="A577" s="94">
        <v>11210000</v>
      </c>
      <c r="B577" s="94">
        <v>11207000</v>
      </c>
      <c r="C577" s="94">
        <v>11263000</v>
      </c>
      <c r="D577" s="94">
        <v>11210000</v>
      </c>
      <c r="E577" s="95">
        <v>42592</v>
      </c>
      <c r="F577" s="96" t="s">
        <v>1745</v>
      </c>
    </row>
    <row r="578" spans="1:6">
      <c r="A578" s="94">
        <v>11141000</v>
      </c>
      <c r="B578" s="94">
        <v>11056000</v>
      </c>
      <c r="C578" s="94">
        <v>11143000</v>
      </c>
      <c r="D578" s="94">
        <v>11141000</v>
      </c>
      <c r="E578" s="95">
        <v>42591</v>
      </c>
      <c r="F578" s="96" t="s">
        <v>1746</v>
      </c>
    </row>
    <row r="579" spans="1:6">
      <c r="A579" s="94">
        <v>11071000</v>
      </c>
      <c r="B579" s="94">
        <v>11053000</v>
      </c>
      <c r="C579" s="94">
        <v>11080000</v>
      </c>
      <c r="D579" s="94">
        <v>11071000</v>
      </c>
      <c r="E579" s="95">
        <v>42590</v>
      </c>
      <c r="F579" s="96" t="s">
        <v>1747</v>
      </c>
    </row>
    <row r="580" spans="1:6">
      <c r="A580" s="94">
        <v>11060000</v>
      </c>
      <c r="B580" s="94">
        <v>11053000</v>
      </c>
      <c r="C580" s="94">
        <v>11074000</v>
      </c>
      <c r="D580" s="94">
        <v>11060000</v>
      </c>
      <c r="E580" s="95">
        <v>42589</v>
      </c>
      <c r="F580" s="96" t="s">
        <v>1748</v>
      </c>
    </row>
    <row r="581" spans="1:6">
      <c r="A581" s="94">
        <v>11047000</v>
      </c>
      <c r="B581" s="94">
        <v>11030000</v>
      </c>
      <c r="C581" s="94">
        <v>11055000</v>
      </c>
      <c r="D581" s="94">
        <v>11047000</v>
      </c>
      <c r="E581" s="95">
        <v>42588</v>
      </c>
      <c r="F581" s="96" t="s">
        <v>1749</v>
      </c>
    </row>
    <row r="582" spans="1:6">
      <c r="A582" s="94">
        <v>11205000</v>
      </c>
      <c r="B582" s="94">
        <v>11140000</v>
      </c>
      <c r="C582" s="94">
        <v>11223000</v>
      </c>
      <c r="D582" s="94">
        <v>11205000</v>
      </c>
      <c r="E582" s="95">
        <v>42586</v>
      </c>
      <c r="F582" s="96" t="s">
        <v>1750</v>
      </c>
    </row>
    <row r="583" spans="1:6">
      <c r="A583" s="94">
        <v>11198000</v>
      </c>
      <c r="B583" s="94">
        <v>11189000</v>
      </c>
      <c r="C583" s="94">
        <v>11292000</v>
      </c>
      <c r="D583" s="94">
        <v>11198000</v>
      </c>
      <c r="E583" s="95">
        <v>42585</v>
      </c>
      <c r="F583" s="96" t="s">
        <v>1751</v>
      </c>
    </row>
    <row r="584" spans="1:6">
      <c r="A584" s="94">
        <v>11287000</v>
      </c>
      <c r="B584" s="94">
        <v>11174000</v>
      </c>
      <c r="C584" s="94">
        <v>11297000</v>
      </c>
      <c r="D584" s="94">
        <v>11287000</v>
      </c>
      <c r="E584" s="95">
        <v>42584</v>
      </c>
      <c r="F584" s="96" t="s">
        <v>1752</v>
      </c>
    </row>
    <row r="585" spans="1:6">
      <c r="A585" s="94">
        <v>11174000</v>
      </c>
      <c r="B585" s="94">
        <v>11130000</v>
      </c>
      <c r="C585" s="94">
        <v>11181000</v>
      </c>
      <c r="D585" s="94">
        <v>11174000</v>
      </c>
      <c r="E585" s="95">
        <v>42583</v>
      </c>
      <c r="F585" s="96" t="s">
        <v>1753</v>
      </c>
    </row>
    <row r="586" spans="1:6">
      <c r="A586" s="94">
        <v>11157000</v>
      </c>
      <c r="B586" s="94">
        <v>11137000</v>
      </c>
      <c r="C586" s="94">
        <v>11168000</v>
      </c>
      <c r="D586" s="94">
        <v>11157000</v>
      </c>
      <c r="E586" s="95">
        <v>42582</v>
      </c>
      <c r="F586" s="96" t="s">
        <v>1754</v>
      </c>
    </row>
    <row r="587" spans="1:6">
      <c r="A587" s="94">
        <v>11162000</v>
      </c>
      <c r="B587" s="94">
        <v>11145000</v>
      </c>
      <c r="C587" s="94">
        <v>11165000</v>
      </c>
      <c r="D587" s="94">
        <v>11162000</v>
      </c>
      <c r="E587" s="95">
        <v>42581</v>
      </c>
      <c r="F587" s="96" t="s">
        <v>1755</v>
      </c>
    </row>
    <row r="588" spans="1:6">
      <c r="A588" s="94">
        <v>11062000</v>
      </c>
      <c r="B588" s="94">
        <v>11055000</v>
      </c>
      <c r="C588" s="94">
        <v>11129000</v>
      </c>
      <c r="D588" s="94">
        <v>11062000</v>
      </c>
      <c r="E588" s="95">
        <v>42579</v>
      </c>
      <c r="F588" s="96" t="s">
        <v>1756</v>
      </c>
    </row>
    <row r="589" spans="1:6">
      <c r="A589" s="94">
        <v>10979000</v>
      </c>
      <c r="B589" s="94">
        <v>10897000</v>
      </c>
      <c r="C589" s="94">
        <v>10982000</v>
      </c>
      <c r="D589" s="94">
        <v>10979000</v>
      </c>
      <c r="E589" s="95">
        <v>42578</v>
      </c>
      <c r="F589" s="96" t="s">
        <v>1757</v>
      </c>
    </row>
    <row r="590" spans="1:6">
      <c r="A590" s="94">
        <v>10922000</v>
      </c>
      <c r="B590" s="94">
        <v>10854000</v>
      </c>
      <c r="C590" s="94">
        <v>10936000</v>
      </c>
      <c r="D590" s="94">
        <v>10922000</v>
      </c>
      <c r="E590" s="95">
        <v>42577</v>
      </c>
      <c r="F590" s="96" t="s">
        <v>1758</v>
      </c>
    </row>
    <row r="591" spans="1:6">
      <c r="A591" s="94">
        <v>10875000</v>
      </c>
      <c r="B591" s="94">
        <v>10835000</v>
      </c>
      <c r="C591" s="94">
        <v>10875000</v>
      </c>
      <c r="D591" s="94">
        <v>10875000</v>
      </c>
      <c r="E591" s="95">
        <v>42576</v>
      </c>
      <c r="F591" s="96" t="s">
        <v>1759</v>
      </c>
    </row>
    <row r="592" spans="1:6">
      <c r="A592" s="94">
        <v>10857000</v>
      </c>
      <c r="B592" s="94">
        <v>10790000</v>
      </c>
      <c r="C592" s="94">
        <v>10890000</v>
      </c>
      <c r="D592" s="94">
        <v>10857000</v>
      </c>
      <c r="E592" s="95">
        <v>42575</v>
      </c>
      <c r="F592" s="96" t="s">
        <v>1760</v>
      </c>
    </row>
    <row r="593" spans="1:6">
      <c r="A593" s="94">
        <v>10872000</v>
      </c>
      <c r="B593" s="94">
        <v>10832000</v>
      </c>
      <c r="C593" s="94">
        <v>10882000</v>
      </c>
      <c r="D593" s="94">
        <v>10872000</v>
      </c>
      <c r="E593" s="95">
        <v>42574</v>
      </c>
      <c r="F593" s="96" t="s">
        <v>1761</v>
      </c>
    </row>
    <row r="594" spans="1:6">
      <c r="A594" s="94">
        <v>10896000</v>
      </c>
      <c r="B594" s="94">
        <v>10814000</v>
      </c>
      <c r="C594" s="94">
        <v>10896000</v>
      </c>
      <c r="D594" s="94">
        <v>10896000</v>
      </c>
      <c r="E594" s="95">
        <v>42572</v>
      </c>
      <c r="F594" s="96" t="s">
        <v>1762</v>
      </c>
    </row>
    <row r="595" spans="1:6">
      <c r="A595" s="94">
        <v>10822000</v>
      </c>
      <c r="B595" s="94">
        <v>10821000</v>
      </c>
      <c r="C595" s="94">
        <v>10877000</v>
      </c>
      <c r="D595" s="94">
        <v>10822000</v>
      </c>
      <c r="E595" s="95">
        <v>42571</v>
      </c>
      <c r="F595" s="96" t="s">
        <v>1763</v>
      </c>
    </row>
    <row r="596" spans="1:6">
      <c r="A596" s="94">
        <v>10875000</v>
      </c>
      <c r="B596" s="94">
        <v>10849000</v>
      </c>
      <c r="C596" s="94">
        <v>10892000</v>
      </c>
      <c r="D596" s="94">
        <v>10875000</v>
      </c>
      <c r="E596" s="95">
        <v>42570</v>
      </c>
      <c r="F596" s="96" t="s">
        <v>1764</v>
      </c>
    </row>
    <row r="597" spans="1:6">
      <c r="A597" s="94">
        <v>10844500</v>
      </c>
      <c r="B597" s="94">
        <v>10818000</v>
      </c>
      <c r="C597" s="94">
        <v>10885000</v>
      </c>
      <c r="D597" s="94">
        <v>10844500</v>
      </c>
      <c r="E597" s="95">
        <v>42569</v>
      </c>
      <c r="F597" s="96" t="s">
        <v>1765</v>
      </c>
    </row>
    <row r="598" spans="1:6">
      <c r="A598" s="94">
        <v>10894000</v>
      </c>
      <c r="B598" s="94">
        <v>10890000</v>
      </c>
      <c r="C598" s="94">
        <v>10917000</v>
      </c>
      <c r="D598" s="94">
        <v>10894000</v>
      </c>
      <c r="E598" s="95">
        <v>42568</v>
      </c>
      <c r="F598" s="96" t="s">
        <v>1766</v>
      </c>
    </row>
    <row r="599" spans="1:6">
      <c r="A599" s="94">
        <v>10914000</v>
      </c>
      <c r="B599" s="94">
        <v>10914000</v>
      </c>
      <c r="C599" s="94">
        <v>10980000</v>
      </c>
      <c r="D599" s="94">
        <v>10914000</v>
      </c>
      <c r="E599" s="95">
        <v>42567</v>
      </c>
      <c r="F599" s="96" t="s">
        <v>1767</v>
      </c>
    </row>
    <row r="600" spans="1:6">
      <c r="A600" s="94">
        <v>10940000</v>
      </c>
      <c r="B600" s="94">
        <v>10905000</v>
      </c>
      <c r="C600" s="94">
        <v>11029000</v>
      </c>
      <c r="D600" s="94">
        <v>10940000</v>
      </c>
      <c r="E600" s="95">
        <v>42565</v>
      </c>
      <c r="F600" s="96" t="s">
        <v>1768</v>
      </c>
    </row>
    <row r="601" spans="1:6">
      <c r="A601" s="94">
        <v>11023000</v>
      </c>
      <c r="B601" s="94">
        <v>10974000</v>
      </c>
      <c r="C601" s="94">
        <v>11045000</v>
      </c>
      <c r="D601" s="94">
        <v>11023000</v>
      </c>
      <c r="E601" s="95">
        <v>42564</v>
      </c>
      <c r="F601" s="96" t="s">
        <v>1769</v>
      </c>
    </row>
    <row r="602" spans="1:6">
      <c r="A602" s="94">
        <v>11070000</v>
      </c>
      <c r="B602" s="94">
        <v>11058500</v>
      </c>
      <c r="C602" s="94">
        <v>11184000</v>
      </c>
      <c r="D602" s="94">
        <v>11070000</v>
      </c>
      <c r="E602" s="95">
        <v>42563</v>
      </c>
      <c r="F602" s="96" t="s">
        <v>1770</v>
      </c>
    </row>
    <row r="603" spans="1:6">
      <c r="A603" s="94">
        <v>11164000</v>
      </c>
      <c r="B603" s="94">
        <v>11139000</v>
      </c>
      <c r="C603" s="94">
        <v>11182000</v>
      </c>
      <c r="D603" s="94">
        <v>11164000</v>
      </c>
      <c r="E603" s="95">
        <v>42562</v>
      </c>
      <c r="F603" s="96" t="s">
        <v>1771</v>
      </c>
    </row>
    <row r="604" spans="1:6">
      <c r="A604" s="94">
        <v>11187000</v>
      </c>
      <c r="B604" s="94">
        <v>11168000</v>
      </c>
      <c r="C604" s="94">
        <v>11220000</v>
      </c>
      <c r="D604" s="94">
        <v>11187000</v>
      </c>
      <c r="E604" s="95">
        <v>42561</v>
      </c>
      <c r="F604" s="96" t="s">
        <v>1772</v>
      </c>
    </row>
    <row r="605" spans="1:6">
      <c r="A605" s="94">
        <v>11203000</v>
      </c>
      <c r="B605" s="94">
        <v>11130000</v>
      </c>
      <c r="C605" s="94">
        <v>11217000</v>
      </c>
      <c r="D605" s="94">
        <v>11203000</v>
      </c>
      <c r="E605" s="95">
        <v>42560</v>
      </c>
      <c r="F605" s="96" t="s">
        <v>1773</v>
      </c>
    </row>
    <row r="606" spans="1:6">
      <c r="A606" s="94">
        <v>11008000</v>
      </c>
      <c r="B606" s="94">
        <v>10947000</v>
      </c>
      <c r="C606" s="94">
        <v>11023000</v>
      </c>
      <c r="D606" s="94">
        <v>11008000</v>
      </c>
      <c r="E606" s="95">
        <v>42556</v>
      </c>
      <c r="F606" s="96" t="s">
        <v>1774</v>
      </c>
    </row>
    <row r="607" spans="1:6">
      <c r="A607" s="94">
        <v>11002000</v>
      </c>
      <c r="B607" s="94">
        <v>10952000</v>
      </c>
      <c r="C607" s="94">
        <v>11026000</v>
      </c>
      <c r="D607" s="94">
        <v>11002000</v>
      </c>
      <c r="E607" s="95">
        <v>42555</v>
      </c>
      <c r="F607" s="96" t="s">
        <v>1775</v>
      </c>
    </row>
    <row r="608" spans="1:6">
      <c r="A608" s="94">
        <v>10974000</v>
      </c>
      <c r="B608" s="94">
        <v>10969000</v>
      </c>
      <c r="C608" s="94">
        <v>11002000</v>
      </c>
      <c r="D608" s="94">
        <v>10974000</v>
      </c>
      <c r="E608" s="95">
        <v>42554</v>
      </c>
      <c r="F608" s="96" t="s">
        <v>1776</v>
      </c>
    </row>
    <row r="609" spans="1:6">
      <c r="A609" s="94">
        <v>11026000</v>
      </c>
      <c r="B609" s="94">
        <v>10982000</v>
      </c>
      <c r="C609" s="94">
        <v>11065000</v>
      </c>
      <c r="D609" s="94">
        <v>11026000</v>
      </c>
      <c r="E609" s="95">
        <v>42553</v>
      </c>
      <c r="F609" s="96" t="s">
        <v>1777</v>
      </c>
    </row>
    <row r="610" spans="1:6">
      <c r="A610" s="94">
        <v>10813000</v>
      </c>
      <c r="B610" s="94">
        <v>10790000</v>
      </c>
      <c r="C610" s="94">
        <v>10868000</v>
      </c>
      <c r="D610" s="94">
        <v>10813000</v>
      </c>
      <c r="E610" s="95">
        <v>42551</v>
      </c>
      <c r="F610" s="96" t="s">
        <v>1778</v>
      </c>
    </row>
    <row r="611" spans="1:6">
      <c r="A611" s="94">
        <v>10885000</v>
      </c>
      <c r="B611" s="94">
        <v>10729000</v>
      </c>
      <c r="C611" s="94">
        <v>10885000</v>
      </c>
      <c r="D611" s="94">
        <v>10885000</v>
      </c>
      <c r="E611" s="95">
        <v>42550</v>
      </c>
      <c r="F611" s="96" t="s">
        <v>1779</v>
      </c>
    </row>
    <row r="612" spans="1:6">
      <c r="A612" s="94">
        <v>10730000</v>
      </c>
      <c r="B612" s="94">
        <v>10691000</v>
      </c>
      <c r="C612" s="94">
        <v>10799000</v>
      </c>
      <c r="D612" s="94">
        <v>10730000</v>
      </c>
      <c r="E612" s="95">
        <v>42549</v>
      </c>
      <c r="F612" s="96" t="s">
        <v>1780</v>
      </c>
    </row>
    <row r="613" spans="1:6">
      <c r="A613" s="94">
        <v>10757000</v>
      </c>
      <c r="B613" s="94">
        <v>10696000</v>
      </c>
      <c r="C613" s="94">
        <v>10846000</v>
      </c>
      <c r="D613" s="94">
        <v>10757000</v>
      </c>
      <c r="E613" s="95">
        <v>42548</v>
      </c>
      <c r="F613" s="96" t="s">
        <v>1781</v>
      </c>
    </row>
    <row r="614" spans="1:6">
      <c r="A614" s="94">
        <v>10691000</v>
      </c>
      <c r="B614" s="94">
        <v>10599000</v>
      </c>
      <c r="C614" s="94">
        <v>10701000</v>
      </c>
      <c r="D614" s="94">
        <v>10691000</v>
      </c>
      <c r="E614" s="95">
        <v>42547</v>
      </c>
      <c r="F614" s="96" t="s">
        <v>1782</v>
      </c>
    </row>
    <row r="615" spans="1:6">
      <c r="A615" s="94">
        <v>10621000</v>
      </c>
      <c r="B615" s="94">
        <v>10555000</v>
      </c>
      <c r="C615" s="94">
        <v>10627000</v>
      </c>
      <c r="D615" s="94">
        <v>10621000</v>
      </c>
      <c r="E615" s="95">
        <v>42546</v>
      </c>
      <c r="F615" s="96" t="s">
        <v>1783</v>
      </c>
    </row>
    <row r="616" spans="1:6">
      <c r="A616" s="94">
        <v>10254000</v>
      </c>
      <c r="B616" s="94">
        <v>10254000</v>
      </c>
      <c r="C616" s="94">
        <v>10300000</v>
      </c>
      <c r="D616" s="94">
        <v>10254000</v>
      </c>
      <c r="E616" s="95">
        <v>42544</v>
      </c>
      <c r="F616" s="96" t="s">
        <v>1784</v>
      </c>
    </row>
    <row r="617" spans="1:6">
      <c r="A617" s="94">
        <v>10278000</v>
      </c>
      <c r="B617" s="94">
        <v>10260000</v>
      </c>
      <c r="C617" s="94">
        <v>10283000</v>
      </c>
      <c r="D617" s="94">
        <v>10278000</v>
      </c>
      <c r="E617" s="95">
        <v>42543</v>
      </c>
      <c r="F617" s="96" t="s">
        <v>1785</v>
      </c>
    </row>
    <row r="618" spans="1:6">
      <c r="A618" s="94">
        <v>10287000</v>
      </c>
      <c r="B618" s="94">
        <v>10279000</v>
      </c>
      <c r="C618" s="94">
        <v>10355000</v>
      </c>
      <c r="D618" s="94">
        <v>10287000</v>
      </c>
      <c r="E618" s="95">
        <v>42542</v>
      </c>
      <c r="F618" s="96" t="s">
        <v>1786</v>
      </c>
    </row>
    <row r="619" spans="1:6">
      <c r="A619" s="94">
        <v>10340000</v>
      </c>
      <c r="B619" s="94">
        <v>10308000</v>
      </c>
      <c r="C619" s="94">
        <v>10354000</v>
      </c>
      <c r="D619" s="94">
        <v>10340000</v>
      </c>
      <c r="E619" s="95">
        <v>42541</v>
      </c>
      <c r="F619" s="96" t="s">
        <v>1787</v>
      </c>
    </row>
    <row r="620" spans="1:6">
      <c r="A620" s="94">
        <v>10421000</v>
      </c>
      <c r="B620" s="94">
        <v>10416000</v>
      </c>
      <c r="C620" s="94">
        <v>10432000</v>
      </c>
      <c r="D620" s="94">
        <v>10421000</v>
      </c>
      <c r="E620" s="95">
        <v>42540</v>
      </c>
      <c r="F620" s="96" t="s">
        <v>1788</v>
      </c>
    </row>
    <row r="621" spans="1:6">
      <c r="A621" s="94">
        <v>10422000</v>
      </c>
      <c r="B621" s="94">
        <v>10413000</v>
      </c>
      <c r="C621" s="94">
        <v>10433000</v>
      </c>
      <c r="D621" s="94">
        <v>10422000</v>
      </c>
      <c r="E621" s="95">
        <v>42539</v>
      </c>
      <c r="F621" s="96" t="s">
        <v>1789</v>
      </c>
    </row>
    <row r="622" spans="1:6">
      <c r="A622" s="94">
        <v>10493000</v>
      </c>
      <c r="B622" s="94">
        <v>10400000</v>
      </c>
      <c r="C622" s="94">
        <v>10523000</v>
      </c>
      <c r="D622" s="94">
        <v>10493000</v>
      </c>
      <c r="E622" s="95">
        <v>42537</v>
      </c>
      <c r="F622" s="96" t="s">
        <v>1790</v>
      </c>
    </row>
    <row r="623" spans="1:6">
      <c r="A623" s="94">
        <v>10314000</v>
      </c>
      <c r="B623" s="94">
        <v>10303000</v>
      </c>
      <c r="C623" s="94">
        <v>10334000</v>
      </c>
      <c r="D623" s="94">
        <v>10314000</v>
      </c>
      <c r="E623" s="95">
        <v>42536</v>
      </c>
      <c r="F623" s="96" t="s">
        <v>1791</v>
      </c>
    </row>
    <row r="624" spans="1:6">
      <c r="A624" s="94">
        <v>10317000</v>
      </c>
      <c r="B624" s="94">
        <v>10273000</v>
      </c>
      <c r="C624" s="94">
        <v>10340000</v>
      </c>
      <c r="D624" s="94">
        <v>10317000</v>
      </c>
      <c r="E624" s="95">
        <v>42535</v>
      </c>
      <c r="F624" s="96" t="s">
        <v>1792</v>
      </c>
    </row>
    <row r="625" spans="1:6">
      <c r="A625" s="94">
        <v>10306000</v>
      </c>
      <c r="B625" s="94">
        <v>10286000</v>
      </c>
      <c r="C625" s="94">
        <v>10335000</v>
      </c>
      <c r="D625" s="94">
        <v>10306000</v>
      </c>
      <c r="E625" s="95">
        <v>42534</v>
      </c>
      <c r="F625" s="96" t="s">
        <v>1793</v>
      </c>
    </row>
    <row r="626" spans="1:6">
      <c r="A626" s="94">
        <v>10288000</v>
      </c>
      <c r="B626" s="94">
        <v>10280000</v>
      </c>
      <c r="C626" s="94">
        <v>10302500</v>
      </c>
      <c r="D626" s="94">
        <v>10288000</v>
      </c>
      <c r="E626" s="95">
        <v>42533</v>
      </c>
      <c r="F626" s="96" t="s">
        <v>1794</v>
      </c>
    </row>
    <row r="627" spans="1:6">
      <c r="A627" s="94">
        <v>10295000</v>
      </c>
      <c r="B627" s="94">
        <v>10292500</v>
      </c>
      <c r="C627" s="94">
        <v>10329000</v>
      </c>
      <c r="D627" s="94">
        <v>10295000</v>
      </c>
      <c r="E627" s="95">
        <v>42532</v>
      </c>
      <c r="F627" s="96" t="s">
        <v>1795</v>
      </c>
    </row>
    <row r="628" spans="1:6">
      <c r="A628" s="94">
        <v>10267000</v>
      </c>
      <c r="B628" s="94">
        <v>10179000</v>
      </c>
      <c r="C628" s="94">
        <v>10267000</v>
      </c>
      <c r="D628" s="94">
        <v>10267000</v>
      </c>
      <c r="E628" s="95">
        <v>42530</v>
      </c>
      <c r="F628" s="96" t="s">
        <v>1796</v>
      </c>
    </row>
    <row r="629" spans="1:6">
      <c r="A629" s="94">
        <v>10168500</v>
      </c>
      <c r="B629" s="94">
        <v>10064000</v>
      </c>
      <c r="C629" s="94">
        <v>10168500</v>
      </c>
      <c r="D629" s="94">
        <v>10168500</v>
      </c>
      <c r="E629" s="95">
        <v>42529</v>
      </c>
      <c r="F629" s="96" t="s">
        <v>1797</v>
      </c>
    </row>
    <row r="630" spans="1:6">
      <c r="A630" s="94">
        <v>10040000</v>
      </c>
      <c r="B630" s="94">
        <v>10019000</v>
      </c>
      <c r="C630" s="94">
        <v>10080000</v>
      </c>
      <c r="D630" s="94">
        <v>10040000</v>
      </c>
      <c r="E630" s="95">
        <v>42528</v>
      </c>
      <c r="F630" s="96" t="s">
        <v>1798</v>
      </c>
    </row>
    <row r="631" spans="1:6">
      <c r="A631" s="94">
        <v>10080000</v>
      </c>
      <c r="B631" s="94">
        <v>10059500</v>
      </c>
      <c r="C631" s="94">
        <v>10122000</v>
      </c>
      <c r="D631" s="94">
        <v>10080000</v>
      </c>
      <c r="E631" s="95">
        <v>42527</v>
      </c>
      <c r="F631" s="96" t="s">
        <v>1799</v>
      </c>
    </row>
    <row r="632" spans="1:6">
      <c r="A632" s="94">
        <v>10126000</v>
      </c>
      <c r="B632" s="94">
        <v>10118000</v>
      </c>
      <c r="C632" s="94">
        <v>10150000</v>
      </c>
      <c r="D632" s="94">
        <v>10126000</v>
      </c>
      <c r="E632" s="95">
        <v>42526</v>
      </c>
      <c r="F632" s="96" t="s">
        <v>1800</v>
      </c>
    </row>
    <row r="633" spans="1:6">
      <c r="A633" s="94">
        <v>10025000</v>
      </c>
      <c r="B633" s="94">
        <v>9988000</v>
      </c>
      <c r="C633" s="94">
        <v>10025000</v>
      </c>
      <c r="D633" s="94">
        <v>10025000</v>
      </c>
      <c r="E633" s="95">
        <v>42523</v>
      </c>
      <c r="F633" s="96" t="s">
        <v>1801</v>
      </c>
    </row>
    <row r="634" spans="1:6">
      <c r="A634" s="94">
        <v>9986000</v>
      </c>
      <c r="B634" s="94">
        <v>9986000</v>
      </c>
      <c r="C634" s="94">
        <v>10035000</v>
      </c>
      <c r="D634" s="94">
        <v>9986000</v>
      </c>
      <c r="E634" s="95">
        <v>42522</v>
      </c>
      <c r="F634" s="96" t="s">
        <v>1802</v>
      </c>
    </row>
    <row r="635" spans="1:6">
      <c r="A635" s="94">
        <v>10014000</v>
      </c>
      <c r="B635" s="94">
        <v>9996000</v>
      </c>
      <c r="C635" s="94">
        <v>10032000</v>
      </c>
      <c r="D635" s="94">
        <v>10014000</v>
      </c>
      <c r="E635" s="95">
        <v>42521</v>
      </c>
      <c r="F635" s="96" t="s">
        <v>1803</v>
      </c>
    </row>
    <row r="636" spans="1:6">
      <c r="A636" s="94">
        <v>10002000</v>
      </c>
      <c r="B636" s="94">
        <v>9927000</v>
      </c>
      <c r="C636" s="94">
        <v>10024000</v>
      </c>
      <c r="D636" s="94">
        <v>10002000</v>
      </c>
      <c r="E636" s="95">
        <v>42520</v>
      </c>
      <c r="F636" s="96" t="s">
        <v>1804</v>
      </c>
    </row>
    <row r="637" spans="1:6">
      <c r="A637" s="94">
        <v>9975000</v>
      </c>
      <c r="B637" s="94">
        <v>9968500</v>
      </c>
      <c r="C637" s="94">
        <v>10025000</v>
      </c>
      <c r="D637" s="94">
        <v>9975000</v>
      </c>
      <c r="E637" s="95">
        <v>42519</v>
      </c>
      <c r="F637" s="96" t="s">
        <v>1805</v>
      </c>
    </row>
    <row r="638" spans="1:6">
      <c r="A638" s="94">
        <v>10000000</v>
      </c>
      <c r="B638" s="94">
        <v>9938000</v>
      </c>
      <c r="C638" s="94">
        <v>10017000</v>
      </c>
      <c r="D638" s="94">
        <v>10000000</v>
      </c>
      <c r="E638" s="95">
        <v>42518</v>
      </c>
      <c r="F638" s="96" t="s">
        <v>1806</v>
      </c>
    </row>
    <row r="639" spans="1:6">
      <c r="A639" s="94">
        <v>10020000</v>
      </c>
      <c r="B639" s="94">
        <v>10004000</v>
      </c>
      <c r="C639" s="94">
        <v>10082000</v>
      </c>
      <c r="D639" s="94">
        <v>10020000</v>
      </c>
      <c r="E639" s="95">
        <v>42516</v>
      </c>
      <c r="F639" s="96" t="s">
        <v>1807</v>
      </c>
    </row>
    <row r="640" spans="1:6">
      <c r="A640" s="94">
        <v>9988000</v>
      </c>
      <c r="B640" s="94">
        <v>9944000</v>
      </c>
      <c r="C640" s="94">
        <v>10026500</v>
      </c>
      <c r="D640" s="94">
        <v>9988000</v>
      </c>
      <c r="E640" s="95">
        <v>42515</v>
      </c>
      <c r="F640" s="96" t="s">
        <v>1808</v>
      </c>
    </row>
    <row r="641" spans="1:6">
      <c r="A641" s="94">
        <v>10062000</v>
      </c>
      <c r="B641" s="94">
        <v>10030000</v>
      </c>
      <c r="C641" s="94">
        <v>10106000</v>
      </c>
      <c r="D641" s="94">
        <v>10062000</v>
      </c>
      <c r="E641" s="95">
        <v>42514</v>
      </c>
      <c r="F641" s="96" t="s">
        <v>1809</v>
      </c>
    </row>
    <row r="642" spans="1:6">
      <c r="A642" s="94">
        <v>10097000</v>
      </c>
      <c r="B642" s="94">
        <v>10089000</v>
      </c>
      <c r="C642" s="94">
        <v>10126000</v>
      </c>
      <c r="D642" s="94">
        <v>10097000</v>
      </c>
      <c r="E642" s="95">
        <v>42513</v>
      </c>
      <c r="F642" s="96" t="s">
        <v>1810</v>
      </c>
    </row>
    <row r="643" spans="1:6">
      <c r="A643" s="94">
        <v>10112000</v>
      </c>
      <c r="B643" s="94">
        <v>10089000</v>
      </c>
      <c r="C643" s="94">
        <v>10182000</v>
      </c>
      <c r="D643" s="94">
        <v>10112000</v>
      </c>
      <c r="E643" s="95">
        <v>42509</v>
      </c>
      <c r="F643" s="96" t="s">
        <v>1811</v>
      </c>
    </row>
    <row r="644" spans="1:6">
      <c r="A644" s="94">
        <v>10094000</v>
      </c>
      <c r="B644" s="94">
        <v>10090000</v>
      </c>
      <c r="C644" s="94">
        <v>10100000</v>
      </c>
      <c r="D644" s="94">
        <v>10094000</v>
      </c>
      <c r="E644" s="95">
        <v>42512</v>
      </c>
      <c r="F644" s="96" t="s">
        <v>1812</v>
      </c>
    </row>
    <row r="645" spans="1:6">
      <c r="A645" s="94">
        <v>10246000</v>
      </c>
      <c r="B645" s="94">
        <v>10232000</v>
      </c>
      <c r="C645" s="94">
        <v>10254000</v>
      </c>
      <c r="D645" s="94">
        <v>10246000</v>
      </c>
      <c r="E645" s="95">
        <v>42508</v>
      </c>
      <c r="F645" s="96" t="s">
        <v>1813</v>
      </c>
    </row>
    <row r="646" spans="1:6">
      <c r="A646" s="94">
        <v>10098000</v>
      </c>
      <c r="B646" s="94">
        <v>10076000</v>
      </c>
      <c r="C646" s="94">
        <v>10098000</v>
      </c>
      <c r="D646" s="94">
        <v>10098000</v>
      </c>
      <c r="E646" s="95">
        <v>42511</v>
      </c>
      <c r="F646" s="96" t="s">
        <v>1814</v>
      </c>
    </row>
    <row r="647" spans="1:6">
      <c r="A647" s="94">
        <v>10243000</v>
      </c>
      <c r="B647" s="94">
        <v>10235000</v>
      </c>
      <c r="C647" s="94">
        <v>10274000</v>
      </c>
      <c r="D647" s="94">
        <v>10243000</v>
      </c>
      <c r="E647" s="95">
        <v>42507</v>
      </c>
      <c r="F647" s="96" t="s">
        <v>1815</v>
      </c>
    </row>
    <row r="648" spans="1:6">
      <c r="A648" s="94">
        <v>10270000</v>
      </c>
      <c r="B648" s="94">
        <v>10267000</v>
      </c>
      <c r="C648" s="94">
        <v>10322000</v>
      </c>
      <c r="D648" s="94">
        <v>10270000</v>
      </c>
      <c r="E648" s="95">
        <v>42506</v>
      </c>
      <c r="F648" s="96" t="s">
        <v>1816</v>
      </c>
    </row>
    <row r="649" spans="1:6">
      <c r="A649" s="94">
        <v>10281000</v>
      </c>
      <c r="B649" s="94">
        <v>10247000</v>
      </c>
      <c r="C649" s="94">
        <v>10287000</v>
      </c>
      <c r="D649" s="94">
        <v>10281000</v>
      </c>
      <c r="E649" s="95">
        <v>42505</v>
      </c>
      <c r="F649" s="96" t="s">
        <v>1817</v>
      </c>
    </row>
    <row r="650" spans="1:6">
      <c r="A650" s="94">
        <v>10243000</v>
      </c>
      <c r="B650" s="94">
        <v>10242000</v>
      </c>
      <c r="C650" s="94">
        <v>10291000</v>
      </c>
      <c r="D650" s="94">
        <v>10243000</v>
      </c>
      <c r="E650" s="95">
        <v>42504</v>
      </c>
      <c r="F650" s="96" t="s">
        <v>1818</v>
      </c>
    </row>
    <row r="651" spans="1:6">
      <c r="A651" s="94">
        <v>10301000</v>
      </c>
      <c r="B651" s="94">
        <v>10293000</v>
      </c>
      <c r="C651" s="94">
        <v>10335000</v>
      </c>
      <c r="D651" s="94">
        <v>10301000</v>
      </c>
      <c r="E651" s="95">
        <v>42502</v>
      </c>
      <c r="F651" s="96" t="s">
        <v>1819</v>
      </c>
    </row>
    <row r="652" spans="1:6">
      <c r="A652" s="94">
        <v>10336000</v>
      </c>
      <c r="B652" s="94">
        <v>10333000</v>
      </c>
      <c r="C652" s="94">
        <v>10368000</v>
      </c>
      <c r="D652" s="94">
        <v>10336000</v>
      </c>
      <c r="E652" s="95">
        <v>42501</v>
      </c>
      <c r="F652" s="96" t="s">
        <v>1820</v>
      </c>
    </row>
    <row r="653" spans="1:6">
      <c r="A653" s="94">
        <v>10313000</v>
      </c>
      <c r="B653" s="94">
        <v>10313000</v>
      </c>
      <c r="C653" s="94">
        <v>10345000</v>
      </c>
      <c r="D653" s="94">
        <v>10313000</v>
      </c>
      <c r="E653" s="95">
        <v>42500</v>
      </c>
      <c r="F653" s="96" t="s">
        <v>1821</v>
      </c>
    </row>
    <row r="654" spans="1:6">
      <c r="A654" s="94">
        <v>10318000</v>
      </c>
      <c r="B654" s="94">
        <v>10316000</v>
      </c>
      <c r="C654" s="94">
        <v>10389000</v>
      </c>
      <c r="D654" s="94">
        <v>10318000</v>
      </c>
      <c r="E654" s="95">
        <v>42499</v>
      </c>
      <c r="F654" s="96" t="s">
        <v>1822</v>
      </c>
    </row>
    <row r="655" spans="1:6">
      <c r="A655" s="94">
        <v>10388000</v>
      </c>
      <c r="B655" s="94">
        <v>10387000</v>
      </c>
      <c r="C655" s="94">
        <v>10400000</v>
      </c>
      <c r="D655" s="94">
        <v>10388000</v>
      </c>
      <c r="E655" s="95">
        <v>42498</v>
      </c>
      <c r="F655" s="96" t="s">
        <v>1823</v>
      </c>
    </row>
    <row r="656" spans="1:6">
      <c r="A656" s="94">
        <v>10395000</v>
      </c>
      <c r="B656" s="94">
        <v>10370000</v>
      </c>
      <c r="C656" s="94">
        <v>10395000</v>
      </c>
      <c r="D656" s="94">
        <v>10395000</v>
      </c>
      <c r="E656" s="95">
        <v>42497</v>
      </c>
      <c r="F656" s="96" t="s">
        <v>1824</v>
      </c>
    </row>
    <row r="657" spans="1:6">
      <c r="A657" s="94">
        <v>10330000</v>
      </c>
      <c r="B657" s="94">
        <v>10325000</v>
      </c>
      <c r="C657" s="94">
        <v>10350000</v>
      </c>
      <c r="D657" s="94">
        <v>10330000</v>
      </c>
      <c r="E657" s="95">
        <v>42495</v>
      </c>
      <c r="F657" s="96" t="s">
        <v>1825</v>
      </c>
    </row>
    <row r="658" spans="1:6">
      <c r="A658" s="94">
        <v>10335000</v>
      </c>
      <c r="B658" s="94">
        <v>10335000</v>
      </c>
      <c r="C658" s="94">
        <v>10380000</v>
      </c>
      <c r="D658" s="94">
        <v>10335000</v>
      </c>
      <c r="E658" s="95">
        <v>42494</v>
      </c>
      <c r="F658" s="96" t="s">
        <v>1826</v>
      </c>
    </row>
    <row r="659" spans="1:6">
      <c r="A659" s="94">
        <v>10400000</v>
      </c>
      <c r="B659" s="94">
        <v>10390000</v>
      </c>
      <c r="C659" s="94">
        <v>10475000</v>
      </c>
      <c r="D659" s="94">
        <v>10400000</v>
      </c>
      <c r="E659" s="95">
        <v>42493</v>
      </c>
      <c r="F659" s="96" t="s">
        <v>1827</v>
      </c>
    </row>
    <row r="660" spans="1:6">
      <c r="A660" s="94">
        <v>10415000</v>
      </c>
      <c r="B660" s="94">
        <v>10410000</v>
      </c>
      <c r="C660" s="94">
        <v>10475000</v>
      </c>
      <c r="D660" s="94">
        <v>10415000</v>
      </c>
      <c r="E660" s="95">
        <v>42492</v>
      </c>
      <c r="F660" s="96" t="s">
        <v>1828</v>
      </c>
    </row>
    <row r="661" spans="1:6">
      <c r="A661" s="94">
        <v>10475000</v>
      </c>
      <c r="B661" s="94">
        <v>10460000</v>
      </c>
      <c r="C661" s="94">
        <v>10485000</v>
      </c>
      <c r="D661" s="94">
        <v>10475000</v>
      </c>
      <c r="E661" s="95">
        <v>42491</v>
      </c>
      <c r="F661" s="96" t="s">
        <v>1829</v>
      </c>
    </row>
    <row r="662" spans="1:6">
      <c r="A662" s="94">
        <v>10460000</v>
      </c>
      <c r="B662" s="94">
        <v>10455000</v>
      </c>
      <c r="C662" s="94">
        <v>10510000</v>
      </c>
      <c r="D662" s="94">
        <v>10460000</v>
      </c>
      <c r="E662" s="95">
        <v>42490</v>
      </c>
      <c r="F662" s="96" t="s">
        <v>1830</v>
      </c>
    </row>
    <row r="663" spans="1:6">
      <c r="A663" s="94">
        <v>10325000</v>
      </c>
      <c r="B663" s="94">
        <v>10275000</v>
      </c>
      <c r="C663" s="94">
        <v>10325000</v>
      </c>
      <c r="D663" s="94">
        <v>10325000</v>
      </c>
      <c r="E663" s="95">
        <v>42488</v>
      </c>
      <c r="F663" s="96" t="s">
        <v>1831</v>
      </c>
    </row>
    <row r="664" spans="1:6">
      <c r="A664" s="94">
        <v>10285000</v>
      </c>
      <c r="B664" s="94">
        <v>10265000</v>
      </c>
      <c r="C664" s="94">
        <v>10300000</v>
      </c>
      <c r="D664" s="94">
        <v>10285000</v>
      </c>
      <c r="E664" s="95">
        <v>42487</v>
      </c>
      <c r="F664" s="96" t="s">
        <v>1832</v>
      </c>
    </row>
    <row r="665" spans="1:6">
      <c r="A665" s="94">
        <v>10260000</v>
      </c>
      <c r="B665" s="94">
        <v>10225000</v>
      </c>
      <c r="C665" s="94">
        <v>10260000</v>
      </c>
      <c r="D665" s="94">
        <v>10260000</v>
      </c>
      <c r="E665" s="95">
        <v>42486</v>
      </c>
      <c r="F665" s="96" t="s">
        <v>1833</v>
      </c>
    </row>
    <row r="666" spans="1:6">
      <c r="A666" s="94">
        <v>10230000</v>
      </c>
      <c r="B666" s="94">
        <v>10220000</v>
      </c>
      <c r="C666" s="94">
        <v>10240000</v>
      </c>
      <c r="D666" s="94">
        <v>10230000</v>
      </c>
      <c r="E666" s="95">
        <v>42485</v>
      </c>
      <c r="F666" s="96" t="s">
        <v>1834</v>
      </c>
    </row>
    <row r="667" spans="1:6">
      <c r="A667" s="94">
        <v>10220000</v>
      </c>
      <c r="B667" s="94">
        <v>10205000</v>
      </c>
      <c r="C667" s="94">
        <v>10230000</v>
      </c>
      <c r="D667" s="94">
        <v>10220000</v>
      </c>
      <c r="E667" s="95">
        <v>42484</v>
      </c>
      <c r="F667" s="96" t="s">
        <v>1835</v>
      </c>
    </row>
    <row r="668" spans="1:6">
      <c r="A668" s="94">
        <v>10205000</v>
      </c>
      <c r="B668" s="94">
        <v>10190000</v>
      </c>
      <c r="C668" s="94">
        <v>10230000</v>
      </c>
      <c r="D668" s="94">
        <v>10205000</v>
      </c>
      <c r="E668" s="95">
        <v>42483</v>
      </c>
      <c r="F668" s="96" t="s">
        <v>1836</v>
      </c>
    </row>
    <row r="669" spans="1:6">
      <c r="A669" s="94">
        <v>10295000</v>
      </c>
      <c r="B669" s="94">
        <v>10270000</v>
      </c>
      <c r="C669" s="94">
        <v>10335000</v>
      </c>
      <c r="D669" s="94">
        <v>10295000</v>
      </c>
      <c r="E669" s="95">
        <v>42481</v>
      </c>
      <c r="F669" s="96" t="s">
        <v>1837</v>
      </c>
    </row>
    <row r="670" spans="1:6">
      <c r="A670" s="94">
        <v>10300000</v>
      </c>
      <c r="B670" s="94">
        <v>10265000</v>
      </c>
      <c r="C670" s="94">
        <v>10305000</v>
      </c>
      <c r="D670" s="94">
        <v>10300000</v>
      </c>
      <c r="E670" s="95">
        <v>42480</v>
      </c>
      <c r="F670" s="96" t="s">
        <v>1838</v>
      </c>
    </row>
    <row r="671" spans="1:6">
      <c r="A671" s="94">
        <v>10310000</v>
      </c>
      <c r="B671" s="94">
        <v>10255000</v>
      </c>
      <c r="C671" s="94">
        <v>10310000</v>
      </c>
      <c r="D671" s="94">
        <v>10310000</v>
      </c>
      <c r="E671" s="95">
        <v>42479</v>
      </c>
      <c r="F671" s="96" t="s">
        <v>1839</v>
      </c>
    </row>
    <row r="672" spans="1:6">
      <c r="A672" s="94">
        <v>10270000</v>
      </c>
      <c r="B672" s="94">
        <v>10250000</v>
      </c>
      <c r="C672" s="94">
        <v>10300000</v>
      </c>
      <c r="D672" s="94">
        <v>10270000</v>
      </c>
      <c r="E672" s="95">
        <v>42478</v>
      </c>
      <c r="F672" s="96" t="s">
        <v>1840</v>
      </c>
    </row>
    <row r="673" spans="1:6">
      <c r="A673" s="94">
        <v>10275000</v>
      </c>
      <c r="B673" s="94">
        <v>10260000</v>
      </c>
      <c r="C673" s="94">
        <v>10280000</v>
      </c>
      <c r="D673" s="94">
        <v>10275000</v>
      </c>
      <c r="E673" s="95">
        <v>42477</v>
      </c>
      <c r="F673" s="96" t="s">
        <v>1841</v>
      </c>
    </row>
    <row r="674" spans="1:6">
      <c r="A674" s="94">
        <v>10260000</v>
      </c>
      <c r="B674" s="94">
        <v>10260000</v>
      </c>
      <c r="C674" s="94">
        <v>10295000</v>
      </c>
      <c r="D674" s="94">
        <v>10260000</v>
      </c>
      <c r="E674" s="95">
        <v>42476</v>
      </c>
      <c r="F674" s="96" t="s">
        <v>1842</v>
      </c>
    </row>
    <row r="675" spans="1:6">
      <c r="A675" s="94">
        <v>10225000</v>
      </c>
      <c r="B675" s="94">
        <v>10215000</v>
      </c>
      <c r="C675" s="94">
        <v>10270000</v>
      </c>
      <c r="D675" s="94">
        <v>10225000</v>
      </c>
      <c r="E675" s="95">
        <v>42474</v>
      </c>
      <c r="F675" s="96" t="s">
        <v>1843</v>
      </c>
    </row>
    <row r="676" spans="1:6">
      <c r="A676" s="94">
        <v>10330000</v>
      </c>
      <c r="B676" s="94">
        <v>10300000</v>
      </c>
      <c r="C676" s="94">
        <v>10410000</v>
      </c>
      <c r="D676" s="94">
        <v>10330000</v>
      </c>
      <c r="E676" s="95">
        <v>42473</v>
      </c>
      <c r="F676" s="96" t="s">
        <v>1844</v>
      </c>
    </row>
    <row r="677" spans="1:6">
      <c r="A677" s="94">
        <v>10390000</v>
      </c>
      <c r="B677" s="94">
        <v>10390000</v>
      </c>
      <c r="C677" s="94">
        <v>10450000</v>
      </c>
      <c r="D677" s="94">
        <v>10390000</v>
      </c>
      <c r="E677" s="95">
        <v>42472</v>
      </c>
      <c r="F677" s="96" t="s">
        <v>1845</v>
      </c>
    </row>
    <row r="678" spans="1:6">
      <c r="A678" s="94">
        <v>10425000</v>
      </c>
      <c r="B678" s="94">
        <v>10365000</v>
      </c>
      <c r="C678" s="94">
        <v>10430000</v>
      </c>
      <c r="D678" s="94">
        <v>10425000</v>
      </c>
      <c r="E678" s="95">
        <v>42471</v>
      </c>
      <c r="F678" s="96" t="s">
        <v>1846</v>
      </c>
    </row>
    <row r="679" spans="1:6">
      <c r="A679" s="94">
        <v>10320000</v>
      </c>
      <c r="B679" s="94">
        <v>10310000</v>
      </c>
      <c r="C679" s="94">
        <v>10350000</v>
      </c>
      <c r="D679" s="94">
        <v>10320000</v>
      </c>
      <c r="E679" s="95">
        <v>42470</v>
      </c>
      <c r="F679" s="96" t="s">
        <v>1847</v>
      </c>
    </row>
    <row r="680" spans="1:6">
      <c r="A680" s="94">
        <v>10330000</v>
      </c>
      <c r="B680" s="94">
        <v>10290000</v>
      </c>
      <c r="C680" s="94">
        <v>10335000</v>
      </c>
      <c r="D680" s="94">
        <v>10330000</v>
      </c>
      <c r="E680" s="95">
        <v>42469</v>
      </c>
      <c r="F680" s="96" t="s">
        <v>1848</v>
      </c>
    </row>
    <row r="681" spans="1:6">
      <c r="A681" s="94">
        <v>10255000</v>
      </c>
      <c r="B681" s="94">
        <v>10205000</v>
      </c>
      <c r="C681" s="94">
        <v>10275000</v>
      </c>
      <c r="D681" s="94">
        <v>10255000</v>
      </c>
      <c r="E681" s="95">
        <v>42467</v>
      </c>
      <c r="F681" s="96" t="s">
        <v>1849</v>
      </c>
    </row>
    <row r="682" spans="1:6">
      <c r="A682" s="94">
        <v>10230000</v>
      </c>
      <c r="B682" s="94">
        <v>10210000</v>
      </c>
      <c r="C682" s="94">
        <v>10280000</v>
      </c>
      <c r="D682" s="94">
        <v>10230000</v>
      </c>
      <c r="E682" s="95">
        <v>42466</v>
      </c>
      <c r="F682" s="96" t="s">
        <v>1850</v>
      </c>
    </row>
    <row r="683" spans="1:6">
      <c r="A683" s="94">
        <v>10290000</v>
      </c>
      <c r="B683" s="94">
        <v>10170000</v>
      </c>
      <c r="C683" s="94">
        <v>10300000</v>
      </c>
      <c r="D683" s="94">
        <v>10290000</v>
      </c>
      <c r="E683" s="95">
        <v>42465</v>
      </c>
      <c r="F683" s="96" t="s">
        <v>1851</v>
      </c>
    </row>
    <row r="684" spans="1:6">
      <c r="A684" s="94">
        <v>10160000</v>
      </c>
      <c r="B684" s="94">
        <v>10130000</v>
      </c>
      <c r="C684" s="94">
        <v>10170000</v>
      </c>
      <c r="D684" s="94">
        <v>10160000</v>
      </c>
      <c r="E684" s="95">
        <v>42464</v>
      </c>
      <c r="F684" s="96" t="s">
        <v>1852</v>
      </c>
    </row>
    <row r="685" spans="1:6">
      <c r="A685" s="94">
        <v>10185000</v>
      </c>
      <c r="B685" s="94">
        <v>10170000</v>
      </c>
      <c r="C685" s="94">
        <v>10190000</v>
      </c>
      <c r="D685" s="94">
        <v>10185000</v>
      </c>
      <c r="E685" s="95">
        <v>42463</v>
      </c>
      <c r="F685" s="96" t="s">
        <v>1853</v>
      </c>
    </row>
    <row r="686" spans="1:6">
      <c r="A686" s="94">
        <v>10200000</v>
      </c>
      <c r="B686" s="94">
        <v>10125000</v>
      </c>
      <c r="C686" s="94">
        <v>10210000</v>
      </c>
      <c r="D686" s="94">
        <v>10200000</v>
      </c>
      <c r="E686" s="95">
        <v>42462</v>
      </c>
      <c r="F686" s="96" t="s">
        <v>1854</v>
      </c>
    </row>
    <row r="687" spans="1:6">
      <c r="A687" s="94">
        <v>10190000</v>
      </c>
      <c r="B687" s="94">
        <v>10185000</v>
      </c>
      <c r="C687" s="94">
        <v>10195000</v>
      </c>
      <c r="D687" s="94">
        <v>10190000</v>
      </c>
      <c r="E687" s="95">
        <v>42460</v>
      </c>
      <c r="F687" s="96" t="s">
        <v>1855</v>
      </c>
    </row>
    <row r="688" spans="1:6">
      <c r="A688" s="94">
        <v>10190000</v>
      </c>
      <c r="B688" s="94">
        <v>10165000</v>
      </c>
      <c r="C688" s="94">
        <v>10190000</v>
      </c>
      <c r="D688" s="94">
        <v>10190000</v>
      </c>
      <c r="E688" s="95">
        <v>42459</v>
      </c>
      <c r="F688" s="96" t="s">
        <v>1856</v>
      </c>
    </row>
    <row r="689" spans="1:6">
      <c r="A689" s="94">
        <v>10135000</v>
      </c>
      <c r="B689" s="94">
        <v>10095000</v>
      </c>
      <c r="C689" s="94">
        <v>10135000</v>
      </c>
      <c r="D689" s="94">
        <v>10135000</v>
      </c>
      <c r="E689" s="95">
        <v>42458</v>
      </c>
      <c r="F689" s="96" t="s">
        <v>1857</v>
      </c>
    </row>
    <row r="690" spans="1:6">
      <c r="A690" s="94">
        <v>10090000</v>
      </c>
      <c r="B690" s="94">
        <v>10070000</v>
      </c>
      <c r="C690" s="94">
        <v>10090000</v>
      </c>
      <c r="D690" s="94">
        <v>10090000</v>
      </c>
      <c r="E690" s="95">
        <v>42457</v>
      </c>
      <c r="F690" s="96" t="s">
        <v>1858</v>
      </c>
    </row>
    <row r="691" spans="1:6">
      <c r="A691" s="94">
        <v>10070000</v>
      </c>
      <c r="B691" s="94">
        <v>10070000</v>
      </c>
      <c r="C691" s="94">
        <v>10070000</v>
      </c>
      <c r="D691" s="94">
        <v>10070000</v>
      </c>
      <c r="E691" s="95">
        <v>42456</v>
      </c>
      <c r="F691" s="96" t="s">
        <v>1859</v>
      </c>
    </row>
    <row r="692" spans="1:6">
      <c r="A692" s="94">
        <v>10050000</v>
      </c>
      <c r="B692" s="94">
        <v>10050000</v>
      </c>
      <c r="C692" s="94">
        <v>10125000</v>
      </c>
      <c r="D692" s="94">
        <v>10050000</v>
      </c>
      <c r="E692" s="95">
        <v>42455</v>
      </c>
      <c r="F692" s="96" t="s">
        <v>1860</v>
      </c>
    </row>
    <row r="693" spans="1:6">
      <c r="A693" s="94">
        <v>10150000</v>
      </c>
      <c r="B693" s="94">
        <v>10125000</v>
      </c>
      <c r="C693" s="94">
        <v>10150000</v>
      </c>
      <c r="D693" s="94">
        <v>10150000</v>
      </c>
      <c r="E693" s="95">
        <v>42448</v>
      </c>
      <c r="F693" s="96" t="s">
        <v>1861</v>
      </c>
    </row>
    <row r="694" spans="1:6">
      <c r="A694" s="94">
        <v>10130000</v>
      </c>
      <c r="B694" s="94">
        <v>10120000</v>
      </c>
      <c r="C694" s="94">
        <v>10200000</v>
      </c>
      <c r="D694" s="94">
        <v>10130000</v>
      </c>
      <c r="E694" s="95">
        <v>42446</v>
      </c>
      <c r="F694" s="96" t="s">
        <v>1862</v>
      </c>
    </row>
    <row r="695" spans="1:6">
      <c r="A695" s="94">
        <v>10130000</v>
      </c>
      <c r="B695" s="94">
        <v>10025000</v>
      </c>
      <c r="C695" s="94">
        <v>10130000</v>
      </c>
      <c r="D695" s="94">
        <v>10130000</v>
      </c>
      <c r="E695" s="95">
        <v>42445</v>
      </c>
      <c r="F695" s="96" t="s">
        <v>1863</v>
      </c>
    </row>
    <row r="696" spans="1:6">
      <c r="A696" s="94">
        <v>10065000</v>
      </c>
      <c r="B696" s="94">
        <v>10035000</v>
      </c>
      <c r="C696" s="94">
        <v>10100000</v>
      </c>
      <c r="D696" s="94">
        <v>10065000</v>
      </c>
      <c r="E696" s="95">
        <v>42444</v>
      </c>
      <c r="F696" s="96" t="s">
        <v>1864</v>
      </c>
    </row>
    <row r="697" spans="1:6">
      <c r="A697" s="94">
        <v>10105000</v>
      </c>
      <c r="B697" s="94">
        <v>10100000</v>
      </c>
      <c r="C697" s="94">
        <v>10185000</v>
      </c>
      <c r="D697" s="94">
        <v>10105000</v>
      </c>
      <c r="E697" s="95">
        <v>42443</v>
      </c>
      <c r="F697" s="96" t="s">
        <v>1865</v>
      </c>
    </row>
    <row r="698" spans="1:6">
      <c r="A698" s="94">
        <v>10105000</v>
      </c>
      <c r="B698" s="94">
        <v>10080000</v>
      </c>
      <c r="C698" s="94">
        <v>10115000</v>
      </c>
      <c r="D698" s="94">
        <v>10105000</v>
      </c>
      <c r="E698" s="95">
        <v>42441</v>
      </c>
      <c r="F698" s="96" t="s">
        <v>1866</v>
      </c>
    </row>
    <row r="699" spans="1:6">
      <c r="A699" s="94">
        <v>10135000</v>
      </c>
      <c r="B699" s="94">
        <v>10100000</v>
      </c>
      <c r="C699" s="94">
        <v>10135000</v>
      </c>
      <c r="D699" s="94">
        <v>10135000</v>
      </c>
      <c r="E699" s="95">
        <v>42439</v>
      </c>
      <c r="F699" s="96" t="s">
        <v>1867</v>
      </c>
    </row>
    <row r="700" spans="1:6">
      <c r="A700" s="94">
        <v>10125000</v>
      </c>
      <c r="B700" s="94">
        <v>10100000</v>
      </c>
      <c r="C700" s="94">
        <v>10140000</v>
      </c>
      <c r="D700" s="94">
        <v>10125000</v>
      </c>
      <c r="E700" s="95">
        <v>42438</v>
      </c>
      <c r="F700" s="96" t="s">
        <v>1868</v>
      </c>
    </row>
    <row r="701" spans="1:6">
      <c r="A701" s="94">
        <v>10140000</v>
      </c>
      <c r="B701" s="94">
        <v>10105000</v>
      </c>
      <c r="C701" s="94">
        <v>10170000</v>
      </c>
      <c r="D701" s="94">
        <v>10140000</v>
      </c>
      <c r="E701" s="95">
        <v>42437</v>
      </c>
      <c r="F701" s="96" t="s">
        <v>1869</v>
      </c>
    </row>
    <row r="702" spans="1:6">
      <c r="A702" s="94">
        <v>10085000</v>
      </c>
      <c r="B702" s="94">
        <v>10085000</v>
      </c>
      <c r="C702" s="94">
        <v>10150000</v>
      </c>
      <c r="D702" s="94">
        <v>10085000</v>
      </c>
      <c r="E702" s="95">
        <v>42436</v>
      </c>
      <c r="F702" s="96" t="s">
        <v>1870</v>
      </c>
    </row>
    <row r="703" spans="1:6">
      <c r="A703" s="94">
        <v>10115000</v>
      </c>
      <c r="B703" s="94">
        <v>10100000</v>
      </c>
      <c r="C703" s="94">
        <v>10140000</v>
      </c>
      <c r="D703" s="94">
        <v>10115000</v>
      </c>
      <c r="E703" s="95">
        <v>42435</v>
      </c>
      <c r="F703" s="96" t="s">
        <v>1871</v>
      </c>
    </row>
    <row r="704" spans="1:6">
      <c r="A704" s="94">
        <v>10130000</v>
      </c>
      <c r="B704" s="94">
        <v>10110000</v>
      </c>
      <c r="C704" s="94">
        <v>10160000</v>
      </c>
      <c r="D704" s="94">
        <v>10130000</v>
      </c>
      <c r="E704" s="95">
        <v>42434</v>
      </c>
      <c r="F704" s="96" t="s">
        <v>1872</v>
      </c>
    </row>
    <row r="705" spans="1:6">
      <c r="A705" s="94">
        <v>10095000</v>
      </c>
      <c r="B705" s="94">
        <v>10040000</v>
      </c>
      <c r="C705" s="94">
        <v>10105000</v>
      </c>
      <c r="D705" s="94">
        <v>10095000</v>
      </c>
      <c r="E705" s="95">
        <v>42432</v>
      </c>
      <c r="F705" s="96" t="s">
        <v>1873</v>
      </c>
    </row>
    <row r="706" spans="1:6">
      <c r="A706" s="94">
        <v>10045000</v>
      </c>
      <c r="B706" s="94">
        <v>9995000</v>
      </c>
      <c r="C706" s="94">
        <v>10065000</v>
      </c>
      <c r="D706" s="94">
        <v>10045000</v>
      </c>
      <c r="E706" s="95">
        <v>42431</v>
      </c>
      <c r="F706" s="96" t="s">
        <v>1874</v>
      </c>
    </row>
    <row r="707" spans="1:6">
      <c r="A707" s="94">
        <v>10015000</v>
      </c>
      <c r="B707" s="94">
        <v>10015000</v>
      </c>
      <c r="C707" s="94">
        <v>10105000</v>
      </c>
      <c r="D707" s="94">
        <v>10015000</v>
      </c>
      <c r="E707" s="95">
        <v>42430</v>
      </c>
      <c r="F707" s="96" t="s">
        <v>1875</v>
      </c>
    </row>
    <row r="708" spans="1:6">
      <c r="A708" s="94">
        <v>10035000</v>
      </c>
      <c r="B708" s="94">
        <v>9940000</v>
      </c>
      <c r="C708" s="94">
        <v>10040000</v>
      </c>
      <c r="D708" s="94">
        <v>10035000</v>
      </c>
      <c r="E708" s="95">
        <v>42429</v>
      </c>
      <c r="F708" s="96" t="s">
        <v>1876</v>
      </c>
    </row>
    <row r="709" spans="1:6">
      <c r="A709" s="94">
        <v>9945000</v>
      </c>
      <c r="B709" s="94">
        <v>9920000</v>
      </c>
      <c r="C709" s="94">
        <v>9975000</v>
      </c>
      <c r="D709" s="94">
        <v>9945000</v>
      </c>
      <c r="E709" s="95">
        <v>42428</v>
      </c>
      <c r="F709" s="96" t="s">
        <v>1877</v>
      </c>
    </row>
    <row r="710" spans="1:6">
      <c r="A710" s="94">
        <v>9970000</v>
      </c>
      <c r="B710" s="94">
        <v>9960000</v>
      </c>
      <c r="C710" s="94">
        <v>10025000</v>
      </c>
      <c r="D710" s="94">
        <v>9970000</v>
      </c>
      <c r="E710" s="95">
        <v>42427</v>
      </c>
      <c r="F710" s="96" t="s">
        <v>1878</v>
      </c>
    </row>
    <row r="711" spans="1:6">
      <c r="A711" s="94">
        <v>10050000</v>
      </c>
      <c r="B711" s="94">
        <v>10025000</v>
      </c>
      <c r="C711" s="94">
        <v>10095000</v>
      </c>
      <c r="D711" s="94">
        <v>10050000</v>
      </c>
      <c r="E711" s="95">
        <v>42425</v>
      </c>
      <c r="F711" s="96" t="s">
        <v>1879</v>
      </c>
    </row>
    <row r="712" spans="1:6">
      <c r="A712" s="94">
        <v>10080000</v>
      </c>
      <c r="B712" s="94">
        <v>9925000</v>
      </c>
      <c r="C712" s="94">
        <v>10150000</v>
      </c>
      <c r="D712" s="94">
        <v>10080000</v>
      </c>
      <c r="E712" s="95">
        <v>42424</v>
      </c>
      <c r="F712" s="96" t="s">
        <v>1880</v>
      </c>
    </row>
    <row r="713" spans="1:6">
      <c r="A713" s="94">
        <v>9935000</v>
      </c>
      <c r="B713" s="94">
        <v>9830000</v>
      </c>
      <c r="C713" s="94">
        <v>9945000</v>
      </c>
      <c r="D713" s="94">
        <v>9935000</v>
      </c>
      <c r="E713" s="95">
        <v>42423</v>
      </c>
      <c r="F713" s="96" t="s">
        <v>1881</v>
      </c>
    </row>
    <row r="714" spans="1:6">
      <c r="A714" s="94">
        <v>9810000</v>
      </c>
      <c r="B714" s="94">
        <v>9730000</v>
      </c>
      <c r="C714" s="94">
        <v>9870000</v>
      </c>
      <c r="D714" s="94">
        <v>9810000</v>
      </c>
      <c r="E714" s="95">
        <v>42422</v>
      </c>
      <c r="F714" s="96" t="s">
        <v>1882</v>
      </c>
    </row>
    <row r="715" spans="1:6">
      <c r="A715" s="94">
        <v>9885000</v>
      </c>
      <c r="B715" s="94">
        <v>9835000</v>
      </c>
      <c r="C715" s="94">
        <v>9905000</v>
      </c>
      <c r="D715" s="94">
        <v>9885000</v>
      </c>
      <c r="E715" s="95">
        <v>42421</v>
      </c>
      <c r="F715" s="96" t="s">
        <v>1883</v>
      </c>
    </row>
    <row r="716" spans="1:6">
      <c r="A716" s="94">
        <v>9850000</v>
      </c>
      <c r="B716" s="94">
        <v>9835000</v>
      </c>
      <c r="C716" s="94">
        <v>9965000</v>
      </c>
      <c r="D716" s="94">
        <v>9850000</v>
      </c>
      <c r="E716" s="95">
        <v>42420</v>
      </c>
      <c r="F716" s="96" t="s">
        <v>1884</v>
      </c>
    </row>
    <row r="717" spans="1:6">
      <c r="A717" s="94">
        <v>9890000</v>
      </c>
      <c r="B717" s="94">
        <v>9825000</v>
      </c>
      <c r="C717" s="94">
        <v>9895000</v>
      </c>
      <c r="D717" s="94">
        <v>9890000</v>
      </c>
      <c r="E717" s="95">
        <v>42418</v>
      </c>
      <c r="F717" s="96" t="s">
        <v>1885</v>
      </c>
    </row>
    <row r="718" spans="1:6">
      <c r="A718" s="94">
        <v>9865000</v>
      </c>
      <c r="B718" s="94">
        <v>9735000</v>
      </c>
      <c r="C718" s="94">
        <v>9865000</v>
      </c>
      <c r="D718" s="94">
        <v>9865000</v>
      </c>
      <c r="E718" s="95">
        <v>42417</v>
      </c>
      <c r="F718" s="96" t="s">
        <v>1886</v>
      </c>
    </row>
    <row r="719" spans="1:6">
      <c r="A719" s="94">
        <v>9785000</v>
      </c>
      <c r="B719" s="94">
        <v>9635000</v>
      </c>
      <c r="C719" s="94">
        <v>9810000</v>
      </c>
      <c r="D719" s="94">
        <v>9785000</v>
      </c>
      <c r="E719" s="95">
        <v>42416</v>
      </c>
      <c r="F719" s="96" t="s">
        <v>1887</v>
      </c>
    </row>
    <row r="720" spans="1:6">
      <c r="A720" s="94">
        <v>9760000</v>
      </c>
      <c r="B720" s="94">
        <v>9730000</v>
      </c>
      <c r="C720" s="94">
        <v>9900000</v>
      </c>
      <c r="D720" s="94">
        <v>9760000</v>
      </c>
      <c r="E720" s="95">
        <v>42415</v>
      </c>
      <c r="F720" s="96" t="s">
        <v>1888</v>
      </c>
    </row>
    <row r="721" spans="1:6">
      <c r="A721" s="94">
        <v>9995000</v>
      </c>
      <c r="B721" s="94">
        <v>9995000</v>
      </c>
      <c r="C721" s="94">
        <v>10065000</v>
      </c>
      <c r="D721" s="94">
        <v>9995000</v>
      </c>
      <c r="E721" s="95">
        <v>42414</v>
      </c>
      <c r="F721" s="96" t="s">
        <v>1889</v>
      </c>
    </row>
    <row r="722" spans="1:6">
      <c r="A722" s="94">
        <v>10055000</v>
      </c>
      <c r="B722" s="94">
        <v>10035000</v>
      </c>
      <c r="C722" s="94">
        <v>10115000</v>
      </c>
      <c r="D722" s="94">
        <v>10055000</v>
      </c>
      <c r="E722" s="95">
        <v>42413</v>
      </c>
      <c r="F722" s="96" t="s">
        <v>1890</v>
      </c>
    </row>
    <row r="723" spans="1:6">
      <c r="A723" s="94">
        <v>9770000</v>
      </c>
      <c r="B723" s="94">
        <v>9720000</v>
      </c>
      <c r="C723" s="94">
        <v>9775000</v>
      </c>
      <c r="D723" s="94">
        <v>9770000</v>
      </c>
      <c r="E723" s="95">
        <v>42410</v>
      </c>
      <c r="F723" s="96" t="s">
        <v>1891</v>
      </c>
    </row>
    <row r="724" spans="1:6">
      <c r="A724" s="94">
        <v>9795000</v>
      </c>
      <c r="B724" s="94">
        <v>9775000</v>
      </c>
      <c r="C724" s="94">
        <v>9870000</v>
      </c>
      <c r="D724" s="94">
        <v>9795000</v>
      </c>
      <c r="E724" s="95">
        <v>42409</v>
      </c>
      <c r="F724" s="96" t="s">
        <v>1892</v>
      </c>
    </row>
    <row r="725" spans="1:6">
      <c r="A725" s="94">
        <v>9865000</v>
      </c>
      <c r="B725" s="94">
        <v>9630000</v>
      </c>
      <c r="C725" s="94">
        <v>9875000</v>
      </c>
      <c r="D725" s="94">
        <v>9865000</v>
      </c>
      <c r="E725" s="95">
        <v>42408</v>
      </c>
      <c r="F725" s="96" t="s">
        <v>1893</v>
      </c>
    </row>
    <row r="726" spans="1:6">
      <c r="A726" s="94">
        <v>9725000</v>
      </c>
      <c r="B726" s="94">
        <v>9725000</v>
      </c>
      <c r="C726" s="94">
        <v>9895000</v>
      </c>
      <c r="D726" s="94">
        <v>9725000</v>
      </c>
      <c r="E726" s="95">
        <v>42407</v>
      </c>
      <c r="F726" s="96" t="s">
        <v>1894</v>
      </c>
    </row>
    <row r="727" spans="1:6">
      <c r="A727" s="94">
        <v>9845000</v>
      </c>
      <c r="B727" s="94">
        <v>9810000</v>
      </c>
      <c r="C727" s="94">
        <v>9870000</v>
      </c>
      <c r="D727" s="94">
        <v>9845000</v>
      </c>
      <c r="E727" s="95">
        <v>42406</v>
      </c>
      <c r="F727" s="96" t="s">
        <v>1895</v>
      </c>
    </row>
    <row r="728" spans="1:6">
      <c r="A728" s="94">
        <v>9665000</v>
      </c>
      <c r="B728" s="94">
        <v>9580000</v>
      </c>
      <c r="C728" s="94">
        <v>9665000</v>
      </c>
      <c r="D728" s="94">
        <v>9665000</v>
      </c>
      <c r="E728" s="95">
        <v>42404</v>
      </c>
      <c r="F728" s="96" t="s">
        <v>1896</v>
      </c>
    </row>
    <row r="729" spans="1:6">
      <c r="A729" s="94">
        <v>9585000</v>
      </c>
      <c r="B729" s="94">
        <v>9535000</v>
      </c>
      <c r="C729" s="94">
        <v>9585000</v>
      </c>
      <c r="D729" s="94">
        <v>9585000</v>
      </c>
      <c r="E729" s="95">
        <v>42403</v>
      </c>
      <c r="F729" s="96" t="s">
        <v>1897</v>
      </c>
    </row>
    <row r="730" spans="1:6">
      <c r="A730" s="94">
        <v>9550000</v>
      </c>
      <c r="B730" s="94">
        <v>9540000</v>
      </c>
      <c r="C730" s="94">
        <v>9575000</v>
      </c>
      <c r="D730" s="94">
        <v>9550000</v>
      </c>
      <c r="E730" s="95">
        <v>42402</v>
      </c>
      <c r="F730" s="96" t="s">
        <v>1898</v>
      </c>
    </row>
    <row r="731" spans="1:6">
      <c r="A731" s="94">
        <v>9550000</v>
      </c>
      <c r="B731" s="94">
        <v>9510000</v>
      </c>
      <c r="C731" s="94">
        <v>9565000</v>
      </c>
      <c r="D731" s="94">
        <v>9550000</v>
      </c>
      <c r="E731" s="95">
        <v>42401</v>
      </c>
      <c r="F731" s="96" t="s">
        <v>1899</v>
      </c>
    </row>
    <row r="732" spans="1:6">
      <c r="A732" s="94">
        <v>9490000</v>
      </c>
      <c r="B732" s="94">
        <v>9440000</v>
      </c>
      <c r="C732" s="94">
        <v>9490000</v>
      </c>
      <c r="D732" s="94">
        <v>9490000</v>
      </c>
      <c r="E732" s="95">
        <v>42400</v>
      </c>
      <c r="F732" s="96" t="s">
        <v>1900</v>
      </c>
    </row>
    <row r="733" spans="1:6">
      <c r="A733" s="94">
        <v>9460000</v>
      </c>
      <c r="B733" s="94">
        <v>9455000</v>
      </c>
      <c r="C733" s="94">
        <v>9510000</v>
      </c>
      <c r="D733" s="94">
        <v>9460000</v>
      </c>
      <c r="E733" s="95">
        <v>42399</v>
      </c>
      <c r="F733" s="96" t="s">
        <v>1901</v>
      </c>
    </row>
    <row r="734" spans="1:6">
      <c r="A734" s="94">
        <v>9445000</v>
      </c>
      <c r="B734" s="94">
        <v>9445000</v>
      </c>
      <c r="C734" s="94">
        <v>9520000</v>
      </c>
      <c r="D734" s="94">
        <v>9445000</v>
      </c>
      <c r="E734" s="95">
        <v>42397</v>
      </c>
      <c r="F734" s="96" t="s">
        <v>1902</v>
      </c>
    </row>
    <row r="735" spans="1:6">
      <c r="A735" s="94">
        <v>9490000</v>
      </c>
      <c r="B735" s="94">
        <v>9490000</v>
      </c>
      <c r="C735" s="94">
        <v>9585000</v>
      </c>
      <c r="D735" s="94">
        <v>9490000</v>
      </c>
      <c r="E735" s="95">
        <v>42396</v>
      </c>
      <c r="F735" s="96" t="s">
        <v>1903</v>
      </c>
    </row>
    <row r="736" spans="1:6">
      <c r="A736" s="94">
        <v>9550000</v>
      </c>
      <c r="B736" s="94">
        <v>9460000</v>
      </c>
      <c r="C736" s="94">
        <v>9550000</v>
      </c>
      <c r="D736" s="94">
        <v>9550000</v>
      </c>
      <c r="E736" s="95">
        <v>42395</v>
      </c>
      <c r="F736" s="96" t="s">
        <v>1904</v>
      </c>
    </row>
    <row r="737" spans="1:6">
      <c r="A737" s="94">
        <v>9445000</v>
      </c>
      <c r="B737" s="94">
        <v>9345000</v>
      </c>
      <c r="C737" s="94">
        <v>9455000</v>
      </c>
      <c r="D737" s="94">
        <v>9445000</v>
      </c>
      <c r="E737" s="95">
        <v>42394</v>
      </c>
      <c r="F737" s="96" t="s">
        <v>1905</v>
      </c>
    </row>
    <row r="738" spans="1:6">
      <c r="A738" s="94">
        <v>9360000</v>
      </c>
      <c r="B738" s="94">
        <v>9360000</v>
      </c>
      <c r="C738" s="94">
        <v>9360000</v>
      </c>
      <c r="D738" s="94">
        <v>9360000</v>
      </c>
      <c r="E738" s="95">
        <v>42393</v>
      </c>
      <c r="F738" s="96" t="s">
        <v>1906</v>
      </c>
    </row>
    <row r="739" spans="1:6">
      <c r="A739" s="94">
        <v>9410000</v>
      </c>
      <c r="B739" s="94">
        <v>9350000</v>
      </c>
      <c r="C739" s="94">
        <v>9430000</v>
      </c>
      <c r="D739" s="94">
        <v>9410000</v>
      </c>
      <c r="E739" s="95">
        <v>42392</v>
      </c>
      <c r="F739" s="96" t="s">
        <v>1907</v>
      </c>
    </row>
    <row r="740" spans="1:6">
      <c r="A740" s="94">
        <v>9305000</v>
      </c>
      <c r="B740" s="94">
        <v>9300000</v>
      </c>
      <c r="C740" s="94">
        <v>9345000</v>
      </c>
      <c r="D740" s="94">
        <v>9305000</v>
      </c>
      <c r="E740" s="95">
        <v>42390</v>
      </c>
      <c r="F740" s="96" t="s">
        <v>1908</v>
      </c>
    </row>
    <row r="741" spans="1:6">
      <c r="A741" s="94">
        <v>9300000</v>
      </c>
      <c r="B741" s="94">
        <v>9205000</v>
      </c>
      <c r="C741" s="94">
        <v>9300000</v>
      </c>
      <c r="D741" s="94">
        <v>9300000</v>
      </c>
      <c r="E741" s="95">
        <v>42389</v>
      </c>
      <c r="F741" s="96" t="s">
        <v>1909</v>
      </c>
    </row>
    <row r="742" spans="1:6">
      <c r="A742" s="94">
        <v>9200000</v>
      </c>
      <c r="B742" s="94">
        <v>9180000</v>
      </c>
      <c r="C742" s="94">
        <v>9230000</v>
      </c>
      <c r="D742" s="94">
        <v>9200000</v>
      </c>
      <c r="E742" s="95">
        <v>42388</v>
      </c>
      <c r="F742" s="96" t="s">
        <v>1910</v>
      </c>
    </row>
    <row r="743" spans="1:6">
      <c r="A743" s="94">
        <v>9200000</v>
      </c>
      <c r="B743" s="94">
        <v>9200000</v>
      </c>
      <c r="C743" s="94">
        <v>9250000</v>
      </c>
      <c r="D743" s="94">
        <v>9200000</v>
      </c>
      <c r="E743" s="95">
        <v>42387</v>
      </c>
      <c r="F743" s="96" t="s">
        <v>1911</v>
      </c>
    </row>
    <row r="744" spans="1:6">
      <c r="A744" s="94">
        <v>9270000</v>
      </c>
      <c r="B744" s="94">
        <v>9155000</v>
      </c>
      <c r="C744" s="94">
        <v>9295000</v>
      </c>
      <c r="D744" s="94">
        <v>9270000</v>
      </c>
      <c r="E744" s="95">
        <v>42386</v>
      </c>
      <c r="F744" s="96" t="s">
        <v>1912</v>
      </c>
    </row>
    <row r="745" spans="1:6">
      <c r="A745" s="94">
        <v>9180000</v>
      </c>
      <c r="B745" s="94">
        <v>9160000</v>
      </c>
      <c r="C745" s="94">
        <v>9240000</v>
      </c>
      <c r="D745" s="94">
        <v>9180000</v>
      </c>
      <c r="E745" s="95">
        <v>42385</v>
      </c>
      <c r="F745" s="96" t="s">
        <v>1913</v>
      </c>
    </row>
    <row r="746" spans="1:6">
      <c r="A746" s="94">
        <v>9305000</v>
      </c>
      <c r="B746" s="94">
        <v>9290000</v>
      </c>
      <c r="C746" s="94">
        <v>9345000</v>
      </c>
      <c r="D746" s="94">
        <v>9305000</v>
      </c>
      <c r="E746" s="95">
        <v>42383</v>
      </c>
      <c r="F746" s="96" t="s">
        <v>1914</v>
      </c>
    </row>
    <row r="747" spans="1:6">
      <c r="A747" s="94">
        <v>9345000</v>
      </c>
      <c r="B747" s="94">
        <v>9280000</v>
      </c>
      <c r="C747" s="94">
        <v>9355000</v>
      </c>
      <c r="D747" s="94">
        <v>9345000</v>
      </c>
      <c r="E747" s="95">
        <v>42382</v>
      </c>
      <c r="F747" s="96" t="s">
        <v>1915</v>
      </c>
    </row>
    <row r="748" spans="1:6">
      <c r="A748" s="94">
        <v>9385000</v>
      </c>
      <c r="B748" s="94">
        <v>9385000</v>
      </c>
      <c r="C748" s="94">
        <v>9445000</v>
      </c>
      <c r="D748" s="94">
        <v>9385000</v>
      </c>
      <c r="E748" s="95">
        <v>42381</v>
      </c>
      <c r="F748" s="96" t="s">
        <v>1916</v>
      </c>
    </row>
    <row r="749" spans="1:6">
      <c r="A749" s="94">
        <v>9485000</v>
      </c>
      <c r="B749" s="94">
        <v>9470000</v>
      </c>
      <c r="C749" s="94">
        <v>9575000</v>
      </c>
      <c r="D749" s="94">
        <v>9485000</v>
      </c>
      <c r="E749" s="95">
        <v>42380</v>
      </c>
      <c r="F749" s="96" t="s">
        <v>1917</v>
      </c>
    </row>
    <row r="750" spans="1:6">
      <c r="A750" s="94">
        <v>9600000</v>
      </c>
      <c r="B750" s="94">
        <v>9580000</v>
      </c>
      <c r="C750" s="94">
        <v>9660000</v>
      </c>
      <c r="D750" s="94">
        <v>9600000</v>
      </c>
      <c r="E750" s="95">
        <v>42379</v>
      </c>
      <c r="F750" s="96" t="s">
        <v>1918</v>
      </c>
    </row>
    <row r="751" spans="1:6">
      <c r="A751" s="94">
        <v>9655000</v>
      </c>
      <c r="B751" s="94">
        <v>9555000</v>
      </c>
      <c r="C751" s="94">
        <v>9670000</v>
      </c>
      <c r="D751" s="94">
        <v>9655000</v>
      </c>
      <c r="E751" s="95">
        <v>42378</v>
      </c>
      <c r="F751" s="96" t="s">
        <v>1919</v>
      </c>
    </row>
    <row r="752" spans="1:6">
      <c r="A752" s="94">
        <v>9540000</v>
      </c>
      <c r="B752" s="94">
        <v>9465000</v>
      </c>
      <c r="C752" s="94">
        <v>9540000</v>
      </c>
      <c r="D752" s="94">
        <v>9540000</v>
      </c>
      <c r="E752" s="95">
        <v>42376</v>
      </c>
      <c r="F752" s="96" t="s">
        <v>1920</v>
      </c>
    </row>
    <row r="753" spans="1:6">
      <c r="A753" s="94">
        <v>9460000</v>
      </c>
      <c r="B753" s="94">
        <v>9430000</v>
      </c>
      <c r="C753" s="94">
        <v>9475000</v>
      </c>
      <c r="D753" s="94">
        <v>9460000</v>
      </c>
      <c r="E753" s="95">
        <v>42375</v>
      </c>
      <c r="F753" s="96" t="s">
        <v>1921</v>
      </c>
    </row>
    <row r="754" spans="1:6">
      <c r="A754" s="94">
        <v>9400000</v>
      </c>
      <c r="B754" s="94">
        <v>9390000</v>
      </c>
      <c r="C754" s="94">
        <v>9430000</v>
      </c>
      <c r="D754" s="94">
        <v>9400000</v>
      </c>
      <c r="E754" s="95">
        <v>42374</v>
      </c>
      <c r="F754" s="96" t="s">
        <v>1922</v>
      </c>
    </row>
    <row r="755" spans="1:6">
      <c r="A755" s="94">
        <v>9400000</v>
      </c>
      <c r="B755" s="94">
        <v>9350000</v>
      </c>
      <c r="C755" s="94">
        <v>9435000</v>
      </c>
      <c r="D755" s="94">
        <v>9400000</v>
      </c>
      <c r="E755" s="95">
        <v>42373</v>
      </c>
      <c r="F755" s="96" t="s">
        <v>1923</v>
      </c>
    </row>
    <row r="756" spans="1:6">
      <c r="A756" s="94">
        <v>9340000</v>
      </c>
      <c r="B756" s="94">
        <v>9310000</v>
      </c>
      <c r="C756" s="94">
        <v>9350000</v>
      </c>
      <c r="D756" s="94">
        <v>9340000</v>
      </c>
      <c r="E756" s="95">
        <v>42372</v>
      </c>
      <c r="F756" s="96" t="s">
        <v>1924</v>
      </c>
    </row>
    <row r="757" spans="1:6">
      <c r="A757" s="94">
        <v>9310000</v>
      </c>
      <c r="B757" s="94">
        <v>9300000</v>
      </c>
      <c r="C757" s="94">
        <v>9335000</v>
      </c>
      <c r="D757" s="94">
        <v>9310000</v>
      </c>
      <c r="E757" s="95">
        <v>42371</v>
      </c>
      <c r="F757" s="96" t="s">
        <v>1925</v>
      </c>
    </row>
    <row r="758" spans="1:6">
      <c r="A758" s="94">
        <v>9335000</v>
      </c>
      <c r="B758" s="94">
        <v>9325000</v>
      </c>
      <c r="C758" s="94">
        <v>9340000</v>
      </c>
      <c r="D758" s="94">
        <v>9335000</v>
      </c>
      <c r="E758" s="95">
        <v>42369</v>
      </c>
      <c r="F758" s="96" t="s">
        <v>1926</v>
      </c>
    </row>
    <row r="759" spans="1:6">
      <c r="A759" s="94">
        <v>9315000</v>
      </c>
      <c r="B759" s="94">
        <v>9295000</v>
      </c>
      <c r="C759" s="94">
        <v>9340000</v>
      </c>
      <c r="D759" s="94">
        <v>9315000</v>
      </c>
      <c r="E759" s="95">
        <v>42368</v>
      </c>
      <c r="F759" s="96" t="s">
        <v>1927</v>
      </c>
    </row>
    <row r="760" spans="1:6">
      <c r="A760" s="94">
        <v>9355000</v>
      </c>
      <c r="B760" s="94">
        <v>9350000</v>
      </c>
      <c r="C760" s="94">
        <v>9355000</v>
      </c>
      <c r="D760" s="94">
        <v>9355000</v>
      </c>
      <c r="E760" s="95">
        <v>42367</v>
      </c>
      <c r="F760" s="96" t="s">
        <v>1928</v>
      </c>
    </row>
    <row r="761" spans="1:6">
      <c r="A761" s="94">
        <v>9345000</v>
      </c>
      <c r="B761" s="94">
        <v>9345000</v>
      </c>
      <c r="C761" s="94">
        <v>9415000</v>
      </c>
      <c r="D761" s="94">
        <v>9345000</v>
      </c>
      <c r="E761" s="95">
        <v>42366</v>
      </c>
      <c r="F761" s="96" t="s">
        <v>1929</v>
      </c>
    </row>
    <row r="762" spans="1:6">
      <c r="A762" s="94">
        <v>9420000</v>
      </c>
      <c r="B762" s="94">
        <v>9395000</v>
      </c>
      <c r="C762" s="94">
        <v>9440000</v>
      </c>
      <c r="D762" s="94">
        <v>9420000</v>
      </c>
      <c r="E762" s="95">
        <v>42365</v>
      </c>
      <c r="F762" s="96" t="s">
        <v>1930</v>
      </c>
    </row>
    <row r="763" spans="1:6">
      <c r="A763" s="94">
        <v>9420000</v>
      </c>
      <c r="B763" s="94">
        <v>9335000</v>
      </c>
      <c r="C763" s="94">
        <v>9430000</v>
      </c>
      <c r="D763" s="94">
        <v>9420000</v>
      </c>
      <c r="E763" s="95">
        <v>42364</v>
      </c>
      <c r="F763" s="96" t="s">
        <v>1931</v>
      </c>
    </row>
    <row r="764" spans="1:6">
      <c r="A764" s="94">
        <v>9320000</v>
      </c>
      <c r="B764" s="94">
        <v>9295000</v>
      </c>
      <c r="C764" s="94">
        <v>9335000</v>
      </c>
      <c r="D764" s="94">
        <v>9320000</v>
      </c>
      <c r="E764" s="95">
        <v>42362</v>
      </c>
      <c r="F764" s="96" t="s">
        <v>1932</v>
      </c>
    </row>
    <row r="765" spans="1:6">
      <c r="A765" s="94">
        <v>9285000</v>
      </c>
      <c r="B765" s="94">
        <v>9235000</v>
      </c>
      <c r="C765" s="94">
        <v>9295000</v>
      </c>
      <c r="D765" s="94">
        <v>9285000</v>
      </c>
      <c r="E765" s="95">
        <v>42361</v>
      </c>
      <c r="F765" s="96" t="s">
        <v>1933</v>
      </c>
    </row>
    <row r="766" spans="1:6">
      <c r="A766" s="94">
        <v>9255000</v>
      </c>
      <c r="B766" s="94">
        <v>9225000</v>
      </c>
      <c r="C766" s="94">
        <v>9270000</v>
      </c>
      <c r="D766" s="94">
        <v>9255000</v>
      </c>
      <c r="E766" s="95">
        <v>42360</v>
      </c>
      <c r="F766" s="96" t="s">
        <v>1934</v>
      </c>
    </row>
    <row r="767" spans="1:6">
      <c r="A767" s="94">
        <v>9235000</v>
      </c>
      <c r="B767" s="94">
        <v>9180000</v>
      </c>
      <c r="C767" s="94">
        <v>9240000</v>
      </c>
      <c r="D767" s="94">
        <v>9235000</v>
      </c>
      <c r="E767" s="95">
        <v>42359</v>
      </c>
      <c r="F767" s="96" t="s">
        <v>1935</v>
      </c>
    </row>
    <row r="768" spans="1:6">
      <c r="A768" s="94">
        <v>9175000</v>
      </c>
      <c r="B768" s="94">
        <v>9160000</v>
      </c>
      <c r="C768" s="94">
        <v>9185000</v>
      </c>
      <c r="D768" s="94">
        <v>9175000</v>
      </c>
      <c r="E768" s="95">
        <v>42358</v>
      </c>
      <c r="F768" s="96" t="s">
        <v>1936</v>
      </c>
    </row>
    <row r="769" spans="1:6">
      <c r="A769" s="94">
        <v>9170000</v>
      </c>
      <c r="B769" s="94">
        <v>9135000</v>
      </c>
      <c r="C769" s="94">
        <v>9175000</v>
      </c>
      <c r="D769" s="94">
        <v>9170000</v>
      </c>
      <c r="E769" s="95">
        <v>42357</v>
      </c>
      <c r="F769" s="96" t="s">
        <v>1937</v>
      </c>
    </row>
    <row r="770" spans="1:6">
      <c r="A770" s="94">
        <v>9110000</v>
      </c>
      <c r="B770" s="94">
        <v>9100000</v>
      </c>
      <c r="C770" s="94">
        <v>9155000</v>
      </c>
      <c r="D770" s="94">
        <v>9110000</v>
      </c>
      <c r="E770" s="95">
        <v>42355</v>
      </c>
      <c r="F770" s="96" t="s">
        <v>1938</v>
      </c>
    </row>
    <row r="771" spans="1:6">
      <c r="A771" s="94">
        <v>9145000</v>
      </c>
      <c r="B771" s="94">
        <v>9110000</v>
      </c>
      <c r="C771" s="94">
        <v>9155000</v>
      </c>
      <c r="D771" s="94">
        <v>9145000</v>
      </c>
      <c r="E771" s="95">
        <v>42354</v>
      </c>
      <c r="F771" s="96" t="s">
        <v>1939</v>
      </c>
    </row>
    <row r="772" spans="1:6">
      <c r="A772" s="94">
        <v>9080000</v>
      </c>
      <c r="B772" s="94">
        <v>9075000</v>
      </c>
      <c r="C772" s="94">
        <v>9140000</v>
      </c>
      <c r="D772" s="94">
        <v>9080000</v>
      </c>
      <c r="E772" s="95">
        <v>42353</v>
      </c>
      <c r="F772" s="96" t="s">
        <v>1940</v>
      </c>
    </row>
    <row r="773" spans="1:6">
      <c r="A773" s="94">
        <v>9165000</v>
      </c>
      <c r="B773" s="94">
        <v>9155000</v>
      </c>
      <c r="C773" s="94">
        <v>9205000</v>
      </c>
      <c r="D773" s="94">
        <v>9165000</v>
      </c>
      <c r="E773" s="95">
        <v>42352</v>
      </c>
      <c r="F773" s="96" t="s">
        <v>1941</v>
      </c>
    </row>
    <row r="774" spans="1:6">
      <c r="A774" s="94">
        <v>9210000</v>
      </c>
      <c r="B774" s="94">
        <v>9195000</v>
      </c>
      <c r="C774" s="94">
        <v>9215000</v>
      </c>
      <c r="D774" s="94">
        <v>9210000</v>
      </c>
      <c r="E774" s="95">
        <v>42351</v>
      </c>
      <c r="F774" s="96" t="s">
        <v>1942</v>
      </c>
    </row>
    <row r="775" spans="1:6">
      <c r="A775" s="94">
        <v>9195000</v>
      </c>
      <c r="B775" s="94">
        <v>9125000</v>
      </c>
      <c r="C775" s="94">
        <v>9205000</v>
      </c>
      <c r="D775" s="94">
        <v>9195000</v>
      </c>
      <c r="E775" s="95">
        <v>42348</v>
      </c>
      <c r="F775" s="96" t="s">
        <v>1943</v>
      </c>
    </row>
    <row r="776" spans="1:6">
      <c r="A776" s="94">
        <v>9200000</v>
      </c>
      <c r="B776" s="94">
        <v>9190000</v>
      </c>
      <c r="C776" s="94">
        <v>9225000</v>
      </c>
      <c r="D776" s="94">
        <v>9200000</v>
      </c>
      <c r="E776" s="95">
        <v>42347</v>
      </c>
      <c r="F776" s="96" t="s">
        <v>1944</v>
      </c>
    </row>
    <row r="777" spans="1:6">
      <c r="A777" s="94">
        <v>9200000</v>
      </c>
      <c r="B777" s="94">
        <v>9120000</v>
      </c>
      <c r="C777" s="94">
        <v>9205000</v>
      </c>
      <c r="D777" s="94">
        <v>9200000</v>
      </c>
      <c r="E777" s="95">
        <v>42346</v>
      </c>
      <c r="F777" s="96" t="s">
        <v>1945</v>
      </c>
    </row>
    <row r="778" spans="1:6">
      <c r="A778" s="94">
        <v>9215000</v>
      </c>
      <c r="B778" s="94">
        <v>9210000</v>
      </c>
      <c r="C778" s="94">
        <v>9245000</v>
      </c>
      <c r="D778" s="94">
        <v>9215000</v>
      </c>
      <c r="E778" s="95">
        <v>42345</v>
      </c>
      <c r="F778" s="96" t="s">
        <v>1946</v>
      </c>
    </row>
    <row r="779" spans="1:6">
      <c r="A779" s="94">
        <v>9210000</v>
      </c>
      <c r="B779" s="94">
        <v>9175000</v>
      </c>
      <c r="C779" s="94">
        <v>9225000</v>
      </c>
      <c r="D779" s="94">
        <v>9210000</v>
      </c>
      <c r="E779" s="95">
        <v>42344</v>
      </c>
      <c r="F779" s="96" t="s">
        <v>1947</v>
      </c>
    </row>
    <row r="780" spans="1:6">
      <c r="A780" s="94">
        <v>9195000</v>
      </c>
      <c r="B780" s="94">
        <v>9195000</v>
      </c>
      <c r="C780" s="94">
        <v>9230000</v>
      </c>
      <c r="D780" s="94">
        <v>9195000</v>
      </c>
      <c r="E780" s="95">
        <v>42343</v>
      </c>
      <c r="F780" s="96" t="s">
        <v>1948</v>
      </c>
    </row>
    <row r="781" spans="1:6">
      <c r="A781" s="94">
        <v>9105000</v>
      </c>
      <c r="B781" s="94">
        <v>9080000</v>
      </c>
      <c r="C781" s="94">
        <v>9115000</v>
      </c>
      <c r="D781" s="94">
        <v>9105000</v>
      </c>
      <c r="E781" s="95">
        <v>42341</v>
      </c>
      <c r="F781" s="96" t="s">
        <v>1949</v>
      </c>
    </row>
    <row r="782" spans="1:6">
      <c r="A782" s="94">
        <v>9145000</v>
      </c>
      <c r="B782" s="94">
        <v>9125000</v>
      </c>
      <c r="C782" s="94">
        <v>9160000</v>
      </c>
      <c r="D782" s="94">
        <v>9145000</v>
      </c>
      <c r="E782" s="95">
        <v>42339</v>
      </c>
      <c r="F782" s="96" t="s">
        <v>1950</v>
      </c>
    </row>
    <row r="783" spans="1:6">
      <c r="A783" s="94">
        <v>9110000</v>
      </c>
      <c r="B783" s="94">
        <v>9050000</v>
      </c>
      <c r="C783" s="94">
        <v>9120000</v>
      </c>
      <c r="D783" s="94">
        <v>9110000</v>
      </c>
      <c r="E783" s="95">
        <v>42338</v>
      </c>
      <c r="F783" s="96" t="s">
        <v>1951</v>
      </c>
    </row>
    <row r="784" spans="1:6">
      <c r="A784" s="94">
        <v>9085000</v>
      </c>
      <c r="B784" s="94">
        <v>9070000</v>
      </c>
      <c r="C784" s="94">
        <v>9095000</v>
      </c>
      <c r="D784" s="94">
        <v>9085000</v>
      </c>
      <c r="E784" s="95">
        <v>42337</v>
      </c>
      <c r="F784" s="96" t="s">
        <v>1952</v>
      </c>
    </row>
    <row r="785" spans="1:6">
      <c r="A785" s="94">
        <v>9060000</v>
      </c>
      <c r="B785" s="94">
        <v>9050000</v>
      </c>
      <c r="C785" s="94">
        <v>9085000</v>
      </c>
      <c r="D785" s="94">
        <v>9060000</v>
      </c>
      <c r="E785" s="95">
        <v>42336</v>
      </c>
      <c r="F785" s="96" t="s">
        <v>1953</v>
      </c>
    </row>
    <row r="786" spans="1:6">
      <c r="A786" s="94">
        <v>9115000</v>
      </c>
      <c r="B786" s="94">
        <v>9095000</v>
      </c>
      <c r="C786" s="94">
        <v>9120000</v>
      </c>
      <c r="D786" s="94">
        <v>9115000</v>
      </c>
      <c r="E786" s="95">
        <v>42334</v>
      </c>
      <c r="F786" s="96" t="s">
        <v>1954</v>
      </c>
    </row>
    <row r="787" spans="1:6">
      <c r="A787" s="94">
        <v>9105000</v>
      </c>
      <c r="B787" s="94">
        <v>9080000</v>
      </c>
      <c r="C787" s="94">
        <v>9130000</v>
      </c>
      <c r="D787" s="94">
        <v>9105000</v>
      </c>
      <c r="E787" s="95">
        <v>42333</v>
      </c>
      <c r="F787" s="96" t="s">
        <v>1955</v>
      </c>
    </row>
    <row r="788" spans="1:6">
      <c r="A788" s="94">
        <v>9080000</v>
      </c>
      <c r="B788" s="94">
        <v>9040000</v>
      </c>
      <c r="C788" s="94">
        <v>9100000</v>
      </c>
      <c r="D788" s="94">
        <v>9080000</v>
      </c>
      <c r="E788" s="95">
        <v>42332</v>
      </c>
      <c r="F788" s="96" t="s">
        <v>1956</v>
      </c>
    </row>
    <row r="789" spans="1:6">
      <c r="A789" s="94">
        <v>9035000</v>
      </c>
      <c r="B789" s="94">
        <v>9020000</v>
      </c>
      <c r="C789" s="94">
        <v>9055000</v>
      </c>
      <c r="D789" s="94">
        <v>9035000</v>
      </c>
      <c r="E789" s="95">
        <v>42331</v>
      </c>
      <c r="F789" s="96" t="s">
        <v>1957</v>
      </c>
    </row>
    <row r="790" spans="1:6">
      <c r="A790" s="94">
        <v>9080000</v>
      </c>
      <c r="B790" s="94">
        <v>9060000</v>
      </c>
      <c r="C790" s="94">
        <v>9085000</v>
      </c>
      <c r="D790" s="94">
        <v>9080000</v>
      </c>
      <c r="E790" s="95">
        <v>42330</v>
      </c>
      <c r="F790" s="96" t="s">
        <v>1958</v>
      </c>
    </row>
    <row r="791" spans="1:6">
      <c r="A791" s="94">
        <v>9070000</v>
      </c>
      <c r="B791" s="94">
        <v>9040000</v>
      </c>
      <c r="C791" s="94">
        <v>9075000</v>
      </c>
      <c r="D791" s="94">
        <v>9070000</v>
      </c>
      <c r="E791" s="95">
        <v>42329</v>
      </c>
      <c r="F791" s="96" t="s">
        <v>1959</v>
      </c>
    </row>
    <row r="792" spans="1:6">
      <c r="A792" s="94">
        <v>9135000</v>
      </c>
      <c r="B792" s="94">
        <v>9085000</v>
      </c>
      <c r="C792" s="94">
        <v>9135000</v>
      </c>
      <c r="D792" s="94">
        <v>9135000</v>
      </c>
      <c r="E792" s="95">
        <v>42327</v>
      </c>
      <c r="F792" s="96" t="s">
        <v>1960</v>
      </c>
    </row>
    <row r="793" spans="1:6">
      <c r="A793" s="94">
        <v>9065000</v>
      </c>
      <c r="B793" s="94">
        <v>9060000</v>
      </c>
      <c r="C793" s="94">
        <v>9080000</v>
      </c>
      <c r="D793" s="94">
        <v>9065000</v>
      </c>
      <c r="E793" s="95">
        <v>42326</v>
      </c>
      <c r="F793" s="96" t="s">
        <v>1961</v>
      </c>
    </row>
    <row r="794" spans="1:6">
      <c r="A794" s="94">
        <v>9080000</v>
      </c>
      <c r="B794" s="94">
        <v>9080000</v>
      </c>
      <c r="C794" s="94">
        <v>9130000</v>
      </c>
      <c r="D794" s="94">
        <v>9080000</v>
      </c>
      <c r="E794" s="95">
        <v>42325</v>
      </c>
      <c r="F794" s="96" t="s">
        <v>1962</v>
      </c>
    </row>
    <row r="795" spans="1:6">
      <c r="A795" s="94">
        <v>9160000</v>
      </c>
      <c r="B795" s="94">
        <v>9155000</v>
      </c>
      <c r="C795" s="94">
        <v>9240000</v>
      </c>
      <c r="D795" s="94">
        <v>9160000</v>
      </c>
      <c r="E795" s="95">
        <v>42324</v>
      </c>
      <c r="F795" s="96" t="s">
        <v>1963</v>
      </c>
    </row>
    <row r="796" spans="1:6">
      <c r="A796" s="94">
        <v>9180000</v>
      </c>
      <c r="B796" s="94">
        <v>9170000</v>
      </c>
      <c r="C796" s="94">
        <v>9200000</v>
      </c>
      <c r="D796" s="94">
        <v>9180000</v>
      </c>
      <c r="E796" s="95">
        <v>42323</v>
      </c>
      <c r="F796" s="96" t="s">
        <v>1964</v>
      </c>
    </row>
    <row r="797" spans="1:6">
      <c r="A797" s="94">
        <v>9200000</v>
      </c>
      <c r="B797" s="94">
        <v>9160000</v>
      </c>
      <c r="C797" s="94">
        <v>9210000</v>
      </c>
      <c r="D797" s="94">
        <v>9200000</v>
      </c>
      <c r="E797" s="95">
        <v>42322</v>
      </c>
      <c r="F797" s="96" t="s">
        <v>1965</v>
      </c>
    </row>
    <row r="798" spans="1:6">
      <c r="A798" s="94">
        <v>9145000</v>
      </c>
      <c r="B798" s="94">
        <v>9105000</v>
      </c>
      <c r="C798" s="94">
        <v>9155000</v>
      </c>
      <c r="D798" s="94">
        <v>9145000</v>
      </c>
      <c r="E798" s="95">
        <v>42320</v>
      </c>
      <c r="F798" s="96" t="s">
        <v>1966</v>
      </c>
    </row>
    <row r="799" spans="1:6">
      <c r="A799" s="94">
        <v>9150000</v>
      </c>
      <c r="B799" s="94">
        <v>9120000</v>
      </c>
      <c r="C799" s="94">
        <v>9155000</v>
      </c>
      <c r="D799" s="94">
        <v>9150000</v>
      </c>
      <c r="E799" s="95">
        <v>42319</v>
      </c>
      <c r="F799" s="96" t="s">
        <v>1967</v>
      </c>
    </row>
    <row r="800" spans="1:6">
      <c r="A800" s="94">
        <v>9150000</v>
      </c>
      <c r="B800" s="94">
        <v>9115000</v>
      </c>
      <c r="C800" s="94">
        <v>9225000</v>
      </c>
      <c r="D800" s="94">
        <v>9150000</v>
      </c>
      <c r="E800" s="95">
        <v>42318</v>
      </c>
      <c r="F800" s="96" t="s">
        <v>1968</v>
      </c>
    </row>
    <row r="801" spans="1:6">
      <c r="A801" s="94">
        <v>9155000</v>
      </c>
      <c r="B801" s="94">
        <v>9115000</v>
      </c>
      <c r="C801" s="94">
        <v>9165000</v>
      </c>
      <c r="D801" s="94">
        <v>9155000</v>
      </c>
      <c r="E801" s="95">
        <v>42317</v>
      </c>
      <c r="F801" s="96" t="s">
        <v>1969</v>
      </c>
    </row>
    <row r="802" spans="1:6">
      <c r="A802" s="94">
        <v>9100000</v>
      </c>
      <c r="B802" s="94">
        <v>9085000</v>
      </c>
      <c r="C802" s="94">
        <v>9115000</v>
      </c>
      <c r="D802" s="94">
        <v>9100000</v>
      </c>
      <c r="E802" s="95">
        <v>42316</v>
      </c>
      <c r="F802" s="96" t="s">
        <v>1970</v>
      </c>
    </row>
    <row r="803" spans="1:6">
      <c r="A803" s="94">
        <v>9085000</v>
      </c>
      <c r="B803" s="94">
        <v>9065000</v>
      </c>
      <c r="C803" s="94">
        <v>9095000</v>
      </c>
      <c r="D803" s="94">
        <v>9085000</v>
      </c>
      <c r="E803" s="95">
        <v>42315</v>
      </c>
      <c r="F803" s="96" t="s">
        <v>1971</v>
      </c>
    </row>
    <row r="804" spans="1:6">
      <c r="A804" s="94">
        <v>9180000</v>
      </c>
      <c r="B804" s="94">
        <v>9170000</v>
      </c>
      <c r="C804" s="94">
        <v>9200000</v>
      </c>
      <c r="D804" s="94">
        <v>9180000</v>
      </c>
      <c r="E804" s="95">
        <v>42313</v>
      </c>
      <c r="F804" s="96" t="s">
        <v>1972</v>
      </c>
    </row>
    <row r="805" spans="1:6">
      <c r="A805" s="94">
        <v>9220000</v>
      </c>
      <c r="B805" s="94">
        <v>9220000</v>
      </c>
      <c r="C805" s="94">
        <v>9285000</v>
      </c>
      <c r="D805" s="94">
        <v>9220000</v>
      </c>
      <c r="E805" s="95">
        <v>42312</v>
      </c>
      <c r="F805" s="96" t="s">
        <v>1973</v>
      </c>
    </row>
    <row r="806" spans="1:6">
      <c r="A806" s="94">
        <v>9300000</v>
      </c>
      <c r="B806" s="94">
        <v>9300000</v>
      </c>
      <c r="C806" s="94">
        <v>9345000</v>
      </c>
      <c r="D806" s="94">
        <v>9300000</v>
      </c>
      <c r="E806" s="95">
        <v>42311</v>
      </c>
      <c r="F806" s="96" t="s">
        <v>1974</v>
      </c>
    </row>
    <row r="807" spans="1:6">
      <c r="A807" s="94">
        <v>9340000</v>
      </c>
      <c r="B807" s="94">
        <v>9330000</v>
      </c>
      <c r="C807" s="94">
        <v>9370000</v>
      </c>
      <c r="D807" s="94">
        <v>9340000</v>
      </c>
      <c r="E807" s="95">
        <v>42310</v>
      </c>
      <c r="F807" s="96" t="s">
        <v>1975</v>
      </c>
    </row>
    <row r="808" spans="1:6">
      <c r="A808" s="94">
        <v>9365000</v>
      </c>
      <c r="B808" s="94">
        <v>9360000</v>
      </c>
      <c r="C808" s="94">
        <v>9385000</v>
      </c>
      <c r="D808" s="94">
        <v>9365000</v>
      </c>
      <c r="E808" s="95">
        <v>42309</v>
      </c>
      <c r="F808" s="96" t="s">
        <v>1976</v>
      </c>
    </row>
    <row r="809" spans="1:6">
      <c r="A809" s="94">
        <v>9375000</v>
      </c>
      <c r="B809" s="94">
        <v>9320000</v>
      </c>
      <c r="C809" s="94">
        <v>9375000</v>
      </c>
      <c r="D809" s="94">
        <v>9375000</v>
      </c>
      <c r="E809" s="95">
        <v>42308</v>
      </c>
      <c r="F809" s="96" t="s">
        <v>1977</v>
      </c>
    </row>
    <row r="810" spans="1:6">
      <c r="A810" s="94">
        <v>9420000</v>
      </c>
      <c r="B810" s="94">
        <v>9410000</v>
      </c>
      <c r="C810" s="94">
        <v>9445000</v>
      </c>
      <c r="D810" s="94">
        <v>9420000</v>
      </c>
      <c r="E810" s="95">
        <v>42306</v>
      </c>
      <c r="F810" s="96" t="s">
        <v>1978</v>
      </c>
    </row>
    <row r="811" spans="1:6">
      <c r="A811" s="94">
        <v>9535000</v>
      </c>
      <c r="B811" s="94">
        <v>9480000</v>
      </c>
      <c r="C811" s="94">
        <v>9545000</v>
      </c>
      <c r="D811" s="94">
        <v>9535000</v>
      </c>
      <c r="E811" s="95">
        <v>42305</v>
      </c>
      <c r="F811" s="96" t="s">
        <v>1979</v>
      </c>
    </row>
    <row r="812" spans="1:6">
      <c r="A812" s="94">
        <v>9465000</v>
      </c>
      <c r="B812" s="94">
        <v>9425000</v>
      </c>
      <c r="C812" s="94">
        <v>9470000</v>
      </c>
      <c r="D812" s="94">
        <v>9465000</v>
      </c>
      <c r="E812" s="95">
        <v>42304</v>
      </c>
      <c r="F812" s="96" t="s">
        <v>1980</v>
      </c>
    </row>
    <row r="813" spans="1:6">
      <c r="A813" s="94">
        <v>9430000</v>
      </c>
      <c r="B813" s="94">
        <v>9405000</v>
      </c>
      <c r="C813" s="94">
        <v>9430000</v>
      </c>
      <c r="D813" s="94">
        <v>9430000</v>
      </c>
      <c r="E813" s="95">
        <v>42303</v>
      </c>
      <c r="F813" s="96" t="s">
        <v>1981</v>
      </c>
    </row>
    <row r="814" spans="1:6">
      <c r="A814" s="94">
        <v>9415000</v>
      </c>
      <c r="B814" s="94">
        <v>9390000</v>
      </c>
      <c r="C814" s="94">
        <v>9415000</v>
      </c>
      <c r="D814" s="94">
        <v>9415000</v>
      </c>
      <c r="E814" s="95">
        <v>42302</v>
      </c>
      <c r="F814" s="96" t="s">
        <v>1982</v>
      </c>
    </row>
    <row r="815" spans="1:6">
      <c r="A815" s="94">
        <v>9415000</v>
      </c>
      <c r="B815" s="94">
        <v>9400000</v>
      </c>
      <c r="C815" s="94">
        <v>9425000</v>
      </c>
      <c r="D815" s="94">
        <v>9415000</v>
      </c>
      <c r="E815" s="95">
        <v>42299</v>
      </c>
      <c r="F815" s="96" t="s">
        <v>1983</v>
      </c>
    </row>
    <row r="816" spans="1:6">
      <c r="A816" s="94">
        <v>9410000</v>
      </c>
      <c r="B816" s="94">
        <v>9405000</v>
      </c>
      <c r="C816" s="94">
        <v>9450000</v>
      </c>
      <c r="D816" s="94">
        <v>9410000</v>
      </c>
      <c r="E816" s="95">
        <v>42298</v>
      </c>
      <c r="F816" s="96" t="s">
        <v>1984</v>
      </c>
    </row>
    <row r="817" spans="1:6">
      <c r="A817" s="94">
        <v>9435000</v>
      </c>
      <c r="B817" s="94">
        <v>9345000</v>
      </c>
      <c r="C817" s="94">
        <v>9445000</v>
      </c>
      <c r="D817" s="94">
        <v>9435000</v>
      </c>
      <c r="E817" s="95">
        <v>42297</v>
      </c>
      <c r="F817" s="96" t="s">
        <v>1985</v>
      </c>
    </row>
    <row r="818" spans="1:6">
      <c r="A818" s="94">
        <v>9395000</v>
      </c>
      <c r="B818" s="94">
        <v>9375000</v>
      </c>
      <c r="C818" s="94">
        <v>9470000</v>
      </c>
      <c r="D818" s="94">
        <v>9395000</v>
      </c>
      <c r="E818" s="95">
        <v>42296</v>
      </c>
      <c r="F818" s="96" t="s">
        <v>1986</v>
      </c>
    </row>
    <row r="819" spans="1:6">
      <c r="A819" s="94">
        <v>9485000</v>
      </c>
      <c r="B819" s="94">
        <v>9470000</v>
      </c>
      <c r="C819" s="94">
        <v>9510000</v>
      </c>
      <c r="D819" s="94">
        <v>9485000</v>
      </c>
      <c r="E819" s="95">
        <v>42295</v>
      </c>
      <c r="F819" s="96" t="s">
        <v>1987</v>
      </c>
    </row>
    <row r="820" spans="1:6">
      <c r="A820" s="94">
        <v>9490000</v>
      </c>
      <c r="B820" s="94">
        <v>9480000</v>
      </c>
      <c r="C820" s="94">
        <v>9530000</v>
      </c>
      <c r="D820" s="94">
        <v>9490000</v>
      </c>
      <c r="E820" s="95">
        <v>42294</v>
      </c>
      <c r="F820" s="96" t="s">
        <v>1988</v>
      </c>
    </row>
    <row r="821" spans="1:6">
      <c r="A821" s="94">
        <v>9565000</v>
      </c>
      <c r="B821" s="94">
        <v>9535000</v>
      </c>
      <c r="C821" s="94">
        <v>9580000</v>
      </c>
      <c r="D821" s="94">
        <v>9565000</v>
      </c>
      <c r="E821" s="95">
        <v>42292</v>
      </c>
      <c r="F821" s="96" t="s">
        <v>1989</v>
      </c>
    </row>
    <row r="822" spans="1:6">
      <c r="A822" s="94">
        <v>9500000</v>
      </c>
      <c r="B822" s="94">
        <v>9445000</v>
      </c>
      <c r="C822" s="94">
        <v>9520000</v>
      </c>
      <c r="D822" s="94">
        <v>9500000</v>
      </c>
      <c r="E822" s="95">
        <v>42291</v>
      </c>
      <c r="F822" s="96" t="s">
        <v>1990</v>
      </c>
    </row>
    <row r="823" spans="1:6">
      <c r="A823" s="94">
        <v>9400000</v>
      </c>
      <c r="B823" s="94">
        <v>9350000</v>
      </c>
      <c r="C823" s="94">
        <v>9405000</v>
      </c>
      <c r="D823" s="94">
        <v>9400000</v>
      </c>
      <c r="E823" s="95">
        <v>42290</v>
      </c>
      <c r="F823" s="96" t="s">
        <v>1991</v>
      </c>
    </row>
    <row r="824" spans="1:6">
      <c r="A824" s="94">
        <v>9415000</v>
      </c>
      <c r="B824" s="94">
        <v>9405000</v>
      </c>
      <c r="C824" s="94">
        <v>9480000</v>
      </c>
      <c r="D824" s="94">
        <v>9415000</v>
      </c>
      <c r="E824" s="95">
        <v>42289</v>
      </c>
      <c r="F824" s="96" t="s">
        <v>1992</v>
      </c>
    </row>
    <row r="825" spans="1:6">
      <c r="A825" s="94">
        <v>9425000</v>
      </c>
      <c r="B825" s="94">
        <v>9385000</v>
      </c>
      <c r="C825" s="94">
        <v>9430000</v>
      </c>
      <c r="D825" s="94">
        <v>9425000</v>
      </c>
      <c r="E825" s="95">
        <v>42288</v>
      </c>
      <c r="F825" s="96" t="s">
        <v>1993</v>
      </c>
    </row>
    <row r="826" spans="1:6">
      <c r="A826" s="94">
        <v>9390000</v>
      </c>
      <c r="B826" s="94">
        <v>9385000</v>
      </c>
      <c r="C826" s="94">
        <v>9425000</v>
      </c>
      <c r="D826" s="94">
        <v>9390000</v>
      </c>
      <c r="E826" s="95">
        <v>42287</v>
      </c>
      <c r="F826" s="96" t="s">
        <v>1994</v>
      </c>
    </row>
    <row r="827" spans="1:6">
      <c r="A827" s="94">
        <v>9340000</v>
      </c>
      <c r="B827" s="94">
        <v>9325000</v>
      </c>
      <c r="C827" s="94">
        <v>9350000</v>
      </c>
      <c r="D827" s="94">
        <v>9340000</v>
      </c>
      <c r="E827" s="95">
        <v>42285</v>
      </c>
      <c r="F827" s="96" t="s">
        <v>1995</v>
      </c>
    </row>
    <row r="828" spans="1:6">
      <c r="A828" s="94">
        <v>9345000</v>
      </c>
      <c r="B828" s="94">
        <v>9305000</v>
      </c>
      <c r="C828" s="94">
        <v>9365000</v>
      </c>
      <c r="D828" s="94">
        <v>9345000</v>
      </c>
      <c r="E828" s="95">
        <v>42284</v>
      </c>
      <c r="F828" s="96" t="s">
        <v>1996</v>
      </c>
    </row>
    <row r="829" spans="1:6">
      <c r="A829" s="94">
        <v>9285000</v>
      </c>
      <c r="B829" s="94">
        <v>9235000</v>
      </c>
      <c r="C829" s="94">
        <v>9290000</v>
      </c>
      <c r="D829" s="94">
        <v>9285000</v>
      </c>
      <c r="E829" s="95">
        <v>42283</v>
      </c>
      <c r="F829" s="96" t="s">
        <v>1997</v>
      </c>
    </row>
    <row r="830" spans="1:6">
      <c r="A830" s="94">
        <v>9230000</v>
      </c>
      <c r="B830" s="94">
        <v>9205000</v>
      </c>
      <c r="C830" s="94">
        <v>9235000</v>
      </c>
      <c r="D830" s="94">
        <v>9230000</v>
      </c>
      <c r="E830" s="95">
        <v>42282</v>
      </c>
      <c r="F830" s="96" t="s">
        <v>1998</v>
      </c>
    </row>
    <row r="831" spans="1:6">
      <c r="A831" s="94">
        <v>9215000</v>
      </c>
      <c r="B831" s="94">
        <v>9200000</v>
      </c>
      <c r="C831" s="94">
        <v>9220000</v>
      </c>
      <c r="D831" s="94">
        <v>9215000</v>
      </c>
      <c r="E831" s="95">
        <v>42281</v>
      </c>
      <c r="F831" s="96" t="s">
        <v>1999</v>
      </c>
    </row>
    <row r="832" spans="1:6">
      <c r="A832" s="94">
        <v>9220000</v>
      </c>
      <c r="B832" s="94">
        <v>9220000</v>
      </c>
      <c r="C832" s="94">
        <v>9260000</v>
      </c>
      <c r="D832" s="94">
        <v>9220000</v>
      </c>
      <c r="E832" s="95">
        <v>42280</v>
      </c>
      <c r="F832" s="96" t="s">
        <v>2000</v>
      </c>
    </row>
    <row r="833" spans="1:6">
      <c r="A833" s="94">
        <v>9145000</v>
      </c>
      <c r="B833" s="94">
        <v>9140000</v>
      </c>
      <c r="C833" s="94">
        <v>9155000</v>
      </c>
      <c r="D833" s="94">
        <v>9145000</v>
      </c>
      <c r="E833" s="95">
        <v>42278</v>
      </c>
      <c r="F833" s="96" t="s">
        <v>2001</v>
      </c>
    </row>
    <row r="834" spans="1:6">
      <c r="A834" s="94">
        <v>9160000</v>
      </c>
      <c r="B834" s="94">
        <v>9160000</v>
      </c>
      <c r="C834" s="94">
        <v>9220000</v>
      </c>
      <c r="D834" s="94">
        <v>9160000</v>
      </c>
      <c r="E834" s="95">
        <v>42277</v>
      </c>
      <c r="F834" s="96" t="s">
        <v>2002</v>
      </c>
    </row>
    <row r="835" spans="1:6">
      <c r="A835" s="94">
        <v>9220000</v>
      </c>
      <c r="B835" s="94">
        <v>9160000</v>
      </c>
      <c r="C835" s="94">
        <v>9235000</v>
      </c>
      <c r="D835" s="94">
        <v>9220000</v>
      </c>
      <c r="E835" s="95">
        <v>42276</v>
      </c>
      <c r="F835" s="96" t="s">
        <v>2003</v>
      </c>
    </row>
    <row r="836" spans="1:6">
      <c r="A836" s="94">
        <v>9185000</v>
      </c>
      <c r="B836" s="94">
        <v>9170000</v>
      </c>
      <c r="C836" s="94">
        <v>9210000</v>
      </c>
      <c r="D836" s="94">
        <v>9185000</v>
      </c>
      <c r="E836" s="95">
        <v>42275</v>
      </c>
      <c r="F836" s="96" t="s">
        <v>2004</v>
      </c>
    </row>
    <row r="837" spans="1:6">
      <c r="A837" s="94">
        <v>9220000</v>
      </c>
      <c r="B837" s="94">
        <v>9210000</v>
      </c>
      <c r="C837" s="94">
        <v>9235000</v>
      </c>
      <c r="D837" s="94">
        <v>9220000</v>
      </c>
      <c r="E837" s="95">
        <v>42274</v>
      </c>
      <c r="F837" s="96" t="s">
        <v>2005</v>
      </c>
    </row>
    <row r="838" spans="1:6">
      <c r="A838" s="94">
        <v>9220000</v>
      </c>
      <c r="B838" s="94">
        <v>9160000</v>
      </c>
      <c r="C838" s="94">
        <v>9220000</v>
      </c>
      <c r="D838" s="94">
        <v>9220000</v>
      </c>
      <c r="E838" s="95">
        <v>42273</v>
      </c>
      <c r="F838" s="96" t="s">
        <v>2006</v>
      </c>
    </row>
    <row r="839" spans="1:6">
      <c r="A839" s="94">
        <v>9200000</v>
      </c>
      <c r="B839" s="94">
        <v>9100000</v>
      </c>
      <c r="C839" s="94">
        <v>9205000</v>
      </c>
      <c r="D839" s="94">
        <v>9200000</v>
      </c>
      <c r="E839" s="95">
        <v>42271</v>
      </c>
      <c r="F839" s="96" t="s">
        <v>2007</v>
      </c>
    </row>
    <row r="840" spans="1:6">
      <c r="A840" s="94">
        <v>9080000</v>
      </c>
      <c r="B840" s="94">
        <v>9080000</v>
      </c>
      <c r="C840" s="94">
        <v>9180000</v>
      </c>
      <c r="D840" s="94">
        <v>9080000</v>
      </c>
      <c r="E840" s="95">
        <v>42269</v>
      </c>
      <c r="F840" s="96" t="s">
        <v>2008</v>
      </c>
    </row>
    <row r="841" spans="1:6">
      <c r="A841" s="94">
        <v>9100000</v>
      </c>
      <c r="B841" s="94">
        <v>9075000</v>
      </c>
      <c r="C841" s="94">
        <v>9115000</v>
      </c>
      <c r="D841" s="94">
        <v>9100000</v>
      </c>
      <c r="E841" s="95">
        <v>42270</v>
      </c>
      <c r="F841" s="96" t="s">
        <v>2009</v>
      </c>
    </row>
    <row r="842" spans="1:6">
      <c r="A842" s="94">
        <v>9155000</v>
      </c>
      <c r="B842" s="94">
        <v>9150000</v>
      </c>
      <c r="C842" s="94">
        <v>9170000</v>
      </c>
      <c r="D842" s="94">
        <v>9155000</v>
      </c>
      <c r="E842" s="95">
        <v>42268</v>
      </c>
      <c r="F842" s="96" t="s">
        <v>2010</v>
      </c>
    </row>
    <row r="843" spans="1:6">
      <c r="A843" s="94">
        <v>9165000</v>
      </c>
      <c r="B843" s="94">
        <v>9165000</v>
      </c>
      <c r="C843" s="94">
        <v>9190000</v>
      </c>
      <c r="D843" s="94">
        <v>9165000</v>
      </c>
      <c r="E843" s="95">
        <v>42267</v>
      </c>
      <c r="F843" s="96" t="s">
        <v>2011</v>
      </c>
    </row>
    <row r="844" spans="1:6">
      <c r="A844" s="94">
        <v>9180000</v>
      </c>
      <c r="B844" s="94">
        <v>9160000</v>
      </c>
      <c r="C844" s="94">
        <v>9185000</v>
      </c>
      <c r="D844" s="94">
        <v>9180000</v>
      </c>
      <c r="E844" s="95">
        <v>42266</v>
      </c>
      <c r="F844" s="96" t="s">
        <v>2012</v>
      </c>
    </row>
    <row r="845" spans="1:6">
      <c r="A845" s="94">
        <v>9100000</v>
      </c>
      <c r="B845" s="94">
        <v>9080000</v>
      </c>
      <c r="C845" s="94">
        <v>9100000</v>
      </c>
      <c r="D845" s="94">
        <v>9100000</v>
      </c>
      <c r="E845" s="95">
        <v>42264</v>
      </c>
      <c r="F845" s="96" t="s">
        <v>2013</v>
      </c>
    </row>
    <row r="846" spans="1:6">
      <c r="A846" s="94">
        <v>9115000</v>
      </c>
      <c r="B846" s="94">
        <v>9070000</v>
      </c>
      <c r="C846" s="94">
        <v>9115000</v>
      </c>
      <c r="D846" s="94">
        <v>9115000</v>
      </c>
      <c r="E846" s="95">
        <v>42263</v>
      </c>
      <c r="F846" s="96" t="s">
        <v>2014</v>
      </c>
    </row>
    <row r="847" spans="1:6">
      <c r="A847" s="94">
        <v>9095000</v>
      </c>
      <c r="B847" s="94">
        <v>9085000</v>
      </c>
      <c r="C847" s="94">
        <v>9125000</v>
      </c>
      <c r="D847" s="94">
        <v>9095000</v>
      </c>
      <c r="E847" s="95">
        <v>42262</v>
      </c>
      <c r="F847" s="96" t="s">
        <v>2015</v>
      </c>
    </row>
    <row r="848" spans="1:6">
      <c r="A848" s="94">
        <v>9115000</v>
      </c>
      <c r="B848" s="94">
        <v>9095000</v>
      </c>
      <c r="C848" s="94">
        <v>9130000</v>
      </c>
      <c r="D848" s="94">
        <v>9115000</v>
      </c>
      <c r="E848" s="95">
        <v>42261</v>
      </c>
      <c r="F848" s="96" t="s">
        <v>2016</v>
      </c>
    </row>
    <row r="849" spans="1:6">
      <c r="A849" s="94">
        <v>9115000</v>
      </c>
      <c r="B849" s="94">
        <v>9105000</v>
      </c>
      <c r="C849" s="94">
        <v>9130000</v>
      </c>
      <c r="D849" s="94">
        <v>9115000</v>
      </c>
      <c r="E849" s="95">
        <v>42260</v>
      </c>
      <c r="F849" s="96" t="s">
        <v>2017</v>
      </c>
    </row>
    <row r="850" spans="1:6">
      <c r="A850" s="94">
        <v>9110000</v>
      </c>
      <c r="B850" s="94">
        <v>9090000</v>
      </c>
      <c r="C850" s="94">
        <v>9125000</v>
      </c>
      <c r="D850" s="94">
        <v>9110000</v>
      </c>
      <c r="E850" s="95">
        <v>42259</v>
      </c>
      <c r="F850" s="96" t="s">
        <v>2018</v>
      </c>
    </row>
    <row r="851" spans="1:6">
      <c r="A851" s="94">
        <v>9120000</v>
      </c>
      <c r="B851" s="94">
        <v>9100000</v>
      </c>
      <c r="C851" s="94">
        <v>9130000</v>
      </c>
      <c r="D851" s="94">
        <v>9120000</v>
      </c>
      <c r="E851" s="95">
        <v>42257</v>
      </c>
      <c r="F851" s="96" t="s">
        <v>2019</v>
      </c>
    </row>
    <row r="852" spans="1:6">
      <c r="A852" s="94">
        <v>9145000</v>
      </c>
      <c r="B852" s="94">
        <v>9135000</v>
      </c>
      <c r="C852" s="94">
        <v>9180000</v>
      </c>
      <c r="D852" s="94">
        <v>9145000</v>
      </c>
      <c r="E852" s="95">
        <v>42256</v>
      </c>
      <c r="F852" s="96" t="s">
        <v>2020</v>
      </c>
    </row>
    <row r="853" spans="1:6">
      <c r="A853" s="94">
        <v>9195000</v>
      </c>
      <c r="B853" s="94">
        <v>9145000</v>
      </c>
      <c r="C853" s="94">
        <v>9195000</v>
      </c>
      <c r="D853" s="94">
        <v>9195000</v>
      </c>
      <c r="E853" s="95">
        <v>42255</v>
      </c>
      <c r="F853" s="96" t="s">
        <v>2021</v>
      </c>
    </row>
    <row r="854" spans="1:6">
      <c r="A854" s="94">
        <v>9150000</v>
      </c>
      <c r="B854" s="94">
        <v>9145000</v>
      </c>
      <c r="C854" s="94">
        <v>9215000</v>
      </c>
      <c r="D854" s="94">
        <v>9150000</v>
      </c>
      <c r="E854" s="95">
        <v>42254</v>
      </c>
      <c r="F854" s="96" t="s">
        <v>2022</v>
      </c>
    </row>
    <row r="855" spans="1:6">
      <c r="A855" s="94">
        <v>9205000</v>
      </c>
      <c r="B855" s="94">
        <v>9125000</v>
      </c>
      <c r="C855" s="94">
        <v>9230000</v>
      </c>
      <c r="D855" s="94">
        <v>9205000</v>
      </c>
      <c r="E855" s="95">
        <v>42253</v>
      </c>
      <c r="F855" s="96" t="s">
        <v>2023</v>
      </c>
    </row>
    <row r="856" spans="1:6">
      <c r="A856" s="94">
        <v>9200000</v>
      </c>
      <c r="B856" s="94">
        <v>9150000</v>
      </c>
      <c r="C856" s="94">
        <v>9205000</v>
      </c>
      <c r="D856" s="94">
        <v>9200000</v>
      </c>
      <c r="E856" s="95">
        <v>42252</v>
      </c>
      <c r="F856" s="96" t="s">
        <v>2024</v>
      </c>
    </row>
    <row r="857" spans="1:6">
      <c r="A857" s="94">
        <v>9165000</v>
      </c>
      <c r="B857" s="94">
        <v>9155000</v>
      </c>
      <c r="C857" s="94">
        <v>9180000</v>
      </c>
      <c r="D857" s="94">
        <v>9165000</v>
      </c>
      <c r="E857" s="95">
        <v>42250</v>
      </c>
      <c r="F857" s="96" t="s">
        <v>2025</v>
      </c>
    </row>
    <row r="858" spans="1:6">
      <c r="A858" s="94">
        <v>9185000</v>
      </c>
      <c r="B858" s="94">
        <v>9180000</v>
      </c>
      <c r="C858" s="94">
        <v>9260000</v>
      </c>
      <c r="D858" s="94">
        <v>9185000</v>
      </c>
      <c r="E858" s="95">
        <v>42249</v>
      </c>
      <c r="F858" s="96" t="s">
        <v>2026</v>
      </c>
    </row>
    <row r="859" spans="1:6">
      <c r="A859" s="94">
        <v>9275000</v>
      </c>
      <c r="B859" s="94">
        <v>9225000</v>
      </c>
      <c r="C859" s="94">
        <v>9275000</v>
      </c>
      <c r="D859" s="94">
        <v>9275000</v>
      </c>
      <c r="E859" s="95">
        <v>42248</v>
      </c>
      <c r="F859" s="96" t="s">
        <v>2027</v>
      </c>
    </row>
    <row r="860" spans="1:6">
      <c r="A860" s="94">
        <v>9200000</v>
      </c>
      <c r="B860" s="94">
        <v>9185000</v>
      </c>
      <c r="C860" s="94">
        <v>9225000</v>
      </c>
      <c r="D860" s="94">
        <v>9200000</v>
      </c>
      <c r="E860" s="95">
        <v>42247</v>
      </c>
      <c r="F860" s="96" t="s">
        <v>2028</v>
      </c>
    </row>
    <row r="861" spans="1:6">
      <c r="A861" s="94">
        <v>9190000</v>
      </c>
      <c r="B861" s="94">
        <v>9090000</v>
      </c>
      <c r="C861" s="94">
        <v>9190000</v>
      </c>
      <c r="D861" s="94">
        <v>9190000</v>
      </c>
      <c r="E861" s="95">
        <v>42246</v>
      </c>
      <c r="F861" s="96" t="s">
        <v>2029</v>
      </c>
    </row>
    <row r="862" spans="1:6">
      <c r="A862" s="94">
        <v>9085000</v>
      </c>
      <c r="B862" s="94">
        <v>9075000</v>
      </c>
      <c r="C862" s="94">
        <v>9140000</v>
      </c>
      <c r="D862" s="94">
        <v>9085000</v>
      </c>
      <c r="E862" s="95">
        <v>42245</v>
      </c>
      <c r="F862" s="96" t="s">
        <v>2030</v>
      </c>
    </row>
    <row r="863" spans="1:6">
      <c r="A863" s="94">
        <v>9110000</v>
      </c>
      <c r="B863" s="94">
        <v>9090000</v>
      </c>
      <c r="C863" s="94">
        <v>9165000</v>
      </c>
      <c r="D863" s="94">
        <v>9110000</v>
      </c>
      <c r="E863" s="95">
        <v>42243</v>
      </c>
      <c r="F863" s="96" t="s">
        <v>2031</v>
      </c>
    </row>
    <row r="864" spans="1:6">
      <c r="A864" s="94">
        <v>9160000</v>
      </c>
      <c r="B864" s="94">
        <v>9130000</v>
      </c>
      <c r="C864" s="94">
        <v>9285000</v>
      </c>
      <c r="D864" s="94">
        <v>9160000</v>
      </c>
      <c r="E864" s="95">
        <v>42242</v>
      </c>
      <c r="F864" s="96" t="s">
        <v>2032</v>
      </c>
    </row>
    <row r="865" spans="1:6">
      <c r="A865" s="94">
        <v>9255000</v>
      </c>
      <c r="B865" s="94">
        <v>9245000</v>
      </c>
      <c r="C865" s="94">
        <v>9300000</v>
      </c>
      <c r="D865" s="94">
        <v>9255000</v>
      </c>
      <c r="E865" s="95">
        <v>42241</v>
      </c>
      <c r="F865" s="96" t="s">
        <v>2033</v>
      </c>
    </row>
    <row r="866" spans="1:6">
      <c r="A866" s="94">
        <v>9355000</v>
      </c>
      <c r="B866" s="94">
        <v>9295000</v>
      </c>
      <c r="C866" s="94">
        <v>9370000</v>
      </c>
      <c r="D866" s="94">
        <v>9355000</v>
      </c>
      <c r="E866" s="95">
        <v>42240</v>
      </c>
      <c r="F866" s="96" t="s">
        <v>2034</v>
      </c>
    </row>
    <row r="867" spans="1:6">
      <c r="A867" s="94">
        <v>9380000</v>
      </c>
      <c r="B867" s="94">
        <v>9330000</v>
      </c>
      <c r="C867" s="94">
        <v>9505000</v>
      </c>
      <c r="D867" s="94">
        <v>9380000</v>
      </c>
      <c r="E867" s="95">
        <v>42239</v>
      </c>
      <c r="F867" s="96" t="s">
        <v>2035</v>
      </c>
    </row>
    <row r="868" spans="1:6">
      <c r="A868" s="94">
        <v>9410000</v>
      </c>
      <c r="B868" s="94">
        <v>9225000</v>
      </c>
      <c r="C868" s="94">
        <v>9410000</v>
      </c>
      <c r="D868" s="94">
        <v>9410000</v>
      </c>
      <c r="E868" s="95">
        <v>42238</v>
      </c>
      <c r="F868" s="96" t="s">
        <v>2036</v>
      </c>
    </row>
    <row r="869" spans="1:6">
      <c r="A869" s="94">
        <v>9095000</v>
      </c>
      <c r="B869" s="94">
        <v>9050000</v>
      </c>
      <c r="C869" s="94">
        <v>9105000</v>
      </c>
      <c r="D869" s="94">
        <v>9095000</v>
      </c>
      <c r="E869" s="95">
        <v>42236</v>
      </c>
      <c r="F869" s="96" t="s">
        <v>2037</v>
      </c>
    </row>
    <row r="870" spans="1:6">
      <c r="A870" s="94">
        <v>9000000</v>
      </c>
      <c r="B870" s="94">
        <v>8940000</v>
      </c>
      <c r="C870" s="94">
        <v>9015000</v>
      </c>
      <c r="D870" s="94">
        <v>9000000</v>
      </c>
      <c r="E870" s="95">
        <v>42235</v>
      </c>
      <c r="F870" s="96" t="s">
        <v>2038</v>
      </c>
    </row>
    <row r="871" spans="1:6">
      <c r="A871" s="94">
        <v>8930000</v>
      </c>
      <c r="B871" s="94">
        <v>8925000</v>
      </c>
      <c r="C871" s="94">
        <v>8970000</v>
      </c>
      <c r="D871" s="94">
        <v>8930000</v>
      </c>
      <c r="E871" s="95">
        <v>42234</v>
      </c>
      <c r="F871" s="96" t="s">
        <v>2039</v>
      </c>
    </row>
    <row r="872" spans="1:6">
      <c r="A872" s="94">
        <v>8935000</v>
      </c>
      <c r="B872" s="94">
        <v>8910000</v>
      </c>
      <c r="C872" s="94">
        <v>8940000</v>
      </c>
      <c r="D872" s="94">
        <v>8935000</v>
      </c>
      <c r="E872" s="95">
        <v>42233</v>
      </c>
      <c r="F872" s="96" t="s">
        <v>2040</v>
      </c>
    </row>
    <row r="873" spans="1:6">
      <c r="A873" s="94">
        <v>8910000</v>
      </c>
      <c r="B873" s="94">
        <v>8860000</v>
      </c>
      <c r="C873" s="94">
        <v>8910000</v>
      </c>
      <c r="D873" s="94">
        <v>8910000</v>
      </c>
      <c r="E873" s="95">
        <v>42232</v>
      </c>
      <c r="F873" s="96" t="s">
        <v>2041</v>
      </c>
    </row>
    <row r="874" spans="1:6">
      <c r="A874" s="94">
        <v>8875000</v>
      </c>
      <c r="B874" s="94">
        <v>8860000</v>
      </c>
      <c r="C874" s="94">
        <v>8890000</v>
      </c>
      <c r="D874" s="94">
        <v>8875000</v>
      </c>
      <c r="E874" s="95">
        <v>42231</v>
      </c>
      <c r="F874" s="96" t="s">
        <v>2042</v>
      </c>
    </row>
    <row r="875" spans="1:6">
      <c r="A875" s="94">
        <v>8860000</v>
      </c>
      <c r="B875" s="94">
        <v>8860000</v>
      </c>
      <c r="C875" s="94">
        <v>8930000</v>
      </c>
      <c r="D875" s="94">
        <v>8860000</v>
      </c>
      <c r="E875" s="95">
        <v>42229</v>
      </c>
      <c r="F875" s="96" t="s">
        <v>2043</v>
      </c>
    </row>
    <row r="876" spans="1:6">
      <c r="A876" s="94">
        <v>8925000</v>
      </c>
      <c r="B876" s="94">
        <v>8845000</v>
      </c>
      <c r="C876" s="94">
        <v>8925000</v>
      </c>
      <c r="D876" s="94">
        <v>8925000</v>
      </c>
      <c r="E876" s="95">
        <v>42228</v>
      </c>
      <c r="F876" s="96" t="s">
        <v>2044</v>
      </c>
    </row>
    <row r="877" spans="1:6">
      <c r="A877" s="94">
        <v>8810000</v>
      </c>
      <c r="B877" s="94">
        <v>8745000</v>
      </c>
      <c r="C877" s="94">
        <v>8810000</v>
      </c>
      <c r="D877" s="94">
        <v>8810000</v>
      </c>
      <c r="E877" s="95">
        <v>42226</v>
      </c>
      <c r="F877" s="96" t="s">
        <v>2045</v>
      </c>
    </row>
    <row r="878" spans="1:6">
      <c r="A878" s="94">
        <v>8755000</v>
      </c>
      <c r="B878" s="94">
        <v>8755000</v>
      </c>
      <c r="C878" s="94">
        <v>8790000</v>
      </c>
      <c r="D878" s="94">
        <v>8755000</v>
      </c>
      <c r="E878" s="95">
        <v>42225</v>
      </c>
      <c r="F878" s="96" t="s">
        <v>2046</v>
      </c>
    </row>
    <row r="879" spans="1:6">
      <c r="A879" s="94">
        <v>8780000</v>
      </c>
      <c r="B879" s="94">
        <v>8735000</v>
      </c>
      <c r="C879" s="94">
        <v>8795000</v>
      </c>
      <c r="D879" s="94">
        <v>8780000</v>
      </c>
      <c r="E879" s="95">
        <v>42224</v>
      </c>
      <c r="F879" s="96" t="s">
        <v>2047</v>
      </c>
    </row>
    <row r="880" spans="1:6">
      <c r="A880" s="94">
        <v>8703000</v>
      </c>
      <c r="B880" s="94">
        <v>8690000</v>
      </c>
      <c r="C880" s="94">
        <v>8715000</v>
      </c>
      <c r="D880" s="94">
        <v>8703000</v>
      </c>
      <c r="E880" s="95">
        <v>42222</v>
      </c>
      <c r="F880" s="96" t="s">
        <v>2048</v>
      </c>
    </row>
    <row r="881" spans="1:6">
      <c r="A881" s="94">
        <v>8710000</v>
      </c>
      <c r="B881" s="94">
        <v>8705000</v>
      </c>
      <c r="C881" s="94">
        <v>8730000</v>
      </c>
      <c r="D881" s="94">
        <v>8710000</v>
      </c>
      <c r="E881" s="95">
        <v>42221</v>
      </c>
      <c r="F881" s="96" t="s">
        <v>2049</v>
      </c>
    </row>
    <row r="882" spans="1:6">
      <c r="A882" s="94">
        <v>8740000</v>
      </c>
      <c r="B882" s="94">
        <v>8725000</v>
      </c>
      <c r="C882" s="94">
        <v>8755000</v>
      </c>
      <c r="D882" s="94">
        <v>8740000</v>
      </c>
      <c r="E882" s="95">
        <v>42220</v>
      </c>
      <c r="F882" s="96" t="s">
        <v>2050</v>
      </c>
    </row>
    <row r="883" spans="1:6">
      <c r="A883" s="94">
        <v>8750000</v>
      </c>
      <c r="B883" s="94">
        <v>8740000</v>
      </c>
      <c r="C883" s="94">
        <v>8775000</v>
      </c>
      <c r="D883" s="94">
        <v>8750000</v>
      </c>
      <c r="E883" s="95">
        <v>42219</v>
      </c>
      <c r="F883" s="96" t="s">
        <v>2051</v>
      </c>
    </row>
    <row r="884" spans="1:6">
      <c r="A884" s="94">
        <v>8785000</v>
      </c>
      <c r="B884" s="94">
        <v>8775000</v>
      </c>
      <c r="C884" s="94">
        <v>8815000</v>
      </c>
      <c r="D884" s="94">
        <v>8785000</v>
      </c>
      <c r="E884" s="95">
        <v>42218</v>
      </c>
      <c r="F884" s="96" t="s">
        <v>2052</v>
      </c>
    </row>
    <row r="885" spans="1:6">
      <c r="A885" s="94">
        <v>8788000</v>
      </c>
      <c r="B885" s="94">
        <v>8745000</v>
      </c>
      <c r="C885" s="94">
        <v>8790000</v>
      </c>
      <c r="D885" s="94">
        <v>8788000</v>
      </c>
      <c r="E885" s="95">
        <v>42217</v>
      </c>
      <c r="F885" s="96" t="s">
        <v>2053</v>
      </c>
    </row>
    <row r="886" spans="1:6">
      <c r="A886" s="94">
        <v>8730000</v>
      </c>
      <c r="B886" s="94">
        <v>8670000</v>
      </c>
      <c r="C886" s="94">
        <v>8735000</v>
      </c>
      <c r="D886" s="94">
        <v>8730000</v>
      </c>
      <c r="E886" s="95">
        <v>42215</v>
      </c>
      <c r="F886" s="96" t="s">
        <v>2054</v>
      </c>
    </row>
    <row r="887" spans="1:6">
      <c r="A887" s="94">
        <v>8770000</v>
      </c>
      <c r="B887" s="94">
        <v>8765000</v>
      </c>
      <c r="C887" s="94">
        <v>8825000</v>
      </c>
      <c r="D887" s="94">
        <v>8770000</v>
      </c>
      <c r="E887" s="95">
        <v>42214</v>
      </c>
      <c r="F887" s="96" t="s">
        <v>2055</v>
      </c>
    </row>
    <row r="888" spans="1:6">
      <c r="A888" s="94">
        <v>8800000</v>
      </c>
      <c r="B888" s="94">
        <v>8745000</v>
      </c>
      <c r="C888" s="94">
        <v>8805000</v>
      </c>
      <c r="D888" s="94">
        <v>8800000</v>
      </c>
      <c r="E888" s="95">
        <v>42213</v>
      </c>
      <c r="F888" s="96" t="s">
        <v>2056</v>
      </c>
    </row>
    <row r="889" spans="1:6">
      <c r="A889" s="94">
        <v>8764000</v>
      </c>
      <c r="B889" s="94">
        <v>8725000</v>
      </c>
      <c r="C889" s="94">
        <v>8775000</v>
      </c>
      <c r="D889" s="94">
        <v>8764000</v>
      </c>
      <c r="E889" s="95">
        <v>42212</v>
      </c>
      <c r="F889" s="96" t="s">
        <v>2057</v>
      </c>
    </row>
    <row r="890" spans="1:6">
      <c r="A890" s="94">
        <v>8730000</v>
      </c>
      <c r="B890" s="94">
        <v>8725000</v>
      </c>
      <c r="C890" s="94">
        <v>8830000</v>
      </c>
      <c r="D890" s="94">
        <v>8730000</v>
      </c>
      <c r="E890" s="95">
        <v>42211</v>
      </c>
      <c r="F890" s="96" t="s">
        <v>2058</v>
      </c>
    </row>
    <row r="891" spans="1:6">
      <c r="A891" s="94">
        <v>8735000</v>
      </c>
      <c r="B891" s="94">
        <v>8650000</v>
      </c>
      <c r="C891" s="94">
        <v>8755000</v>
      </c>
      <c r="D891" s="94">
        <v>8735000</v>
      </c>
      <c r="E891" s="95">
        <v>42210</v>
      </c>
      <c r="F891" s="96" t="s">
        <v>2059</v>
      </c>
    </row>
    <row r="892" spans="1:6">
      <c r="A892" s="94">
        <v>8610000</v>
      </c>
      <c r="B892" s="94">
        <v>8570000</v>
      </c>
      <c r="C892" s="94">
        <v>8645000</v>
      </c>
      <c r="D892" s="94">
        <v>8610000</v>
      </c>
      <c r="E892" s="95">
        <v>42207</v>
      </c>
      <c r="F892" s="96" t="s">
        <v>2060</v>
      </c>
    </row>
    <row r="893" spans="1:6">
      <c r="A893" s="94">
        <v>8645000</v>
      </c>
      <c r="B893" s="94">
        <v>8630000</v>
      </c>
      <c r="C893" s="94">
        <v>8670000</v>
      </c>
      <c r="D893" s="94">
        <v>8645000</v>
      </c>
      <c r="E893" s="95">
        <v>42208</v>
      </c>
      <c r="F893" s="96" t="s">
        <v>2061</v>
      </c>
    </row>
    <row r="894" spans="1:6">
      <c r="A894" s="94">
        <v>8675000</v>
      </c>
      <c r="B894" s="94">
        <v>8545000</v>
      </c>
      <c r="C894" s="94">
        <v>8675000</v>
      </c>
      <c r="D894" s="94">
        <v>8675000</v>
      </c>
      <c r="E894" s="95">
        <v>42206</v>
      </c>
      <c r="F894" s="96" t="s">
        <v>2062</v>
      </c>
    </row>
    <row r="895" spans="1:6">
      <c r="A895" s="94">
        <v>8560000</v>
      </c>
      <c r="B895" s="94">
        <v>8515000</v>
      </c>
      <c r="C895" s="94">
        <v>8645000</v>
      </c>
      <c r="D895" s="94">
        <v>8560000</v>
      </c>
      <c r="E895" s="95">
        <v>42205</v>
      </c>
      <c r="F895" s="96" t="s">
        <v>2063</v>
      </c>
    </row>
    <row r="896" spans="1:6">
      <c r="A896" s="94">
        <v>8750000</v>
      </c>
      <c r="B896" s="94">
        <v>8750000</v>
      </c>
      <c r="C896" s="94">
        <v>8870000</v>
      </c>
      <c r="D896" s="94">
        <v>8750000</v>
      </c>
      <c r="E896" s="95">
        <v>42201</v>
      </c>
      <c r="F896" s="96" t="s">
        <v>2064</v>
      </c>
    </row>
    <row r="897" spans="1:6">
      <c r="A897" s="94">
        <v>8880000</v>
      </c>
      <c r="B897" s="94">
        <v>8840000</v>
      </c>
      <c r="C897" s="94">
        <v>9020000</v>
      </c>
      <c r="D897" s="94">
        <v>8880000</v>
      </c>
      <c r="E897" s="95">
        <v>42200</v>
      </c>
      <c r="F897" s="96" t="s">
        <v>2065</v>
      </c>
    </row>
    <row r="898" spans="1:6">
      <c r="A898" s="94">
        <v>8915000</v>
      </c>
      <c r="B898" s="94">
        <v>8660000</v>
      </c>
      <c r="C898" s="94">
        <v>8955000</v>
      </c>
      <c r="D898" s="94">
        <v>8915000</v>
      </c>
      <c r="E898" s="95">
        <v>42199</v>
      </c>
      <c r="F898" s="96" t="s">
        <v>2066</v>
      </c>
    </row>
    <row r="899" spans="1:6">
      <c r="A899" s="94">
        <v>8755000</v>
      </c>
      <c r="B899" s="94">
        <v>8610000</v>
      </c>
      <c r="C899" s="94">
        <v>8770000</v>
      </c>
      <c r="D899" s="94">
        <v>8755000</v>
      </c>
      <c r="E899" s="95">
        <v>42198</v>
      </c>
      <c r="F899" s="96" t="s">
        <v>2067</v>
      </c>
    </row>
    <row r="900" spans="1:6">
      <c r="A900" s="94">
        <v>8655000</v>
      </c>
      <c r="B900" s="94">
        <v>8620000</v>
      </c>
      <c r="C900" s="94">
        <v>8800000</v>
      </c>
      <c r="D900" s="94">
        <v>8655000</v>
      </c>
      <c r="E900" s="95">
        <v>42197</v>
      </c>
      <c r="F900" s="96" t="s">
        <v>2068</v>
      </c>
    </row>
    <row r="901" spans="1:6">
      <c r="A901" s="94">
        <v>8855000</v>
      </c>
      <c r="B901" s="94">
        <v>8680000</v>
      </c>
      <c r="C901" s="94">
        <v>8875000</v>
      </c>
      <c r="D901" s="94">
        <v>8855000</v>
      </c>
      <c r="E901" s="95">
        <v>42196</v>
      </c>
      <c r="F901" s="96" t="s">
        <v>2069</v>
      </c>
    </row>
    <row r="902" spans="1:6">
      <c r="A902" s="94">
        <v>8640000</v>
      </c>
      <c r="B902" s="94">
        <v>8640000</v>
      </c>
      <c r="C902" s="94">
        <v>8735000</v>
      </c>
      <c r="D902" s="94">
        <v>8640000</v>
      </c>
      <c r="E902" s="95">
        <v>42194</v>
      </c>
      <c r="F902" s="96" t="s">
        <v>2070</v>
      </c>
    </row>
    <row r="903" spans="1:6">
      <c r="A903" s="94">
        <v>8755000</v>
      </c>
      <c r="B903" s="94">
        <v>8705000</v>
      </c>
      <c r="C903" s="94">
        <v>8755000</v>
      </c>
      <c r="D903" s="94">
        <v>8755000</v>
      </c>
      <c r="E903" s="95">
        <v>42193</v>
      </c>
      <c r="F903" s="96" t="s">
        <v>2071</v>
      </c>
    </row>
    <row r="904" spans="1:6">
      <c r="A904" s="94">
        <v>8735000</v>
      </c>
      <c r="B904" s="94">
        <v>8675000</v>
      </c>
      <c r="C904" s="94">
        <v>8800000</v>
      </c>
      <c r="D904" s="94">
        <v>8735000</v>
      </c>
      <c r="E904" s="95">
        <v>42192</v>
      </c>
      <c r="F904" s="96" t="s">
        <v>2072</v>
      </c>
    </row>
    <row r="905" spans="1:6">
      <c r="A905" s="94">
        <v>8750000</v>
      </c>
      <c r="B905" s="94">
        <v>8750000</v>
      </c>
      <c r="C905" s="94">
        <v>8885000</v>
      </c>
      <c r="D905" s="94">
        <v>8750000</v>
      </c>
      <c r="E905" s="95">
        <v>42191</v>
      </c>
      <c r="F905" s="96" t="s">
        <v>2073</v>
      </c>
    </row>
    <row r="906" spans="1:6">
      <c r="A906" s="94">
        <v>8870000</v>
      </c>
      <c r="B906" s="94">
        <v>8860000</v>
      </c>
      <c r="C906" s="94">
        <v>8930000</v>
      </c>
      <c r="D906" s="94">
        <v>8870000</v>
      </c>
      <c r="E906" s="95">
        <v>42190</v>
      </c>
      <c r="F906" s="96" t="s">
        <v>2074</v>
      </c>
    </row>
    <row r="907" spans="1:6">
      <c r="A907" s="94">
        <v>8935000</v>
      </c>
      <c r="B907" s="94">
        <v>8930000</v>
      </c>
      <c r="C907" s="94">
        <v>8980000</v>
      </c>
      <c r="D907" s="94">
        <v>8935000</v>
      </c>
      <c r="E907" s="95">
        <v>42189</v>
      </c>
      <c r="F907" s="96" t="s">
        <v>2075</v>
      </c>
    </row>
    <row r="908" spans="1:6">
      <c r="A908" s="94">
        <v>8970000</v>
      </c>
      <c r="B908" s="94">
        <v>8945000</v>
      </c>
      <c r="C908" s="94">
        <v>8985000</v>
      </c>
      <c r="D908" s="94">
        <v>8970000</v>
      </c>
      <c r="E908" s="95">
        <v>42187</v>
      </c>
      <c r="F908" s="96" t="s">
        <v>2076</v>
      </c>
    </row>
    <row r="909" spans="1:6">
      <c r="A909" s="94">
        <v>9021000</v>
      </c>
      <c r="B909" s="94">
        <v>9021000</v>
      </c>
      <c r="C909" s="94">
        <v>9085000</v>
      </c>
      <c r="D909" s="94">
        <v>9021000</v>
      </c>
      <c r="E909" s="95">
        <v>42186</v>
      </c>
      <c r="F909" s="96" t="s">
        <v>2077</v>
      </c>
    </row>
    <row r="910" spans="1:6">
      <c r="A910" s="94">
        <v>9050000</v>
      </c>
      <c r="B910" s="94">
        <v>9025000</v>
      </c>
      <c r="C910" s="94">
        <v>9055000</v>
      </c>
      <c r="D910" s="94">
        <v>9050000</v>
      </c>
      <c r="E910" s="95">
        <v>42185</v>
      </c>
      <c r="F910" s="96" t="s">
        <v>2078</v>
      </c>
    </row>
    <row r="911" spans="1:6">
      <c r="A911" s="94">
        <v>9080000</v>
      </c>
      <c r="B911" s="94">
        <v>9080000</v>
      </c>
      <c r="C911" s="94">
        <v>9185000</v>
      </c>
      <c r="D911" s="94">
        <v>9080000</v>
      </c>
      <c r="E911" s="95">
        <v>42184</v>
      </c>
      <c r="F911" s="96" t="s">
        <v>2079</v>
      </c>
    </row>
    <row r="912" spans="1:6">
      <c r="A912" s="94">
        <v>9120000</v>
      </c>
      <c r="B912" s="94">
        <v>9110000</v>
      </c>
      <c r="C912" s="94">
        <v>9170000</v>
      </c>
      <c r="D912" s="94">
        <v>9120000</v>
      </c>
      <c r="E912" s="95">
        <v>42183</v>
      </c>
      <c r="F912" s="96" t="s">
        <v>2080</v>
      </c>
    </row>
    <row r="913" spans="1:6">
      <c r="A913" s="94">
        <v>9090000</v>
      </c>
      <c r="B913" s="94">
        <v>9070000</v>
      </c>
      <c r="C913" s="94">
        <v>9115000</v>
      </c>
      <c r="D913" s="94">
        <v>9090000</v>
      </c>
      <c r="E913" s="95">
        <v>42182</v>
      </c>
      <c r="F913" s="96" t="s">
        <v>2081</v>
      </c>
    </row>
    <row r="914" spans="1:6">
      <c r="A914" s="94">
        <v>9090000</v>
      </c>
      <c r="B914" s="94">
        <v>9090000</v>
      </c>
      <c r="C914" s="94">
        <v>9125000</v>
      </c>
      <c r="D914" s="94">
        <v>9090000</v>
      </c>
      <c r="E914" s="95">
        <v>42180</v>
      </c>
      <c r="F914" s="96" t="s">
        <v>2082</v>
      </c>
    </row>
    <row r="915" spans="1:6">
      <c r="A915" s="94">
        <v>9085000</v>
      </c>
      <c r="B915" s="94">
        <v>9045000</v>
      </c>
      <c r="C915" s="94">
        <v>9096000</v>
      </c>
      <c r="D915" s="94">
        <v>9085000</v>
      </c>
      <c r="E915" s="95">
        <v>42179</v>
      </c>
      <c r="F915" s="96" t="s">
        <v>2083</v>
      </c>
    </row>
    <row r="916" spans="1:6">
      <c r="A916" s="94">
        <v>9035000</v>
      </c>
      <c r="B916" s="94">
        <v>9020000</v>
      </c>
      <c r="C916" s="94">
        <v>9055000</v>
      </c>
      <c r="D916" s="94">
        <v>9035000</v>
      </c>
      <c r="E916" s="95">
        <v>42178</v>
      </c>
      <c r="F916" s="96" t="s">
        <v>2084</v>
      </c>
    </row>
    <row r="917" spans="1:6">
      <c r="A917" s="94">
        <v>9070000</v>
      </c>
      <c r="B917" s="94">
        <v>9050000</v>
      </c>
      <c r="C917" s="94">
        <v>9095000</v>
      </c>
      <c r="D917" s="94">
        <v>9070000</v>
      </c>
      <c r="E917" s="95">
        <v>42177</v>
      </c>
      <c r="F917" s="96" t="s">
        <v>2085</v>
      </c>
    </row>
    <row r="918" spans="1:6">
      <c r="A918" s="94">
        <v>9105000</v>
      </c>
      <c r="B918" s="94">
        <v>9100000</v>
      </c>
      <c r="C918" s="94">
        <v>9180000</v>
      </c>
      <c r="D918" s="94">
        <v>9105000</v>
      </c>
      <c r="E918" s="95">
        <v>42176</v>
      </c>
      <c r="F918" s="96" t="s">
        <v>2086</v>
      </c>
    </row>
    <row r="919" spans="1:6">
      <c r="A919" s="94">
        <v>9160000</v>
      </c>
      <c r="B919" s="94">
        <v>9110000</v>
      </c>
      <c r="C919" s="94">
        <v>9160000</v>
      </c>
      <c r="D919" s="94">
        <v>9160000</v>
      </c>
      <c r="E919" s="95">
        <v>42175</v>
      </c>
      <c r="F919" s="96" t="s">
        <v>2087</v>
      </c>
    </row>
    <row r="920" spans="1:6">
      <c r="A920" s="94">
        <v>9090000</v>
      </c>
      <c r="B920" s="94">
        <v>9040000</v>
      </c>
      <c r="C920" s="94">
        <v>9095000</v>
      </c>
      <c r="D920" s="94">
        <v>9090000</v>
      </c>
      <c r="E920" s="95">
        <v>42173</v>
      </c>
      <c r="F920" s="96" t="s">
        <v>2088</v>
      </c>
    </row>
    <row r="921" spans="1:6">
      <c r="A921" s="94">
        <v>9030000</v>
      </c>
      <c r="B921" s="94">
        <v>9030000</v>
      </c>
      <c r="C921" s="94">
        <v>9095000</v>
      </c>
      <c r="D921" s="94">
        <v>9030000</v>
      </c>
      <c r="E921" s="95">
        <v>42172</v>
      </c>
      <c r="F921" s="96" t="s">
        <v>2089</v>
      </c>
    </row>
    <row r="922" spans="1:6">
      <c r="A922" s="94">
        <v>9070000</v>
      </c>
      <c r="B922" s="94">
        <v>9035000</v>
      </c>
      <c r="C922" s="94">
        <v>9095000</v>
      </c>
      <c r="D922" s="94">
        <v>9070000</v>
      </c>
      <c r="E922" s="95">
        <v>42171</v>
      </c>
      <c r="F922" s="96" t="s">
        <v>2090</v>
      </c>
    </row>
    <row r="923" spans="1:6">
      <c r="A923" s="94">
        <v>9050000</v>
      </c>
      <c r="B923" s="94">
        <v>9040000</v>
      </c>
      <c r="C923" s="94">
        <v>9095000</v>
      </c>
      <c r="D923" s="94">
        <v>9050000</v>
      </c>
      <c r="E923" s="95">
        <v>42170</v>
      </c>
      <c r="F923" s="96" t="s">
        <v>2091</v>
      </c>
    </row>
    <row r="924" spans="1:6">
      <c r="A924" s="94">
        <v>9070000</v>
      </c>
      <c r="B924" s="94">
        <v>9070000</v>
      </c>
      <c r="C924" s="94">
        <v>9110000</v>
      </c>
      <c r="D924" s="94">
        <v>9070000</v>
      </c>
      <c r="E924" s="95">
        <v>42169</v>
      </c>
      <c r="F924" s="96" t="s">
        <v>2092</v>
      </c>
    </row>
    <row r="925" spans="1:6">
      <c r="A925" s="94">
        <v>9100000</v>
      </c>
      <c r="B925" s="94">
        <v>9100000</v>
      </c>
      <c r="C925" s="94">
        <v>9180000</v>
      </c>
      <c r="D925" s="94">
        <v>9100000</v>
      </c>
      <c r="E925" s="95">
        <v>42168</v>
      </c>
      <c r="F925" s="96" t="s">
        <v>2093</v>
      </c>
    </row>
    <row r="926" spans="1:6">
      <c r="A926" s="94">
        <v>9185000</v>
      </c>
      <c r="B926" s="94">
        <v>9180000</v>
      </c>
      <c r="C926" s="94">
        <v>9210000</v>
      </c>
      <c r="D926" s="94">
        <v>9185000</v>
      </c>
      <c r="E926" s="95">
        <v>42166</v>
      </c>
      <c r="F926" s="96" t="s">
        <v>2094</v>
      </c>
    </row>
    <row r="927" spans="1:6">
      <c r="A927" s="94">
        <v>9230000</v>
      </c>
      <c r="B927" s="94">
        <v>9180000</v>
      </c>
      <c r="C927" s="94">
        <v>9235000</v>
      </c>
      <c r="D927" s="94">
        <v>9230000</v>
      </c>
      <c r="E927" s="95">
        <v>42165</v>
      </c>
      <c r="F927" s="96" t="s">
        <v>2095</v>
      </c>
    </row>
    <row r="928" spans="1:6">
      <c r="A928" s="94">
        <v>9185000</v>
      </c>
      <c r="B928" s="94">
        <v>9175000</v>
      </c>
      <c r="C928" s="94">
        <v>9190000</v>
      </c>
      <c r="D928" s="94">
        <v>9185000</v>
      </c>
      <c r="E928" s="95">
        <v>42164</v>
      </c>
      <c r="F928" s="96" t="s">
        <v>2096</v>
      </c>
    </row>
    <row r="929" spans="1:6">
      <c r="A929" s="94">
        <v>9160000</v>
      </c>
      <c r="B929" s="94">
        <v>9150000</v>
      </c>
      <c r="C929" s="94">
        <v>9170000</v>
      </c>
      <c r="D929" s="94">
        <v>9160000</v>
      </c>
      <c r="E929" s="95">
        <v>42163</v>
      </c>
      <c r="F929" s="96" t="s">
        <v>2097</v>
      </c>
    </row>
    <row r="930" spans="1:6">
      <c r="A930" s="94">
        <v>9160000</v>
      </c>
      <c r="B930" s="94">
        <v>9160000</v>
      </c>
      <c r="C930" s="94">
        <v>9190000</v>
      </c>
      <c r="D930" s="94">
        <v>9160000</v>
      </c>
      <c r="E930" s="95">
        <v>42162</v>
      </c>
      <c r="F930" s="96" t="s">
        <v>2098</v>
      </c>
    </row>
    <row r="931" spans="1:6">
      <c r="A931" s="94">
        <v>9185000</v>
      </c>
      <c r="B931" s="94">
        <v>9185000</v>
      </c>
      <c r="C931" s="94">
        <v>9235000</v>
      </c>
      <c r="D931" s="94">
        <v>9185000</v>
      </c>
      <c r="E931" s="95">
        <v>42161</v>
      </c>
      <c r="F931" s="96" t="s">
        <v>2099</v>
      </c>
    </row>
    <row r="932" spans="1:6">
      <c r="A932" s="94">
        <v>9310000</v>
      </c>
      <c r="B932" s="94">
        <v>9300000</v>
      </c>
      <c r="C932" s="94">
        <v>9315000</v>
      </c>
      <c r="D932" s="94">
        <v>9310000</v>
      </c>
      <c r="E932" s="95">
        <v>42157</v>
      </c>
      <c r="F932" s="96" t="s">
        <v>2100</v>
      </c>
    </row>
    <row r="933" spans="1:6">
      <c r="A933" s="94">
        <v>9315000</v>
      </c>
      <c r="B933" s="94">
        <v>9280000</v>
      </c>
      <c r="C933" s="94">
        <v>9315000</v>
      </c>
      <c r="D933" s="94">
        <v>9315000</v>
      </c>
      <c r="E933" s="95">
        <v>42156</v>
      </c>
      <c r="F933" s="96" t="s">
        <v>2101</v>
      </c>
    </row>
    <row r="934" spans="1:6">
      <c r="A934" s="94">
        <v>9325000</v>
      </c>
      <c r="B934" s="94">
        <v>9320000</v>
      </c>
      <c r="C934" s="94">
        <v>9335000</v>
      </c>
      <c r="D934" s="94">
        <v>9325000</v>
      </c>
      <c r="E934" s="95">
        <v>42155</v>
      </c>
      <c r="F934" s="96" t="s">
        <v>2102</v>
      </c>
    </row>
    <row r="935" spans="1:6">
      <c r="A935" s="94">
        <v>9315000</v>
      </c>
      <c r="B935" s="94">
        <v>9310000</v>
      </c>
      <c r="C935" s="94">
        <v>9330000</v>
      </c>
      <c r="D935" s="94">
        <v>9315000</v>
      </c>
      <c r="E935" s="95">
        <v>42154</v>
      </c>
      <c r="F935" s="96" t="s">
        <v>2103</v>
      </c>
    </row>
    <row r="936" spans="1:6">
      <c r="A936" s="94">
        <v>9320000</v>
      </c>
      <c r="B936" s="94">
        <v>9280000</v>
      </c>
      <c r="C936" s="94">
        <v>9325000</v>
      </c>
      <c r="D936" s="94">
        <v>9320000</v>
      </c>
      <c r="E936" s="95">
        <v>42152</v>
      </c>
      <c r="F936" s="96" t="s">
        <v>2104</v>
      </c>
    </row>
    <row r="937" spans="1:6">
      <c r="A937" s="94">
        <v>9280000</v>
      </c>
      <c r="B937" s="94">
        <v>9280000</v>
      </c>
      <c r="C937" s="94">
        <v>9310000</v>
      </c>
      <c r="D937" s="94">
        <v>9280000</v>
      </c>
      <c r="E937" s="95">
        <v>42151</v>
      </c>
      <c r="F937" s="96" t="s">
        <v>2105</v>
      </c>
    </row>
    <row r="938" spans="1:6">
      <c r="A938" s="94">
        <v>9305000</v>
      </c>
      <c r="B938" s="94">
        <v>9300000</v>
      </c>
      <c r="C938" s="94">
        <v>9325000</v>
      </c>
      <c r="D938" s="94">
        <v>9305000</v>
      </c>
      <c r="E938" s="95">
        <v>42150</v>
      </c>
      <c r="F938" s="96" t="s">
        <v>2106</v>
      </c>
    </row>
    <row r="939" spans="1:6">
      <c r="A939" s="94">
        <v>9330000</v>
      </c>
      <c r="B939" s="94">
        <v>9330000</v>
      </c>
      <c r="C939" s="94">
        <v>9385000</v>
      </c>
      <c r="D939" s="94">
        <v>9330000</v>
      </c>
      <c r="E939" s="95">
        <v>42149</v>
      </c>
      <c r="F939" s="96" t="s">
        <v>2107</v>
      </c>
    </row>
    <row r="940" spans="1:6">
      <c r="A940" s="94">
        <v>9375000</v>
      </c>
      <c r="B940" s="94">
        <v>9370000</v>
      </c>
      <c r="C940" s="94">
        <v>9385000</v>
      </c>
      <c r="D940" s="94">
        <v>9375000</v>
      </c>
      <c r="E940" s="95">
        <v>42145</v>
      </c>
      <c r="F940" s="96" t="s">
        <v>2108</v>
      </c>
    </row>
    <row r="941" spans="1:6">
      <c r="A941" s="94">
        <v>9345000</v>
      </c>
      <c r="B941" s="94">
        <v>9310000</v>
      </c>
      <c r="C941" s="94">
        <v>9350000</v>
      </c>
      <c r="D941" s="94">
        <v>9345000</v>
      </c>
      <c r="E941" s="95">
        <v>42148</v>
      </c>
      <c r="F941" s="96" t="s">
        <v>2109</v>
      </c>
    </row>
    <row r="942" spans="1:6">
      <c r="A942" s="94">
        <v>9410000</v>
      </c>
      <c r="B942" s="94">
        <v>9360000</v>
      </c>
      <c r="C942" s="94">
        <v>9410000</v>
      </c>
      <c r="D942" s="94">
        <v>9410000</v>
      </c>
      <c r="E942" s="95">
        <v>42144</v>
      </c>
      <c r="F942" s="96" t="s">
        <v>2110</v>
      </c>
    </row>
    <row r="943" spans="1:6">
      <c r="A943" s="94">
        <v>9330000</v>
      </c>
      <c r="B943" s="94">
        <v>9325000</v>
      </c>
      <c r="C943" s="94">
        <v>9365000</v>
      </c>
      <c r="D943" s="94">
        <v>9330000</v>
      </c>
      <c r="E943" s="95">
        <v>42147</v>
      </c>
      <c r="F943" s="96" t="s">
        <v>2111</v>
      </c>
    </row>
    <row r="944" spans="1:6">
      <c r="A944" s="94">
        <v>9410000</v>
      </c>
      <c r="B944" s="94">
        <v>9400000</v>
      </c>
      <c r="C944" s="94">
        <v>9430000</v>
      </c>
      <c r="D944" s="94">
        <v>9410000</v>
      </c>
      <c r="E944" s="95">
        <v>42143</v>
      </c>
      <c r="F944" s="96" t="s">
        <v>2112</v>
      </c>
    </row>
    <row r="945" spans="1:6">
      <c r="A945" s="94">
        <v>9480000</v>
      </c>
      <c r="B945" s="94">
        <v>9478000</v>
      </c>
      <c r="C945" s="94">
        <v>9535000</v>
      </c>
      <c r="D945" s="94">
        <v>9480000</v>
      </c>
      <c r="E945" s="95">
        <v>42142</v>
      </c>
      <c r="F945" s="96" t="s">
        <v>2113</v>
      </c>
    </row>
    <row r="946" spans="1:6">
      <c r="A946" s="94">
        <v>9500000</v>
      </c>
      <c r="B946" s="94">
        <v>9500000</v>
      </c>
      <c r="C946" s="94">
        <v>9515000</v>
      </c>
      <c r="D946" s="94">
        <v>9500000</v>
      </c>
      <c r="E946" s="95">
        <v>42141</v>
      </c>
      <c r="F946" s="96" t="s">
        <v>2114</v>
      </c>
    </row>
    <row r="947" spans="1:6">
      <c r="A947" s="94">
        <v>9490000</v>
      </c>
      <c r="B947" s="94">
        <v>9490000</v>
      </c>
      <c r="C947" s="94">
        <v>9505000</v>
      </c>
      <c r="D947" s="94">
        <v>9490000</v>
      </c>
      <c r="E947" s="95">
        <v>42140</v>
      </c>
      <c r="F947" s="96" t="s">
        <v>2115</v>
      </c>
    </row>
    <row r="948" spans="1:6">
      <c r="A948" s="94">
        <v>9490000</v>
      </c>
      <c r="B948" s="94">
        <v>9455000</v>
      </c>
      <c r="C948" s="94">
        <v>9515000</v>
      </c>
      <c r="D948" s="94">
        <v>9490000</v>
      </c>
      <c r="E948" s="95">
        <v>42138</v>
      </c>
      <c r="F948" s="96" t="s">
        <v>2116</v>
      </c>
    </row>
    <row r="949" spans="1:6">
      <c r="A949" s="94">
        <v>9440000</v>
      </c>
      <c r="B949" s="94">
        <v>9360000</v>
      </c>
      <c r="C949" s="94">
        <v>9450000</v>
      </c>
      <c r="D949" s="94">
        <v>9440000</v>
      </c>
      <c r="E949" s="95">
        <v>42137</v>
      </c>
      <c r="F949" s="96" t="s">
        <v>2117</v>
      </c>
    </row>
    <row r="950" spans="1:6">
      <c r="A950" s="94">
        <v>9340000</v>
      </c>
      <c r="B950" s="94">
        <v>9295000</v>
      </c>
      <c r="C950" s="94">
        <v>9345000</v>
      </c>
      <c r="D950" s="94">
        <v>9340000</v>
      </c>
      <c r="E950" s="95">
        <v>42136</v>
      </c>
      <c r="F950" s="96" t="s">
        <v>2118</v>
      </c>
    </row>
    <row r="951" spans="1:6">
      <c r="A951" s="94">
        <v>9345000</v>
      </c>
      <c r="B951" s="94">
        <v>9340000</v>
      </c>
      <c r="C951" s="94">
        <v>9365000</v>
      </c>
      <c r="D951" s="94">
        <v>9345000</v>
      </c>
      <c r="E951" s="95">
        <v>42135</v>
      </c>
      <c r="F951" s="96" t="s">
        <v>2119</v>
      </c>
    </row>
    <row r="952" spans="1:6">
      <c r="A952" s="94">
        <v>9375000</v>
      </c>
      <c r="B952" s="94">
        <v>9375000</v>
      </c>
      <c r="C952" s="94">
        <v>9420000</v>
      </c>
      <c r="D952" s="94">
        <v>9375000</v>
      </c>
      <c r="E952" s="95">
        <v>42134</v>
      </c>
      <c r="F952" s="96" t="s">
        <v>2120</v>
      </c>
    </row>
    <row r="953" spans="1:6">
      <c r="A953" s="94">
        <v>9400000</v>
      </c>
      <c r="B953" s="94">
        <v>9395000</v>
      </c>
      <c r="C953" s="94">
        <v>9430000</v>
      </c>
      <c r="D953" s="94">
        <v>9400000</v>
      </c>
      <c r="E953" s="95">
        <v>42133</v>
      </c>
      <c r="F953" s="96" t="s">
        <v>2121</v>
      </c>
    </row>
    <row r="954" spans="1:6">
      <c r="A954" s="94">
        <v>9420000</v>
      </c>
      <c r="B954" s="94">
        <v>9420000</v>
      </c>
      <c r="C954" s="94">
        <v>9420000</v>
      </c>
      <c r="D954" s="94">
        <v>9420000</v>
      </c>
      <c r="E954" s="95">
        <v>42131</v>
      </c>
      <c r="F954" s="96" t="s">
        <v>2122</v>
      </c>
    </row>
    <row r="955" spans="1:6">
      <c r="A955" s="94">
        <v>9460000</v>
      </c>
      <c r="B955" s="94">
        <v>9450000</v>
      </c>
      <c r="C955" s="94">
        <v>9465000</v>
      </c>
      <c r="D955" s="94">
        <v>9460000</v>
      </c>
      <c r="E955" s="95">
        <v>42130</v>
      </c>
      <c r="F955" s="96" t="s">
        <v>2123</v>
      </c>
    </row>
    <row r="956" spans="1:6">
      <c r="A956" s="94">
        <v>9445000</v>
      </c>
      <c r="B956" s="94">
        <v>9420000</v>
      </c>
      <c r="C956" s="94">
        <v>9450000</v>
      </c>
      <c r="D956" s="94">
        <v>9445000</v>
      </c>
      <c r="E956" s="95">
        <v>42129</v>
      </c>
      <c r="F956" s="96" t="s">
        <v>2124</v>
      </c>
    </row>
    <row r="957" spans="1:6">
      <c r="A957" s="94">
        <v>9465000</v>
      </c>
      <c r="B957" s="94">
        <v>9440000</v>
      </c>
      <c r="C957" s="94">
        <v>9510000</v>
      </c>
      <c r="D957" s="94">
        <v>9465000</v>
      </c>
      <c r="E957" s="95">
        <v>42128</v>
      </c>
      <c r="F957" s="96" t="s">
        <v>2125</v>
      </c>
    </row>
    <row r="958" spans="1:6">
      <c r="A958" s="94">
        <v>9480000</v>
      </c>
      <c r="B958" s="94">
        <v>9470000</v>
      </c>
      <c r="C958" s="94">
        <v>9490000</v>
      </c>
      <c r="D958" s="94">
        <v>9480000</v>
      </c>
      <c r="E958" s="95">
        <v>42127</v>
      </c>
      <c r="F958" s="96" t="s">
        <v>2126</v>
      </c>
    </row>
    <row r="959" spans="1:6">
      <c r="A959" s="94">
        <v>9530000</v>
      </c>
      <c r="B959" s="94">
        <v>9490000</v>
      </c>
      <c r="C959" s="94">
        <v>9545000</v>
      </c>
      <c r="D959" s="94">
        <v>9530000</v>
      </c>
      <c r="E959" s="95">
        <v>42126</v>
      </c>
      <c r="F959" s="96" t="s">
        <v>2127</v>
      </c>
    </row>
    <row r="960" spans="1:6">
      <c r="A960" s="94">
        <v>9580000</v>
      </c>
      <c r="B960" s="94">
        <v>9570000</v>
      </c>
      <c r="C960" s="94">
        <v>9585000</v>
      </c>
      <c r="D960" s="94">
        <v>9580000</v>
      </c>
      <c r="E960" s="95">
        <v>42124</v>
      </c>
      <c r="F960" s="96" t="s">
        <v>2128</v>
      </c>
    </row>
    <row r="961" spans="1:6">
      <c r="A961" s="94">
        <v>9570000</v>
      </c>
      <c r="B961" s="94">
        <v>9570000</v>
      </c>
      <c r="C961" s="94">
        <v>9600000</v>
      </c>
      <c r="D961" s="94">
        <v>9570000</v>
      </c>
      <c r="E961" s="95">
        <v>42123</v>
      </c>
      <c r="F961" s="96" t="s">
        <v>2129</v>
      </c>
    </row>
    <row r="962" spans="1:6">
      <c r="A962" s="94">
        <v>9575000</v>
      </c>
      <c r="B962" s="94">
        <v>9570000</v>
      </c>
      <c r="C962" s="94">
        <v>9610000</v>
      </c>
      <c r="D962" s="94">
        <v>9575000</v>
      </c>
      <c r="E962" s="95">
        <v>42122</v>
      </c>
      <c r="F962" s="96" t="s">
        <v>2130</v>
      </c>
    </row>
    <row r="963" spans="1:6">
      <c r="A963" s="94">
        <v>9530000</v>
      </c>
      <c r="B963" s="94">
        <v>9500000</v>
      </c>
      <c r="C963" s="94">
        <v>9530000</v>
      </c>
      <c r="D963" s="94">
        <v>9530000</v>
      </c>
      <c r="E963" s="95">
        <v>42121</v>
      </c>
      <c r="F963" s="96" t="s">
        <v>2131</v>
      </c>
    </row>
    <row r="964" spans="1:6">
      <c r="A964" s="94">
        <v>9520000</v>
      </c>
      <c r="B964" s="94">
        <v>9500000</v>
      </c>
      <c r="C964" s="94">
        <v>9535000</v>
      </c>
      <c r="D964" s="94">
        <v>9520000</v>
      </c>
      <c r="E964" s="95">
        <v>42120</v>
      </c>
      <c r="F964" s="96" t="s">
        <v>2132</v>
      </c>
    </row>
    <row r="965" spans="1:6">
      <c r="A965" s="94">
        <v>9480000</v>
      </c>
      <c r="B965" s="94">
        <v>9470000</v>
      </c>
      <c r="C965" s="94">
        <v>9510000</v>
      </c>
      <c r="D965" s="94">
        <v>9480000</v>
      </c>
      <c r="E965" s="95">
        <v>42119</v>
      </c>
      <c r="F965" s="96" t="s">
        <v>2133</v>
      </c>
    </row>
    <row r="966" spans="1:6">
      <c r="A966" s="94">
        <v>9560000</v>
      </c>
      <c r="B966" s="94">
        <v>9540000</v>
      </c>
      <c r="C966" s="94">
        <v>9575000</v>
      </c>
      <c r="D966" s="94">
        <v>9560000</v>
      </c>
      <c r="E966" s="95">
        <v>42117</v>
      </c>
      <c r="F966" s="96" t="s">
        <v>2134</v>
      </c>
    </row>
    <row r="967" spans="1:6">
      <c r="A967" s="94">
        <v>9630000</v>
      </c>
      <c r="B967" s="94">
        <v>9620000</v>
      </c>
      <c r="C967" s="94">
        <v>9640000</v>
      </c>
      <c r="D967" s="94">
        <v>9630000</v>
      </c>
      <c r="E967" s="95">
        <v>42116</v>
      </c>
      <c r="F967" s="96" t="s">
        <v>2135</v>
      </c>
    </row>
    <row r="968" spans="1:6">
      <c r="A968" s="94">
        <v>9630000</v>
      </c>
      <c r="B968" s="94">
        <v>9620000</v>
      </c>
      <c r="C968" s="94">
        <v>9645000</v>
      </c>
      <c r="D968" s="94">
        <v>9630000</v>
      </c>
      <c r="E968" s="95">
        <v>42115</v>
      </c>
      <c r="F968" s="96" t="s">
        <v>2136</v>
      </c>
    </row>
    <row r="969" spans="1:6">
      <c r="A969" s="94">
        <v>9630000</v>
      </c>
      <c r="B969" s="94">
        <v>9630000</v>
      </c>
      <c r="C969" s="94">
        <v>9695000</v>
      </c>
      <c r="D969" s="94">
        <v>9630000</v>
      </c>
      <c r="E969" s="95">
        <v>42114</v>
      </c>
      <c r="F969" s="96" t="s">
        <v>2137</v>
      </c>
    </row>
    <row r="970" spans="1:6">
      <c r="A970" s="94">
        <v>9705000</v>
      </c>
      <c r="B970" s="94">
        <v>9670000</v>
      </c>
      <c r="C970" s="94">
        <v>9715000</v>
      </c>
      <c r="D970" s="94">
        <v>9705000</v>
      </c>
      <c r="E970" s="95">
        <v>42113</v>
      </c>
      <c r="F970" s="96" t="s">
        <v>2138</v>
      </c>
    </row>
    <row r="971" spans="1:6">
      <c r="A971" s="94">
        <v>9640000</v>
      </c>
      <c r="B971" s="94">
        <v>9605000</v>
      </c>
      <c r="C971" s="94">
        <v>9650000</v>
      </c>
      <c r="D971" s="94">
        <v>9640000</v>
      </c>
      <c r="E971" s="95">
        <v>42112</v>
      </c>
      <c r="F971" s="96" t="s">
        <v>2139</v>
      </c>
    </row>
    <row r="972" spans="1:6">
      <c r="A972" s="94">
        <v>9690000</v>
      </c>
      <c r="B972" s="94">
        <v>9680000</v>
      </c>
      <c r="C972" s="94">
        <v>9720000</v>
      </c>
      <c r="D972" s="94">
        <v>9690000</v>
      </c>
      <c r="E972" s="95">
        <v>42110</v>
      </c>
      <c r="F972" s="96" t="s">
        <v>2140</v>
      </c>
    </row>
    <row r="973" spans="1:6">
      <c r="A973" s="94">
        <v>9665000</v>
      </c>
      <c r="B973" s="94">
        <v>9650000</v>
      </c>
      <c r="C973" s="94">
        <v>9690000</v>
      </c>
      <c r="D973" s="94">
        <v>9665000</v>
      </c>
      <c r="E973" s="95">
        <v>42109</v>
      </c>
      <c r="F973" s="96" t="s">
        <v>2141</v>
      </c>
    </row>
    <row r="974" spans="1:6">
      <c r="A974" s="94">
        <v>9630000</v>
      </c>
      <c r="B974" s="94">
        <v>9570000</v>
      </c>
      <c r="C974" s="94">
        <v>9630000</v>
      </c>
      <c r="D974" s="94">
        <v>9630000</v>
      </c>
      <c r="E974" s="95">
        <v>42108</v>
      </c>
      <c r="F974" s="96" t="s">
        <v>2142</v>
      </c>
    </row>
    <row r="975" spans="1:6">
      <c r="A975" s="94">
        <v>9715000</v>
      </c>
      <c r="B975" s="94">
        <v>9640000</v>
      </c>
      <c r="C975" s="94">
        <v>9750000</v>
      </c>
      <c r="D975" s="94">
        <v>9715000</v>
      </c>
      <c r="E975" s="95">
        <v>42107</v>
      </c>
      <c r="F975" s="96" t="s">
        <v>2143</v>
      </c>
    </row>
    <row r="976" spans="1:6">
      <c r="A976" s="94">
        <v>9770000</v>
      </c>
      <c r="B976" s="94">
        <v>9770000</v>
      </c>
      <c r="C976" s="94">
        <v>9860000</v>
      </c>
      <c r="D976" s="94">
        <v>9770000</v>
      </c>
      <c r="E976" s="95">
        <v>42106</v>
      </c>
      <c r="F976" s="96" t="s">
        <v>2144</v>
      </c>
    </row>
    <row r="977" spans="1:6">
      <c r="A977" s="94">
        <v>9720000</v>
      </c>
      <c r="B977" s="94">
        <v>9590000</v>
      </c>
      <c r="C977" s="94">
        <v>9730000</v>
      </c>
      <c r="D977" s="94">
        <v>9720000</v>
      </c>
      <c r="E977" s="95">
        <v>42105</v>
      </c>
      <c r="F977" s="96" t="s">
        <v>2145</v>
      </c>
    </row>
    <row r="978" spans="1:6">
      <c r="A978" s="94">
        <v>9510000</v>
      </c>
      <c r="B978" s="94">
        <v>9460000</v>
      </c>
      <c r="C978" s="94">
        <v>9510000</v>
      </c>
      <c r="D978" s="94">
        <v>9510000</v>
      </c>
      <c r="E978" s="95">
        <v>42103</v>
      </c>
      <c r="F978" s="96" t="s">
        <v>2146</v>
      </c>
    </row>
    <row r="979" spans="1:6">
      <c r="A979" s="94">
        <v>9550000</v>
      </c>
      <c r="B979" s="94">
        <v>9540000</v>
      </c>
      <c r="C979" s="94">
        <v>9610000</v>
      </c>
      <c r="D979" s="94">
        <v>9550000</v>
      </c>
      <c r="E979" s="95">
        <v>42102</v>
      </c>
      <c r="F979" s="96" t="s">
        <v>2147</v>
      </c>
    </row>
    <row r="980" spans="1:6">
      <c r="A980" s="94">
        <v>9620000</v>
      </c>
      <c r="B980" s="94">
        <v>9530000</v>
      </c>
      <c r="C980" s="94">
        <v>9620000</v>
      </c>
      <c r="D980" s="94">
        <v>9620000</v>
      </c>
      <c r="E980" s="95">
        <v>42101</v>
      </c>
      <c r="F980" s="96" t="s">
        <v>2148</v>
      </c>
    </row>
    <row r="981" spans="1:6">
      <c r="A981" s="94">
        <v>9600000</v>
      </c>
      <c r="B981" s="94">
        <v>9560000</v>
      </c>
      <c r="C981" s="94">
        <v>9650000</v>
      </c>
      <c r="D981" s="94">
        <v>9600000</v>
      </c>
      <c r="E981" s="95">
        <v>42100</v>
      </c>
      <c r="F981" s="96" t="s">
        <v>2149</v>
      </c>
    </row>
    <row r="982" spans="1:6">
      <c r="A982" s="94">
        <v>9585000</v>
      </c>
      <c r="B982" s="94">
        <v>9500000</v>
      </c>
      <c r="C982" s="94">
        <v>9660000</v>
      </c>
      <c r="D982" s="94">
        <v>9585000</v>
      </c>
      <c r="E982" s="95">
        <v>42099</v>
      </c>
      <c r="F982" s="96" t="s">
        <v>2150</v>
      </c>
    </row>
    <row r="983" spans="1:6">
      <c r="A983" s="94">
        <v>9410000</v>
      </c>
      <c r="B983" s="94">
        <v>9180000</v>
      </c>
      <c r="C983" s="94">
        <v>9450000</v>
      </c>
      <c r="D983" s="94">
        <v>9410000</v>
      </c>
      <c r="E983" s="95">
        <v>42098</v>
      </c>
      <c r="F983" s="96" t="s">
        <v>2151</v>
      </c>
    </row>
    <row r="984" spans="1:6">
      <c r="A984" s="94">
        <v>9360000</v>
      </c>
      <c r="B984" s="94">
        <v>9300000</v>
      </c>
      <c r="C984" s="94">
        <v>9380000</v>
      </c>
      <c r="D984" s="94">
        <v>9360000</v>
      </c>
      <c r="E984" s="95">
        <v>42094</v>
      </c>
      <c r="F984" s="96" t="s">
        <v>2152</v>
      </c>
    </row>
    <row r="985" spans="1:6">
      <c r="A985" s="94">
        <v>9380000</v>
      </c>
      <c r="B985" s="94">
        <v>9300000</v>
      </c>
      <c r="C985" s="94">
        <v>9380000</v>
      </c>
      <c r="D985" s="94">
        <v>9380000</v>
      </c>
      <c r="E985" s="95">
        <v>42093</v>
      </c>
      <c r="F985" s="96" t="s">
        <v>2153</v>
      </c>
    </row>
    <row r="986" spans="1:6">
      <c r="A986" s="94">
        <v>9340000</v>
      </c>
      <c r="B986" s="94">
        <v>9200000</v>
      </c>
      <c r="C986" s="94">
        <v>9360000</v>
      </c>
      <c r="D986" s="94">
        <v>9340000</v>
      </c>
      <c r="E986" s="95">
        <v>42092</v>
      </c>
      <c r="F986" s="96" t="s">
        <v>2154</v>
      </c>
    </row>
    <row r="987" spans="1:6">
      <c r="A987" s="94">
        <v>9500000</v>
      </c>
      <c r="B987" s="94">
        <v>9475000</v>
      </c>
      <c r="C987" s="94">
        <v>9550000</v>
      </c>
      <c r="D987" s="94">
        <v>9500000</v>
      </c>
      <c r="E987" s="95">
        <v>42091</v>
      </c>
      <c r="F987" s="96" t="s">
        <v>2155</v>
      </c>
    </row>
    <row r="988" spans="1:6">
      <c r="A988" s="94">
        <v>9400000</v>
      </c>
      <c r="B988" s="94">
        <v>9400000</v>
      </c>
      <c r="C988" s="94">
        <v>9450000</v>
      </c>
      <c r="D988" s="94">
        <v>9400000</v>
      </c>
      <c r="E988" s="95">
        <v>42082</v>
      </c>
      <c r="F988" s="96" t="s">
        <v>2156</v>
      </c>
    </row>
    <row r="989" spans="1:6">
      <c r="A989" s="94">
        <v>9330000</v>
      </c>
      <c r="B989" s="94">
        <v>9300000</v>
      </c>
      <c r="C989" s="94">
        <v>9420000</v>
      </c>
      <c r="D989" s="94">
        <v>9330000</v>
      </c>
      <c r="E989" s="95">
        <v>42081</v>
      </c>
      <c r="F989" s="96" t="s">
        <v>2157</v>
      </c>
    </row>
    <row r="990" spans="1:6">
      <c r="A990" s="94">
        <v>9350000</v>
      </c>
      <c r="B990" s="94">
        <v>9235000</v>
      </c>
      <c r="C990" s="94">
        <v>9350000</v>
      </c>
      <c r="D990" s="94">
        <v>9350000</v>
      </c>
      <c r="E990" s="95">
        <v>42080</v>
      </c>
      <c r="F990" s="96" t="s">
        <v>2158</v>
      </c>
    </row>
    <row r="991" spans="1:6">
      <c r="A991" s="94">
        <v>9220000</v>
      </c>
      <c r="B991" s="94">
        <v>9170000</v>
      </c>
      <c r="C991" s="94">
        <v>9360000</v>
      </c>
      <c r="D991" s="94">
        <v>9220000</v>
      </c>
      <c r="E991" s="95">
        <v>42079</v>
      </c>
      <c r="F991" s="96" t="s">
        <v>2159</v>
      </c>
    </row>
    <row r="992" spans="1:6">
      <c r="A992" s="94">
        <v>9120000</v>
      </c>
      <c r="B992" s="94">
        <v>9000000</v>
      </c>
      <c r="C992" s="94">
        <v>9220000</v>
      </c>
      <c r="D992" s="94">
        <v>9120000</v>
      </c>
      <c r="E992" s="95">
        <v>42078</v>
      </c>
      <c r="F992" s="96" t="s">
        <v>2160</v>
      </c>
    </row>
    <row r="993" spans="1:6">
      <c r="A993" s="94">
        <v>9120000</v>
      </c>
      <c r="B993" s="94">
        <v>9120000</v>
      </c>
      <c r="C993" s="94">
        <v>9290000</v>
      </c>
      <c r="D993" s="94">
        <v>9120000</v>
      </c>
      <c r="E993" s="95">
        <v>42077</v>
      </c>
      <c r="F993" s="96" t="s">
        <v>2161</v>
      </c>
    </row>
    <row r="994" spans="1:6">
      <c r="A994" s="94">
        <v>9420000</v>
      </c>
      <c r="B994" s="94">
        <v>9350000</v>
      </c>
      <c r="C994" s="94">
        <v>9470000</v>
      </c>
      <c r="D994" s="94">
        <v>9420000</v>
      </c>
      <c r="E994" s="95">
        <v>42075</v>
      </c>
      <c r="F994" s="96" t="s">
        <v>2162</v>
      </c>
    </row>
    <row r="995" spans="1:6">
      <c r="A995" s="94">
        <v>9415000</v>
      </c>
      <c r="B995" s="94">
        <v>9415000</v>
      </c>
      <c r="C995" s="94">
        <v>9555000</v>
      </c>
      <c r="D995" s="94">
        <v>9415000</v>
      </c>
      <c r="E995" s="95">
        <v>42074</v>
      </c>
      <c r="F995" s="96" t="s">
        <v>2163</v>
      </c>
    </row>
    <row r="996" spans="1:6">
      <c r="A996" s="94">
        <v>9550000</v>
      </c>
      <c r="B996" s="94">
        <v>9515000</v>
      </c>
      <c r="C996" s="94">
        <v>9565000</v>
      </c>
      <c r="D996" s="94">
        <v>9550000</v>
      </c>
      <c r="E996" s="95">
        <v>42073</v>
      </c>
      <c r="F996" s="96" t="s">
        <v>2164</v>
      </c>
    </row>
    <row r="997" spans="1:6">
      <c r="A997" s="94">
        <v>9595000</v>
      </c>
      <c r="B997" s="94">
        <v>9590000</v>
      </c>
      <c r="C997" s="94">
        <v>9665000</v>
      </c>
      <c r="D997" s="94">
        <v>9595000</v>
      </c>
      <c r="E997" s="95">
        <v>42072</v>
      </c>
      <c r="F997" s="96" t="s">
        <v>2165</v>
      </c>
    </row>
    <row r="998" spans="1:6">
      <c r="A998" s="94">
        <v>9630000</v>
      </c>
      <c r="B998" s="94">
        <v>9570000</v>
      </c>
      <c r="C998" s="94">
        <v>9630000</v>
      </c>
      <c r="D998" s="94">
        <v>9630000</v>
      </c>
      <c r="E998" s="95">
        <v>42071</v>
      </c>
      <c r="F998" s="96" t="s">
        <v>2166</v>
      </c>
    </row>
    <row r="999" spans="1:6">
      <c r="A999" s="94">
        <v>9595000</v>
      </c>
      <c r="B999" s="94">
        <v>9550000</v>
      </c>
      <c r="C999" s="94">
        <v>9635000</v>
      </c>
      <c r="D999" s="94">
        <v>9595000</v>
      </c>
      <c r="E999" s="95">
        <v>42070</v>
      </c>
      <c r="F999" s="96" t="s">
        <v>2167</v>
      </c>
    </row>
    <row r="1000" spans="1:6">
      <c r="A1000" s="94">
        <v>9795000</v>
      </c>
      <c r="B1000" s="94">
        <v>9790000</v>
      </c>
      <c r="C1000" s="94">
        <v>9805000</v>
      </c>
      <c r="D1000" s="94">
        <v>9795000</v>
      </c>
      <c r="E1000" s="95">
        <v>42068</v>
      </c>
      <c r="F1000" s="96" t="s">
        <v>2168</v>
      </c>
    </row>
    <row r="1001" spans="1:6">
      <c r="A1001" s="94">
        <v>9820000</v>
      </c>
      <c r="B1001" s="94">
        <v>9795000</v>
      </c>
      <c r="C1001" s="94">
        <v>9825000</v>
      </c>
      <c r="D1001" s="94">
        <v>9820000</v>
      </c>
      <c r="E1001" s="95">
        <v>42067</v>
      </c>
      <c r="F1001" s="96" t="s">
        <v>2169</v>
      </c>
    </row>
    <row r="1002" spans="1:6">
      <c r="A1002" s="94">
        <v>9820000</v>
      </c>
      <c r="B1002" s="94">
        <v>9800000</v>
      </c>
      <c r="C1002" s="94">
        <v>9870000</v>
      </c>
      <c r="D1002" s="94">
        <v>9820000</v>
      </c>
      <c r="E1002" s="95">
        <v>42066</v>
      </c>
      <c r="F1002" s="96" t="s">
        <v>2170</v>
      </c>
    </row>
    <row r="1003" spans="1:6">
      <c r="A1003" s="94">
        <v>9900000</v>
      </c>
      <c r="B1003" s="94">
        <v>9885000</v>
      </c>
      <c r="C1003" s="94">
        <v>9915000</v>
      </c>
      <c r="D1003" s="94">
        <v>9900000</v>
      </c>
      <c r="E1003" s="95">
        <v>42065</v>
      </c>
      <c r="F1003" s="96" t="s">
        <v>2171</v>
      </c>
    </row>
    <row r="1004" spans="1:6">
      <c r="A1004" s="94">
        <v>9880000</v>
      </c>
      <c r="B1004" s="94">
        <v>9870000</v>
      </c>
      <c r="C1004" s="94">
        <v>9920000</v>
      </c>
      <c r="D1004" s="94">
        <v>9880000</v>
      </c>
      <c r="E1004" s="95">
        <v>42064</v>
      </c>
      <c r="F1004" s="96" t="s">
        <v>2172</v>
      </c>
    </row>
    <row r="1005" spans="1:6">
      <c r="A1005" s="94">
        <v>9905000</v>
      </c>
      <c r="B1005" s="94">
        <v>9840000</v>
      </c>
      <c r="C1005" s="94">
        <v>9905000</v>
      </c>
      <c r="D1005" s="94">
        <v>9905000</v>
      </c>
      <c r="E1005" s="95">
        <v>42063</v>
      </c>
      <c r="F1005" s="96" t="s">
        <v>2173</v>
      </c>
    </row>
    <row r="1006" spans="1:6">
      <c r="A1006" s="94">
        <v>9940000</v>
      </c>
      <c r="B1006" s="94">
        <v>9940000</v>
      </c>
      <c r="C1006" s="94">
        <v>9995000</v>
      </c>
      <c r="D1006" s="94">
        <v>9940000</v>
      </c>
      <c r="E1006" s="95">
        <v>42061</v>
      </c>
      <c r="F1006" s="96" t="s">
        <v>2174</v>
      </c>
    </row>
    <row r="1007" spans="1:6">
      <c r="A1007" s="94">
        <v>9955000</v>
      </c>
      <c r="B1007" s="94">
        <v>9935000</v>
      </c>
      <c r="C1007" s="94">
        <v>9970000</v>
      </c>
      <c r="D1007" s="94">
        <v>9955000</v>
      </c>
      <c r="E1007" s="95">
        <v>42060</v>
      </c>
      <c r="F1007" s="96" t="s">
        <v>2175</v>
      </c>
    </row>
    <row r="1008" spans="1:6">
      <c r="A1008" s="94">
        <v>9875000</v>
      </c>
      <c r="B1008" s="94">
        <v>9830000</v>
      </c>
      <c r="C1008" s="94">
        <v>9895000</v>
      </c>
      <c r="D1008" s="94">
        <v>9875000</v>
      </c>
      <c r="E1008" s="95">
        <v>42059</v>
      </c>
      <c r="F1008" s="96" t="s">
        <v>2176</v>
      </c>
    </row>
    <row r="1009" spans="1:6">
      <c r="A1009" s="94">
        <v>9815000</v>
      </c>
      <c r="B1009" s="94">
        <v>9770000</v>
      </c>
      <c r="C1009" s="94">
        <v>9820000</v>
      </c>
      <c r="D1009" s="94">
        <v>9815000</v>
      </c>
      <c r="E1009" s="95">
        <v>42058</v>
      </c>
      <c r="F1009" s="96" t="s">
        <v>2177</v>
      </c>
    </row>
    <row r="1010" spans="1:6">
      <c r="A1010" s="94">
        <v>9795000</v>
      </c>
      <c r="B1010" s="94">
        <v>9750000</v>
      </c>
      <c r="C1010" s="94">
        <v>9805000</v>
      </c>
      <c r="D1010" s="94">
        <v>9795000</v>
      </c>
      <c r="E1010" s="95">
        <v>42057</v>
      </c>
      <c r="F1010" s="96" t="s">
        <v>2178</v>
      </c>
    </row>
    <row r="1011" spans="1:6">
      <c r="A1011" s="94">
        <v>9725000</v>
      </c>
      <c r="B1011" s="94">
        <v>9710000</v>
      </c>
      <c r="C1011" s="94">
        <v>9775000</v>
      </c>
      <c r="D1011" s="94">
        <v>9725000</v>
      </c>
      <c r="E1011" s="95">
        <v>42056</v>
      </c>
      <c r="F1011" s="96" t="s">
        <v>2179</v>
      </c>
    </row>
    <row r="1012" spans="1:6">
      <c r="A1012" s="94">
        <v>9920000</v>
      </c>
      <c r="B1012" s="94">
        <v>9855000</v>
      </c>
      <c r="C1012" s="94">
        <v>9935000</v>
      </c>
      <c r="D1012" s="94">
        <v>9920000</v>
      </c>
      <c r="E1012" s="95">
        <v>42054</v>
      </c>
      <c r="F1012" s="96" t="s">
        <v>2180</v>
      </c>
    </row>
    <row r="1013" spans="1:6">
      <c r="A1013" s="94">
        <v>9830000</v>
      </c>
      <c r="B1013" s="94">
        <v>9745000</v>
      </c>
      <c r="C1013" s="94">
        <v>9830000</v>
      </c>
      <c r="D1013" s="94">
        <v>9830000</v>
      </c>
      <c r="E1013" s="95">
        <v>42053</v>
      </c>
      <c r="F1013" s="96" t="s">
        <v>2181</v>
      </c>
    </row>
    <row r="1014" spans="1:6">
      <c r="A1014" s="94">
        <v>9750000</v>
      </c>
      <c r="B1014" s="94">
        <v>9750000</v>
      </c>
      <c r="C1014" s="94">
        <v>9790000</v>
      </c>
      <c r="D1014" s="94">
        <v>9750000</v>
      </c>
      <c r="E1014" s="95">
        <v>42052</v>
      </c>
      <c r="F1014" s="96" t="s">
        <v>2182</v>
      </c>
    </row>
    <row r="1015" spans="1:6">
      <c r="A1015" s="94">
        <v>9890000</v>
      </c>
      <c r="B1015" s="94">
        <v>9890000</v>
      </c>
      <c r="C1015" s="94">
        <v>9950000</v>
      </c>
      <c r="D1015" s="94">
        <v>9890000</v>
      </c>
      <c r="E1015" s="95">
        <v>42051</v>
      </c>
      <c r="F1015" s="96" t="s">
        <v>2183</v>
      </c>
    </row>
    <row r="1016" spans="1:6">
      <c r="A1016" s="94">
        <v>9950000</v>
      </c>
      <c r="B1016" s="94">
        <v>9910000</v>
      </c>
      <c r="C1016" s="94">
        <v>9960000</v>
      </c>
      <c r="D1016" s="94">
        <v>9950000</v>
      </c>
      <c r="E1016" s="95">
        <v>42050</v>
      </c>
      <c r="F1016" s="96" t="s">
        <v>2184</v>
      </c>
    </row>
    <row r="1017" spans="1:6">
      <c r="A1017" s="94">
        <v>9970000</v>
      </c>
      <c r="B1017" s="94">
        <v>9970000</v>
      </c>
      <c r="C1017" s="94">
        <v>10040000</v>
      </c>
      <c r="D1017" s="94">
        <v>9970000</v>
      </c>
      <c r="E1017" s="95">
        <v>42049</v>
      </c>
      <c r="F1017" s="96" t="s">
        <v>2185</v>
      </c>
    </row>
    <row r="1018" spans="1:6">
      <c r="A1018" s="94">
        <v>9910000</v>
      </c>
      <c r="B1018" s="94">
        <v>9890000</v>
      </c>
      <c r="C1018" s="94">
        <v>9915000</v>
      </c>
      <c r="D1018" s="94">
        <v>9910000</v>
      </c>
      <c r="E1018" s="95">
        <v>42047</v>
      </c>
      <c r="F1018" s="96" t="s">
        <v>2186</v>
      </c>
    </row>
    <row r="1019" spans="1:6">
      <c r="A1019" s="94">
        <v>9940000</v>
      </c>
      <c r="B1019" s="94">
        <v>9910000</v>
      </c>
      <c r="C1019" s="94">
        <v>9970000</v>
      </c>
      <c r="D1019" s="94">
        <v>9940000</v>
      </c>
      <c r="E1019" s="95">
        <v>42045</v>
      </c>
      <c r="F1019" s="96" t="s">
        <v>2187</v>
      </c>
    </row>
    <row r="1020" spans="1:6">
      <c r="A1020" s="94">
        <v>9910000</v>
      </c>
      <c r="B1020" s="94">
        <v>9860000</v>
      </c>
      <c r="C1020" s="94">
        <v>9980000</v>
      </c>
      <c r="D1020" s="94">
        <v>9910000</v>
      </c>
      <c r="E1020" s="95">
        <v>42044</v>
      </c>
      <c r="F1020" s="96" t="s">
        <v>2188</v>
      </c>
    </row>
    <row r="1021" spans="1:6">
      <c r="A1021" s="94">
        <v>9840000</v>
      </c>
      <c r="B1021" s="94">
        <v>9720000</v>
      </c>
      <c r="C1021" s="94">
        <v>9840000</v>
      </c>
      <c r="D1021" s="94">
        <v>9840000</v>
      </c>
      <c r="E1021" s="95">
        <v>42043</v>
      </c>
      <c r="F1021" s="96" t="s">
        <v>2189</v>
      </c>
    </row>
    <row r="1022" spans="1:6">
      <c r="A1022" s="94">
        <v>9830000</v>
      </c>
      <c r="B1022" s="94">
        <v>9830000</v>
      </c>
      <c r="C1022" s="94">
        <v>9900000</v>
      </c>
      <c r="D1022" s="94">
        <v>9830000</v>
      </c>
      <c r="E1022" s="95">
        <v>42042</v>
      </c>
      <c r="F1022" s="96" t="s">
        <v>2190</v>
      </c>
    </row>
    <row r="1023" spans="1:6">
      <c r="A1023" s="94">
        <v>10090000</v>
      </c>
      <c r="B1023" s="94">
        <v>10090000</v>
      </c>
      <c r="C1023" s="94">
        <v>10150000</v>
      </c>
      <c r="D1023" s="94">
        <v>10090000</v>
      </c>
      <c r="E1023" s="95">
        <v>42040</v>
      </c>
      <c r="F1023" s="96" t="s">
        <v>2191</v>
      </c>
    </row>
    <row r="1024" spans="1:6">
      <c r="A1024" s="94">
        <v>10140000</v>
      </c>
      <c r="B1024" s="94">
        <v>10140000</v>
      </c>
      <c r="C1024" s="94">
        <v>10230000</v>
      </c>
      <c r="D1024" s="94">
        <v>10140000</v>
      </c>
      <c r="E1024" s="95">
        <v>42039</v>
      </c>
      <c r="F1024" s="96" t="s">
        <v>2192</v>
      </c>
    </row>
    <row r="1025" spans="1:6">
      <c r="A1025" s="94">
        <v>10260000</v>
      </c>
      <c r="B1025" s="94">
        <v>10250000</v>
      </c>
      <c r="C1025" s="94">
        <v>10320000</v>
      </c>
      <c r="D1025" s="94">
        <v>10260000</v>
      </c>
      <c r="E1025" s="95">
        <v>42038</v>
      </c>
      <c r="F1025" s="96" t="s">
        <v>2193</v>
      </c>
    </row>
    <row r="1026" spans="1:6">
      <c r="A1026" s="94">
        <v>10240000</v>
      </c>
      <c r="B1026" s="94">
        <v>10240000</v>
      </c>
      <c r="C1026" s="94">
        <v>10315000</v>
      </c>
      <c r="D1026" s="94">
        <v>10240000</v>
      </c>
      <c r="E1026" s="95">
        <v>42037</v>
      </c>
      <c r="F1026" s="96" t="s">
        <v>2194</v>
      </c>
    </row>
    <row r="1027" spans="1:6">
      <c r="A1027" s="94">
        <v>10320000</v>
      </c>
      <c r="B1027" s="94">
        <v>10320000</v>
      </c>
      <c r="C1027" s="94">
        <v>10340000</v>
      </c>
      <c r="D1027" s="94">
        <v>10320000</v>
      </c>
      <c r="E1027" s="95">
        <v>42036</v>
      </c>
      <c r="F1027" s="96" t="s">
        <v>2195</v>
      </c>
    </row>
    <row r="1028" spans="1:6">
      <c r="A1028" s="94">
        <v>10330000</v>
      </c>
      <c r="B1028" s="94">
        <v>10280000</v>
      </c>
      <c r="C1028" s="94">
        <v>10335000</v>
      </c>
      <c r="D1028" s="94">
        <v>10330000</v>
      </c>
      <c r="E1028" s="95">
        <v>42035</v>
      </c>
      <c r="F1028" s="96" t="s">
        <v>2196</v>
      </c>
    </row>
    <row r="1029" spans="1:6">
      <c r="A1029" s="94">
        <v>10340000</v>
      </c>
      <c r="B1029" s="94">
        <v>10340000</v>
      </c>
      <c r="C1029" s="94">
        <v>10380000</v>
      </c>
      <c r="D1029" s="94">
        <v>10340000</v>
      </c>
      <c r="E1029" s="95">
        <v>42033</v>
      </c>
      <c r="F1029" s="96" t="s">
        <v>2197</v>
      </c>
    </row>
    <row r="1030" spans="1:6">
      <c r="A1030" s="94">
        <v>10390000</v>
      </c>
      <c r="B1030" s="94">
        <v>10340000</v>
      </c>
      <c r="C1030" s="94">
        <v>10390000</v>
      </c>
      <c r="D1030" s="94">
        <v>10390000</v>
      </c>
      <c r="E1030" s="95">
        <v>42032</v>
      </c>
      <c r="F1030" s="96" t="s">
        <v>2198</v>
      </c>
    </row>
    <row r="1031" spans="1:6">
      <c r="A1031" s="94">
        <v>10355000</v>
      </c>
      <c r="B1031" s="94">
        <v>10340000</v>
      </c>
      <c r="C1031" s="94">
        <v>10380000</v>
      </c>
      <c r="D1031" s="94">
        <v>10355000</v>
      </c>
      <c r="E1031" s="95">
        <v>42031</v>
      </c>
      <c r="F1031" s="96" t="s">
        <v>2199</v>
      </c>
    </row>
    <row r="1032" spans="1:6">
      <c r="A1032" s="94">
        <v>10390000</v>
      </c>
      <c r="B1032" s="94">
        <v>10380000</v>
      </c>
      <c r="C1032" s="94">
        <v>10420000</v>
      </c>
      <c r="D1032" s="94">
        <v>10390000</v>
      </c>
      <c r="E1032" s="95">
        <v>42030</v>
      </c>
      <c r="F1032" s="96" t="s">
        <v>2200</v>
      </c>
    </row>
    <row r="1033" spans="1:6">
      <c r="A1033" s="94">
        <v>10420000</v>
      </c>
      <c r="B1033" s="94">
        <v>10380000</v>
      </c>
      <c r="C1033" s="94">
        <v>10420000</v>
      </c>
      <c r="D1033" s="94">
        <v>10420000</v>
      </c>
      <c r="E1033" s="95">
        <v>42029</v>
      </c>
      <c r="F1033" s="96" t="s">
        <v>2201</v>
      </c>
    </row>
    <row r="1034" spans="1:6">
      <c r="A1034" s="94">
        <v>10390000</v>
      </c>
      <c r="B1034" s="94">
        <v>10385000</v>
      </c>
      <c r="C1034" s="94">
        <v>10425000</v>
      </c>
      <c r="D1034" s="94">
        <v>10390000</v>
      </c>
      <c r="E1034" s="95">
        <v>42028</v>
      </c>
      <c r="F1034" s="96" t="s">
        <v>2202</v>
      </c>
    </row>
    <row r="1035" spans="1:6">
      <c r="A1035" s="94">
        <v>10380000</v>
      </c>
      <c r="B1035" s="94">
        <v>10380000</v>
      </c>
      <c r="C1035" s="94">
        <v>10400000</v>
      </c>
      <c r="D1035" s="94">
        <v>10380000</v>
      </c>
      <c r="E1035" s="95">
        <v>42026</v>
      </c>
      <c r="F1035" s="96" t="s">
        <v>2203</v>
      </c>
    </row>
    <row r="1036" spans="1:6">
      <c r="A1036" s="94">
        <v>10445000</v>
      </c>
      <c r="B1036" s="94">
        <v>10385000</v>
      </c>
      <c r="C1036" s="94">
        <v>10445000</v>
      </c>
      <c r="D1036" s="94">
        <v>10445000</v>
      </c>
      <c r="E1036" s="95">
        <v>42025</v>
      </c>
      <c r="F1036" s="96" t="s">
        <v>2204</v>
      </c>
    </row>
    <row r="1037" spans="1:6">
      <c r="A1037" s="94">
        <v>10380000</v>
      </c>
      <c r="B1037" s="94">
        <v>10305000</v>
      </c>
      <c r="C1037" s="94">
        <v>10385000</v>
      </c>
      <c r="D1037" s="94">
        <v>10380000</v>
      </c>
      <c r="E1037" s="95">
        <v>42024</v>
      </c>
      <c r="F1037" s="96" t="s">
        <v>2205</v>
      </c>
    </row>
    <row r="1038" spans="1:6">
      <c r="A1038" s="94">
        <v>10360000</v>
      </c>
      <c r="B1038" s="94">
        <v>10260000</v>
      </c>
      <c r="C1038" s="94">
        <v>10360000</v>
      </c>
      <c r="D1038" s="94">
        <v>10360000</v>
      </c>
      <c r="E1038" s="95">
        <v>42023</v>
      </c>
      <c r="F1038" s="96" t="s">
        <v>2206</v>
      </c>
    </row>
    <row r="1039" spans="1:6">
      <c r="A1039" s="94">
        <v>10260000</v>
      </c>
      <c r="B1039" s="94">
        <v>10205000</v>
      </c>
      <c r="C1039" s="94">
        <v>10260000</v>
      </c>
      <c r="D1039" s="94">
        <v>10260000</v>
      </c>
      <c r="E1039" s="95">
        <v>42022</v>
      </c>
      <c r="F1039" s="96" t="s">
        <v>2207</v>
      </c>
    </row>
    <row r="1040" spans="1:6">
      <c r="A1040" s="94">
        <v>10195000</v>
      </c>
      <c r="B1040" s="94">
        <v>10160000</v>
      </c>
      <c r="C1040" s="94">
        <v>10255000</v>
      </c>
      <c r="D1040" s="94">
        <v>10195000</v>
      </c>
      <c r="E1040" s="95">
        <v>42021</v>
      </c>
      <c r="F1040" s="96" t="s">
        <v>2208</v>
      </c>
    </row>
    <row r="1041" spans="1:6">
      <c r="A1041" s="94">
        <v>9980000</v>
      </c>
      <c r="B1041" s="94">
        <v>9900000</v>
      </c>
      <c r="C1041" s="94">
        <v>9980000</v>
      </c>
      <c r="D1041" s="94">
        <v>9980000</v>
      </c>
      <c r="E1041" s="95">
        <v>42019</v>
      </c>
      <c r="F1041" s="96" t="s">
        <v>2209</v>
      </c>
    </row>
    <row r="1042" spans="1:6">
      <c r="A1042" s="94">
        <v>9935000</v>
      </c>
      <c r="B1042" s="94">
        <v>9860000</v>
      </c>
      <c r="C1042" s="94">
        <v>9950000</v>
      </c>
      <c r="D1042" s="94">
        <v>9935000</v>
      </c>
      <c r="E1042" s="95">
        <v>42018</v>
      </c>
      <c r="F1042" s="96" t="s">
        <v>2210</v>
      </c>
    </row>
    <row r="1043" spans="1:6">
      <c r="A1043" s="94">
        <v>9915000</v>
      </c>
      <c r="B1043" s="94">
        <v>9915000</v>
      </c>
      <c r="C1043" s="94">
        <v>9945000</v>
      </c>
      <c r="D1043" s="94">
        <v>9915000</v>
      </c>
      <c r="E1043" s="95">
        <v>42017</v>
      </c>
      <c r="F1043" s="96" t="s">
        <v>2211</v>
      </c>
    </row>
    <row r="1044" spans="1:6">
      <c r="A1044" s="94">
        <v>9880000</v>
      </c>
      <c r="B1044" s="94">
        <v>9875000</v>
      </c>
      <c r="C1044" s="94">
        <v>9950000</v>
      </c>
      <c r="D1044" s="94">
        <v>9880000</v>
      </c>
      <c r="E1044" s="95">
        <v>42016</v>
      </c>
      <c r="F1044" s="96" t="s">
        <v>2212</v>
      </c>
    </row>
    <row r="1045" spans="1:6">
      <c r="A1045" s="94">
        <v>9925000</v>
      </c>
      <c r="B1045" s="94">
        <v>9925000</v>
      </c>
      <c r="C1045" s="94">
        <v>9955000</v>
      </c>
      <c r="D1045" s="94">
        <v>9925000</v>
      </c>
      <c r="E1045" s="95">
        <v>42015</v>
      </c>
      <c r="F1045" s="96" t="s">
        <v>2213</v>
      </c>
    </row>
    <row r="1046" spans="1:6">
      <c r="A1046" s="94">
        <v>9960000</v>
      </c>
      <c r="B1046" s="94">
        <v>9920000</v>
      </c>
      <c r="C1046" s="94">
        <v>9965000</v>
      </c>
      <c r="D1046" s="94">
        <v>9960000</v>
      </c>
      <c r="E1046" s="95">
        <v>42014</v>
      </c>
      <c r="F1046" s="96" t="s">
        <v>2214</v>
      </c>
    </row>
    <row r="1047" spans="1:6">
      <c r="A1047" s="94">
        <v>9885000</v>
      </c>
      <c r="B1047" s="94">
        <v>9885000</v>
      </c>
      <c r="C1047" s="94">
        <v>9915000</v>
      </c>
      <c r="D1047" s="94">
        <v>9885000</v>
      </c>
      <c r="E1047" s="95">
        <v>42012</v>
      </c>
      <c r="F1047" s="96" t="s">
        <v>2215</v>
      </c>
    </row>
    <row r="1048" spans="1:6">
      <c r="A1048" s="94">
        <v>9935000</v>
      </c>
      <c r="B1048" s="94">
        <v>9935000</v>
      </c>
      <c r="C1048" s="94">
        <v>10000000</v>
      </c>
      <c r="D1048" s="94">
        <v>9935000</v>
      </c>
      <c r="E1048" s="95">
        <v>42011</v>
      </c>
      <c r="F1048" s="96" t="s">
        <v>2216</v>
      </c>
    </row>
    <row r="1049" spans="1:6">
      <c r="A1049" s="94">
        <v>9935000</v>
      </c>
      <c r="B1049" s="94">
        <v>9865000</v>
      </c>
      <c r="C1049" s="94">
        <v>9940000</v>
      </c>
      <c r="D1049" s="94">
        <v>9935000</v>
      </c>
      <c r="E1049" s="95">
        <v>42010</v>
      </c>
      <c r="F1049" s="96" t="s">
        <v>2217</v>
      </c>
    </row>
    <row r="1050" spans="1:6">
      <c r="A1050" s="94">
        <v>9805000</v>
      </c>
      <c r="B1050" s="94">
        <v>9790000</v>
      </c>
      <c r="C1050" s="94">
        <v>9835000</v>
      </c>
      <c r="D1050" s="94">
        <v>9805000</v>
      </c>
      <c r="E1050" s="95">
        <v>42009</v>
      </c>
      <c r="F1050" s="96" t="s">
        <v>2218</v>
      </c>
    </row>
    <row r="1051" spans="1:6">
      <c r="A1051" s="94">
        <v>9815000</v>
      </c>
      <c r="B1051" s="94">
        <v>9805000</v>
      </c>
      <c r="C1051" s="94">
        <v>9850000</v>
      </c>
      <c r="D1051" s="94">
        <v>9815000</v>
      </c>
      <c r="E1051" s="95">
        <v>42008</v>
      </c>
      <c r="F1051" s="96" t="s">
        <v>2219</v>
      </c>
    </row>
    <row r="1052" spans="1:6">
      <c r="A1052" s="94">
        <v>9790000</v>
      </c>
      <c r="B1052" s="94">
        <v>9725000</v>
      </c>
      <c r="C1052" s="94">
        <v>9795000</v>
      </c>
      <c r="D1052" s="94">
        <v>9790000</v>
      </c>
      <c r="E1052" s="95">
        <v>42007</v>
      </c>
      <c r="F1052" s="96" t="s">
        <v>2220</v>
      </c>
    </row>
    <row r="1053" spans="1:6">
      <c r="A1053" s="94">
        <v>9770000</v>
      </c>
      <c r="B1053" s="94">
        <v>9755000</v>
      </c>
      <c r="C1053" s="94">
        <v>9780000</v>
      </c>
      <c r="D1053" s="94">
        <v>9770000</v>
      </c>
      <c r="E1053" s="95">
        <v>42005</v>
      </c>
      <c r="F1053" s="96" t="s">
        <v>2221</v>
      </c>
    </row>
    <row r="1054" spans="1:6">
      <c r="A1054" s="94">
        <v>9830000</v>
      </c>
      <c r="B1054" s="94">
        <v>9815000</v>
      </c>
      <c r="C1054" s="94">
        <v>9875000</v>
      </c>
      <c r="D1054" s="94">
        <v>9830000</v>
      </c>
      <c r="E1054" s="95">
        <v>42004</v>
      </c>
      <c r="F1054" s="96" t="s">
        <v>2222</v>
      </c>
    </row>
    <row r="1055" spans="1:6">
      <c r="A1055" s="94">
        <v>9840000</v>
      </c>
      <c r="B1055" s="94">
        <v>9800000</v>
      </c>
      <c r="C1055" s="94">
        <v>9890000</v>
      </c>
      <c r="D1055" s="94">
        <v>9840000</v>
      </c>
      <c r="E1055" s="95">
        <v>42003</v>
      </c>
      <c r="F1055" s="96" t="s">
        <v>2223</v>
      </c>
    </row>
    <row r="1056" spans="1:6">
      <c r="A1056" s="94">
        <v>9900000</v>
      </c>
      <c r="B1056" s="94">
        <v>9900000</v>
      </c>
      <c r="C1056" s="94">
        <v>9960000</v>
      </c>
      <c r="D1056" s="94">
        <v>9900000</v>
      </c>
      <c r="E1056" s="95">
        <v>42002</v>
      </c>
      <c r="F1056" s="96" t="s">
        <v>2224</v>
      </c>
    </row>
    <row r="1057" spans="1:6">
      <c r="A1057" s="94">
        <v>9955000</v>
      </c>
      <c r="B1057" s="94">
        <v>9940000</v>
      </c>
      <c r="C1057" s="94">
        <v>9975000</v>
      </c>
      <c r="D1057" s="94">
        <v>9955000</v>
      </c>
      <c r="E1057" s="95">
        <v>42001</v>
      </c>
      <c r="F1057" s="96" t="s">
        <v>2225</v>
      </c>
    </row>
    <row r="1058" spans="1:6">
      <c r="A1058" s="94">
        <v>9945000</v>
      </c>
      <c r="B1058" s="94">
        <v>9910000</v>
      </c>
      <c r="C1058" s="94">
        <v>9950000</v>
      </c>
      <c r="D1058" s="94">
        <v>9945000</v>
      </c>
      <c r="E1058" s="95">
        <v>42000</v>
      </c>
      <c r="F1058" s="96" t="s">
        <v>2226</v>
      </c>
    </row>
    <row r="1059" spans="1:6">
      <c r="A1059" s="94">
        <v>9895000</v>
      </c>
      <c r="B1059" s="94">
        <v>9895000</v>
      </c>
      <c r="C1059" s="94">
        <v>9900000</v>
      </c>
      <c r="D1059" s="94">
        <v>9895000</v>
      </c>
      <c r="E1059" s="95">
        <v>41999</v>
      </c>
      <c r="F1059" s="96" t="s">
        <v>2227</v>
      </c>
    </row>
    <row r="1060" spans="1:6">
      <c r="A1060" s="94">
        <v>9895000</v>
      </c>
      <c r="B1060" s="94">
        <v>9890000</v>
      </c>
      <c r="C1060" s="94">
        <v>9920000</v>
      </c>
      <c r="D1060" s="94">
        <v>9895000</v>
      </c>
      <c r="E1060" s="95">
        <v>41998</v>
      </c>
      <c r="F1060" s="96" t="s">
        <v>2228</v>
      </c>
    </row>
    <row r="1061" spans="1:6">
      <c r="A1061" s="94">
        <v>9895000</v>
      </c>
      <c r="B1061" s="94">
        <v>9895000</v>
      </c>
      <c r="C1061" s="94">
        <v>9950000</v>
      </c>
      <c r="D1061" s="94">
        <v>9895000</v>
      </c>
      <c r="E1061" s="95">
        <v>41997</v>
      </c>
      <c r="F1061" s="96" t="s">
        <v>2229</v>
      </c>
    </row>
    <row r="1062" spans="1:6">
      <c r="A1062" s="94">
        <v>9960000</v>
      </c>
      <c r="B1062" s="94">
        <v>9940000</v>
      </c>
      <c r="C1062" s="94">
        <v>9960000</v>
      </c>
      <c r="D1062" s="94">
        <v>9960000</v>
      </c>
      <c r="E1062" s="95">
        <v>41996</v>
      </c>
      <c r="F1062" s="96" t="s">
        <v>2230</v>
      </c>
    </row>
    <row r="1063" spans="1:6">
      <c r="A1063" s="94">
        <v>9960000</v>
      </c>
      <c r="B1063" s="94">
        <v>9910000</v>
      </c>
      <c r="C1063" s="94">
        <v>9960000</v>
      </c>
      <c r="D1063" s="94">
        <v>9960000</v>
      </c>
      <c r="E1063" s="95">
        <v>41995</v>
      </c>
      <c r="F1063" s="96" t="s">
        <v>2231</v>
      </c>
    </row>
    <row r="1064" spans="1:6">
      <c r="A1064" s="94">
        <v>9935000</v>
      </c>
      <c r="B1064" s="94">
        <v>9930000</v>
      </c>
      <c r="C1064" s="94">
        <v>9935000</v>
      </c>
      <c r="D1064" s="94">
        <v>9935000</v>
      </c>
      <c r="E1064" s="95">
        <v>41994</v>
      </c>
      <c r="F1064" s="96" t="s">
        <v>2232</v>
      </c>
    </row>
    <row r="1065" spans="1:6">
      <c r="A1065" s="94">
        <v>9935000</v>
      </c>
      <c r="B1065" s="94">
        <v>9875000</v>
      </c>
      <c r="C1065" s="94">
        <v>9975000</v>
      </c>
      <c r="D1065" s="94">
        <v>9935000</v>
      </c>
      <c r="E1065" s="95">
        <v>41993</v>
      </c>
      <c r="F1065" s="96" t="s">
        <v>2233</v>
      </c>
    </row>
    <row r="1066" spans="1:6">
      <c r="A1066" s="94">
        <v>9990000</v>
      </c>
      <c r="B1066" s="94">
        <v>9910000</v>
      </c>
      <c r="C1066" s="94">
        <v>9995000</v>
      </c>
      <c r="D1066" s="94">
        <v>9990000</v>
      </c>
      <c r="E1066" s="95">
        <v>41991</v>
      </c>
      <c r="F1066" s="96" t="s">
        <v>2234</v>
      </c>
    </row>
    <row r="1067" spans="1:6">
      <c r="A1067" s="94">
        <v>9905000</v>
      </c>
      <c r="B1067" s="94">
        <v>9900000</v>
      </c>
      <c r="C1067" s="94">
        <v>9950000</v>
      </c>
      <c r="D1067" s="94">
        <v>9905000</v>
      </c>
      <c r="E1067" s="95">
        <v>41990</v>
      </c>
      <c r="F1067" s="96" t="s">
        <v>2235</v>
      </c>
    </row>
    <row r="1068" spans="1:6">
      <c r="A1068" s="94">
        <v>9970000</v>
      </c>
      <c r="B1068" s="94">
        <v>9850000</v>
      </c>
      <c r="C1068" s="94">
        <v>10020000</v>
      </c>
      <c r="D1068" s="94">
        <v>9970000</v>
      </c>
      <c r="E1068" s="95">
        <v>41989</v>
      </c>
      <c r="F1068" s="96" t="s">
        <v>2236</v>
      </c>
    </row>
    <row r="1069" spans="1:6">
      <c r="A1069" s="94">
        <v>9960000</v>
      </c>
      <c r="B1069" s="94">
        <v>9950000</v>
      </c>
      <c r="C1069" s="94">
        <v>10120000</v>
      </c>
      <c r="D1069" s="94">
        <v>9960000</v>
      </c>
      <c r="E1069" s="95">
        <v>41988</v>
      </c>
      <c r="F1069" s="96" t="s">
        <v>2237</v>
      </c>
    </row>
    <row r="1070" spans="1:6">
      <c r="A1070" s="94">
        <v>10010000</v>
      </c>
      <c r="B1070" s="94">
        <v>9815000</v>
      </c>
      <c r="C1070" s="94">
        <v>10010000</v>
      </c>
      <c r="D1070" s="94">
        <v>10010000</v>
      </c>
      <c r="E1070" s="95">
        <v>41987</v>
      </c>
      <c r="F1070" s="96" t="s">
        <v>2238</v>
      </c>
    </row>
    <row r="1071" spans="1:6">
      <c r="A1071" s="94">
        <v>9800000</v>
      </c>
      <c r="B1071" s="94">
        <v>9795000</v>
      </c>
      <c r="C1071" s="94">
        <v>9800000</v>
      </c>
      <c r="D1071" s="94">
        <v>9800000</v>
      </c>
      <c r="E1071" s="95">
        <v>41986</v>
      </c>
      <c r="F1071" s="96" t="s">
        <v>2239</v>
      </c>
    </row>
    <row r="1072" spans="1:6">
      <c r="A1072" s="94">
        <v>9800000</v>
      </c>
      <c r="B1072" s="94">
        <v>9795000</v>
      </c>
      <c r="C1072" s="94">
        <v>9800000</v>
      </c>
      <c r="D1072" s="94">
        <v>9800000</v>
      </c>
      <c r="E1072" s="95">
        <v>41985</v>
      </c>
      <c r="F1072" s="96" t="s">
        <v>2240</v>
      </c>
    </row>
    <row r="1073" spans="1:6">
      <c r="A1073" s="94">
        <v>9800000</v>
      </c>
      <c r="B1073" s="94">
        <v>9790000</v>
      </c>
      <c r="C1073" s="94">
        <v>9835000</v>
      </c>
      <c r="D1073" s="94">
        <v>9800000</v>
      </c>
      <c r="E1073" s="95">
        <v>41984</v>
      </c>
      <c r="F1073" s="96" t="s">
        <v>2241</v>
      </c>
    </row>
    <row r="1074" spans="1:6">
      <c r="A1074" s="94">
        <v>9810000</v>
      </c>
      <c r="B1074" s="94">
        <v>9675000</v>
      </c>
      <c r="C1074" s="94">
        <v>9810000</v>
      </c>
      <c r="D1074" s="94">
        <v>9810000</v>
      </c>
      <c r="E1074" s="95">
        <v>41983</v>
      </c>
      <c r="F1074" s="96" t="s">
        <v>2242</v>
      </c>
    </row>
    <row r="1075" spans="1:6">
      <c r="A1075" s="94">
        <v>9680000</v>
      </c>
      <c r="B1075" s="94">
        <v>9630000</v>
      </c>
      <c r="C1075" s="94">
        <v>9680000</v>
      </c>
      <c r="D1075" s="94">
        <v>9680000</v>
      </c>
      <c r="E1075" s="95">
        <v>41982</v>
      </c>
      <c r="F1075" s="96" t="s">
        <v>2243</v>
      </c>
    </row>
    <row r="1076" spans="1:6">
      <c r="A1076" s="94">
        <v>9630000</v>
      </c>
      <c r="B1076" s="94">
        <v>9620000</v>
      </c>
      <c r="C1076" s="94">
        <v>9670000</v>
      </c>
      <c r="D1076" s="94">
        <v>9630000</v>
      </c>
      <c r="E1076" s="95">
        <v>41981</v>
      </c>
      <c r="F1076" s="96" t="s">
        <v>2244</v>
      </c>
    </row>
    <row r="1077" spans="1:6">
      <c r="A1077" s="94">
        <v>9570000</v>
      </c>
      <c r="B1077" s="94">
        <v>9510000</v>
      </c>
      <c r="C1077" s="94">
        <v>9580000</v>
      </c>
      <c r="D1077" s="94">
        <v>9570000</v>
      </c>
      <c r="E1077" s="95">
        <v>41980</v>
      </c>
      <c r="F1077" s="96" t="s">
        <v>2245</v>
      </c>
    </row>
    <row r="1078" spans="1:6">
      <c r="A1078" s="94">
        <v>9490000</v>
      </c>
      <c r="B1078" s="94">
        <v>9490000</v>
      </c>
      <c r="C1078" s="94">
        <v>9520000</v>
      </c>
      <c r="D1078" s="94">
        <v>9490000</v>
      </c>
      <c r="E1078" s="95">
        <v>41979</v>
      </c>
      <c r="F1078" s="96" t="s">
        <v>2246</v>
      </c>
    </row>
    <row r="1079" spans="1:6">
      <c r="A1079" s="94">
        <v>9565000</v>
      </c>
      <c r="B1079" s="94">
        <v>9550000</v>
      </c>
      <c r="C1079" s="94">
        <v>9565000</v>
      </c>
      <c r="D1079" s="94">
        <v>9565000</v>
      </c>
      <c r="E1079" s="95">
        <v>41977</v>
      </c>
      <c r="F1079" s="96" t="s">
        <v>2247</v>
      </c>
    </row>
    <row r="1080" spans="1:6">
      <c r="A1080" s="94">
        <v>9560000</v>
      </c>
      <c r="B1080" s="94">
        <v>9530000</v>
      </c>
      <c r="C1080" s="94">
        <v>9580000</v>
      </c>
      <c r="D1080" s="94">
        <v>9560000</v>
      </c>
      <c r="E1080" s="95">
        <v>41976</v>
      </c>
      <c r="F1080" s="96" t="s">
        <v>2248</v>
      </c>
    </row>
    <row r="1081" spans="1:6">
      <c r="A1081" s="94">
        <v>9555000</v>
      </c>
      <c r="B1081" s="94">
        <v>9550000</v>
      </c>
      <c r="C1081" s="94">
        <v>9605000</v>
      </c>
      <c r="D1081" s="94">
        <v>9555000</v>
      </c>
      <c r="E1081" s="95">
        <v>41975</v>
      </c>
      <c r="F1081" s="96" t="s">
        <v>2249</v>
      </c>
    </row>
    <row r="1082" spans="1:6">
      <c r="A1082" s="94">
        <v>9510000</v>
      </c>
      <c r="B1082" s="94">
        <v>9475000</v>
      </c>
      <c r="C1082" s="94">
        <v>9545000</v>
      </c>
      <c r="D1082" s="94">
        <v>9510000</v>
      </c>
      <c r="E1082" s="95">
        <v>41974</v>
      </c>
      <c r="F1082" s="96" t="s">
        <v>2250</v>
      </c>
    </row>
    <row r="1083" spans="1:6">
      <c r="A1083" s="94">
        <v>9550000</v>
      </c>
      <c r="B1083" s="94">
        <v>9470000</v>
      </c>
      <c r="C1083" s="94">
        <v>9625000</v>
      </c>
      <c r="D1083" s="94">
        <v>9550000</v>
      </c>
      <c r="E1083" s="95">
        <v>41973</v>
      </c>
      <c r="F1083" s="96" t="s">
        <v>2251</v>
      </c>
    </row>
    <row r="1084" spans="1:6">
      <c r="A1084" s="94">
        <v>9450000</v>
      </c>
      <c r="B1084" s="94">
        <v>9350000</v>
      </c>
      <c r="C1084" s="94">
        <v>9465000</v>
      </c>
      <c r="D1084" s="94">
        <v>9450000</v>
      </c>
      <c r="E1084" s="95">
        <v>41972</v>
      </c>
      <c r="F1084" s="96" t="s">
        <v>2252</v>
      </c>
    </row>
    <row r="1085" spans="1:6">
      <c r="A1085" s="94">
        <v>9385000</v>
      </c>
      <c r="B1085" s="94">
        <v>9360000</v>
      </c>
      <c r="C1085" s="94">
        <v>9400000</v>
      </c>
      <c r="D1085" s="94">
        <v>9385000</v>
      </c>
      <c r="E1085" s="95">
        <v>41970</v>
      </c>
      <c r="F1085" s="96" t="s">
        <v>2253</v>
      </c>
    </row>
    <row r="1086" spans="1:6">
      <c r="A1086" s="94">
        <v>9380000</v>
      </c>
      <c r="B1086" s="94">
        <v>9295000</v>
      </c>
      <c r="C1086" s="94">
        <v>9380000</v>
      </c>
      <c r="D1086" s="94">
        <v>9380000</v>
      </c>
      <c r="E1086" s="95">
        <v>41969</v>
      </c>
      <c r="F1086" s="96" t="s">
        <v>2254</v>
      </c>
    </row>
    <row r="1087" spans="1:6">
      <c r="A1087" s="94">
        <v>9290000</v>
      </c>
      <c r="B1087" s="94">
        <v>9215000</v>
      </c>
      <c r="C1087" s="94">
        <v>9305000</v>
      </c>
      <c r="D1087" s="94">
        <v>9290000</v>
      </c>
      <c r="E1087" s="95">
        <v>41968</v>
      </c>
      <c r="F1087" s="96" t="s">
        <v>2255</v>
      </c>
    </row>
    <row r="1088" spans="1:6">
      <c r="A1088" s="94">
        <v>9220000</v>
      </c>
      <c r="B1088" s="94">
        <v>9140000</v>
      </c>
      <c r="C1088" s="94">
        <v>9225000</v>
      </c>
      <c r="D1088" s="94">
        <v>9220000</v>
      </c>
      <c r="E1088" s="95">
        <v>41967</v>
      </c>
      <c r="F1088" s="96" t="s">
        <v>2256</v>
      </c>
    </row>
    <row r="1089" spans="1:6">
      <c r="A1089" s="94">
        <v>9150000</v>
      </c>
      <c r="B1089" s="94">
        <v>9130000</v>
      </c>
      <c r="C1089" s="94">
        <v>9160000</v>
      </c>
      <c r="D1089" s="94">
        <v>9150000</v>
      </c>
      <c r="E1089" s="95">
        <v>41966</v>
      </c>
      <c r="F1089" s="96" t="s">
        <v>2257</v>
      </c>
    </row>
    <row r="1090" spans="1:6">
      <c r="A1090" s="94">
        <v>9150000</v>
      </c>
      <c r="B1090" s="94">
        <v>9140000</v>
      </c>
      <c r="C1090" s="94">
        <v>9165000</v>
      </c>
      <c r="D1090" s="94">
        <v>9150000</v>
      </c>
      <c r="E1090" s="95">
        <v>41965</v>
      </c>
      <c r="F1090" s="96" t="s">
        <v>2258</v>
      </c>
    </row>
    <row r="1091" spans="1:6">
      <c r="A1091" s="94">
        <v>9140000</v>
      </c>
      <c r="B1091" s="94">
        <v>9130000</v>
      </c>
      <c r="C1091" s="94">
        <v>9150000</v>
      </c>
      <c r="D1091" s="94">
        <v>9140000</v>
      </c>
      <c r="E1091" s="95">
        <v>41963</v>
      </c>
      <c r="F1091" s="96" t="s">
        <v>2259</v>
      </c>
    </row>
    <row r="1092" spans="1:6">
      <c r="A1092" s="94">
        <v>9170000</v>
      </c>
      <c r="B1092" s="94">
        <v>9160000</v>
      </c>
      <c r="C1092" s="94">
        <v>9180000</v>
      </c>
      <c r="D1092" s="94">
        <v>9170000</v>
      </c>
      <c r="E1092" s="95">
        <v>41962</v>
      </c>
      <c r="F1092" s="96" t="s">
        <v>2260</v>
      </c>
    </row>
    <row r="1093" spans="1:6">
      <c r="A1093" s="94">
        <v>9170000</v>
      </c>
      <c r="B1093" s="94">
        <v>9130000</v>
      </c>
      <c r="C1093" s="94">
        <v>9185000</v>
      </c>
      <c r="D1093" s="94">
        <v>9170000</v>
      </c>
      <c r="E1093" s="95">
        <v>41961</v>
      </c>
      <c r="F1093" s="96" t="s">
        <v>2261</v>
      </c>
    </row>
    <row r="1094" spans="1:6">
      <c r="A1094" s="94">
        <v>9140000</v>
      </c>
      <c r="B1094" s="94">
        <v>9130000</v>
      </c>
      <c r="C1094" s="94">
        <v>9145000</v>
      </c>
      <c r="D1094" s="94">
        <v>9140000</v>
      </c>
      <c r="E1094" s="95">
        <v>41960</v>
      </c>
      <c r="F1094" s="96" t="s">
        <v>2262</v>
      </c>
    </row>
    <row r="1095" spans="1:6">
      <c r="A1095" s="94">
        <v>9140000</v>
      </c>
      <c r="B1095" s="94">
        <v>9130000</v>
      </c>
      <c r="C1095" s="94">
        <v>9150000</v>
      </c>
      <c r="D1095" s="94">
        <v>9140000</v>
      </c>
      <c r="E1095" s="95">
        <v>41959</v>
      </c>
      <c r="F1095" s="96" t="s">
        <v>2263</v>
      </c>
    </row>
    <row r="1096" spans="1:6">
      <c r="A1096" s="94">
        <v>9150000</v>
      </c>
      <c r="B1096" s="94">
        <v>9140000</v>
      </c>
      <c r="C1096" s="94">
        <v>9165000</v>
      </c>
      <c r="D1096" s="94">
        <v>9150000</v>
      </c>
      <c r="E1096" s="95">
        <v>41958</v>
      </c>
      <c r="F1096" s="96" t="s">
        <v>2264</v>
      </c>
    </row>
    <row r="1097" spans="1:6">
      <c r="A1097" s="94">
        <v>9045000</v>
      </c>
      <c r="B1097" s="94">
        <v>9035000</v>
      </c>
      <c r="C1097" s="94">
        <v>9050000</v>
      </c>
      <c r="D1097" s="94">
        <v>9045000</v>
      </c>
      <c r="E1097" s="95">
        <v>41957</v>
      </c>
      <c r="F1097" s="96" t="s">
        <v>2265</v>
      </c>
    </row>
    <row r="1098" spans="1:6">
      <c r="A1098" s="94">
        <v>9045000</v>
      </c>
      <c r="B1098" s="94">
        <v>9015000</v>
      </c>
      <c r="C1098" s="94">
        <v>9045000</v>
      </c>
      <c r="D1098" s="94">
        <v>9045000</v>
      </c>
      <c r="E1098" s="95">
        <v>41956</v>
      </c>
      <c r="F1098" s="96" t="s">
        <v>2266</v>
      </c>
    </row>
    <row r="1099" spans="1:6">
      <c r="A1099" s="94">
        <v>9060000</v>
      </c>
      <c r="B1099" s="94">
        <v>9020000</v>
      </c>
      <c r="C1099" s="94">
        <v>9065000</v>
      </c>
      <c r="D1099" s="94">
        <v>9060000</v>
      </c>
      <c r="E1099" s="95">
        <v>41955</v>
      </c>
      <c r="F1099" s="96" t="s">
        <v>2267</v>
      </c>
    </row>
    <row r="1100" spans="1:6">
      <c r="A1100" s="94">
        <v>9000000</v>
      </c>
      <c r="B1100" s="94">
        <v>8955000</v>
      </c>
      <c r="C1100" s="94">
        <v>9025000</v>
      </c>
      <c r="D1100" s="94">
        <v>9000000</v>
      </c>
      <c r="E1100" s="95">
        <v>41954</v>
      </c>
      <c r="F1100" s="96" t="s">
        <v>2268</v>
      </c>
    </row>
    <row r="1101" spans="1:6">
      <c r="A1101" s="94">
        <v>9030000</v>
      </c>
      <c r="B1101" s="94">
        <v>9015000</v>
      </c>
      <c r="C1101" s="94">
        <v>9075000</v>
      </c>
      <c r="D1101" s="94">
        <v>9030000</v>
      </c>
      <c r="E1101" s="95">
        <v>41953</v>
      </c>
      <c r="F1101" s="96" t="s">
        <v>2269</v>
      </c>
    </row>
    <row r="1102" spans="1:6">
      <c r="A1102" s="94">
        <v>9075000</v>
      </c>
      <c r="B1102" s="94">
        <v>9065000</v>
      </c>
      <c r="C1102" s="94">
        <v>9095000</v>
      </c>
      <c r="D1102" s="94">
        <v>9075000</v>
      </c>
      <c r="E1102" s="95">
        <v>41952</v>
      </c>
      <c r="F1102" s="96" t="s">
        <v>2270</v>
      </c>
    </row>
    <row r="1103" spans="1:6">
      <c r="A1103" s="94">
        <v>9080000</v>
      </c>
      <c r="B1103" s="94">
        <v>9045000</v>
      </c>
      <c r="C1103" s="94">
        <v>9085000</v>
      </c>
      <c r="D1103" s="94">
        <v>9080000</v>
      </c>
      <c r="E1103" s="95">
        <v>41951</v>
      </c>
      <c r="F1103" s="96" t="s">
        <v>2271</v>
      </c>
    </row>
    <row r="1104" spans="1:6">
      <c r="A1104" s="94">
        <v>9033000</v>
      </c>
      <c r="B1104" s="94">
        <v>9025000</v>
      </c>
      <c r="C1104" s="94">
        <v>9035000</v>
      </c>
      <c r="D1104" s="94">
        <v>9033000</v>
      </c>
      <c r="E1104" s="95">
        <v>41950</v>
      </c>
      <c r="F1104" s="96" t="s">
        <v>2272</v>
      </c>
    </row>
    <row r="1105" spans="1:6">
      <c r="A1105" s="94">
        <v>9033000</v>
      </c>
      <c r="B1105" s="94">
        <v>9017000</v>
      </c>
      <c r="C1105" s="94">
        <v>9033000</v>
      </c>
      <c r="D1105" s="94">
        <v>9033000</v>
      </c>
      <c r="E1105" s="95">
        <v>41949</v>
      </c>
      <c r="F1105" s="96" t="s">
        <v>2273</v>
      </c>
    </row>
    <row r="1106" spans="1:6">
      <c r="A1106" s="94">
        <v>9025000</v>
      </c>
      <c r="B1106" s="94">
        <v>9020000</v>
      </c>
      <c r="C1106" s="94">
        <v>9025000</v>
      </c>
      <c r="D1106" s="94">
        <v>9025000</v>
      </c>
      <c r="E1106" s="95">
        <v>41948</v>
      </c>
      <c r="F1106" s="96" t="s">
        <v>2274</v>
      </c>
    </row>
    <row r="1107" spans="1:6">
      <c r="A1107" s="94">
        <v>9150000</v>
      </c>
      <c r="B1107" s="94">
        <v>9150000</v>
      </c>
      <c r="C1107" s="94">
        <v>9155000</v>
      </c>
      <c r="D1107" s="94">
        <v>9150000</v>
      </c>
      <c r="E1107" s="95">
        <v>41946</v>
      </c>
      <c r="F1107" s="96" t="s">
        <v>2275</v>
      </c>
    </row>
    <row r="1108" spans="1:6">
      <c r="A1108" s="94">
        <v>9150000</v>
      </c>
      <c r="B1108" s="94">
        <v>9110000</v>
      </c>
      <c r="C1108" s="94">
        <v>9150000</v>
      </c>
      <c r="D1108" s="94">
        <v>9150000</v>
      </c>
      <c r="E1108" s="95">
        <v>41945</v>
      </c>
      <c r="F1108" s="96" t="s">
        <v>2276</v>
      </c>
    </row>
    <row r="1109" spans="1:6">
      <c r="A1109" s="94">
        <v>9143000</v>
      </c>
      <c r="B1109" s="94">
        <v>9127000</v>
      </c>
      <c r="C1109" s="94">
        <v>9153000</v>
      </c>
      <c r="D1109" s="94">
        <v>9143000</v>
      </c>
      <c r="E1109" s="95">
        <v>41944</v>
      </c>
      <c r="F1109" s="96" t="s">
        <v>2277</v>
      </c>
    </row>
    <row r="1110" spans="1:6">
      <c r="A1110" s="94">
        <v>9244000</v>
      </c>
      <c r="B1110" s="94">
        <v>9242000</v>
      </c>
      <c r="C1110" s="94">
        <v>9244000</v>
      </c>
      <c r="D1110" s="94">
        <v>9244000</v>
      </c>
      <c r="E1110" s="95">
        <v>41943</v>
      </c>
      <c r="F1110" s="96" t="s">
        <v>2278</v>
      </c>
    </row>
    <row r="1111" spans="1:6">
      <c r="A1111" s="94">
        <v>9244000</v>
      </c>
      <c r="B1111" s="94">
        <v>9229000</v>
      </c>
      <c r="C1111" s="94">
        <v>9273000</v>
      </c>
      <c r="D1111" s="94">
        <v>9244000</v>
      </c>
      <c r="E1111" s="95">
        <v>41942</v>
      </c>
      <c r="F1111" s="96" t="s">
        <v>2279</v>
      </c>
    </row>
    <row r="1112" spans="1:6">
      <c r="A1112" s="94">
        <v>9293000</v>
      </c>
      <c r="B1112" s="94">
        <v>9290000</v>
      </c>
      <c r="C1112" s="94">
        <v>9313000</v>
      </c>
      <c r="D1112" s="94">
        <v>9293000</v>
      </c>
      <c r="E1112" s="95">
        <v>41941</v>
      </c>
      <c r="F1112" s="96" t="s">
        <v>2280</v>
      </c>
    </row>
    <row r="1113" spans="1:6">
      <c r="A1113" s="94">
        <v>9305000</v>
      </c>
      <c r="B1113" s="94">
        <v>9285000</v>
      </c>
      <c r="C1113" s="94">
        <v>9320000</v>
      </c>
      <c r="D1113" s="94">
        <v>9305000</v>
      </c>
      <c r="E1113" s="95">
        <v>41940</v>
      </c>
      <c r="F1113" s="96" t="s">
        <v>2281</v>
      </c>
    </row>
    <row r="1114" spans="1:6">
      <c r="A1114" s="94">
        <v>9310000</v>
      </c>
      <c r="B1114" s="94">
        <v>9295000</v>
      </c>
      <c r="C1114" s="94">
        <v>9325000</v>
      </c>
      <c r="D1114" s="94">
        <v>9310000</v>
      </c>
      <c r="E1114" s="95">
        <v>41939</v>
      </c>
      <c r="F1114" s="96" t="s">
        <v>2282</v>
      </c>
    </row>
    <row r="1115" spans="1:6">
      <c r="A1115" s="94">
        <v>9295000</v>
      </c>
      <c r="B1115" s="94">
        <v>9285000</v>
      </c>
      <c r="C1115" s="94">
        <v>9300000</v>
      </c>
      <c r="D1115" s="94">
        <v>9295000</v>
      </c>
      <c r="E1115" s="95">
        <v>41938</v>
      </c>
      <c r="F1115" s="96" t="s">
        <v>2283</v>
      </c>
    </row>
    <row r="1116" spans="1:6">
      <c r="A1116" s="94">
        <v>9300000</v>
      </c>
      <c r="B1116" s="94">
        <v>9300000</v>
      </c>
      <c r="C1116" s="94">
        <v>9340000</v>
      </c>
      <c r="D1116" s="94">
        <v>9300000</v>
      </c>
      <c r="E1116" s="95">
        <v>41937</v>
      </c>
      <c r="F1116" s="96" t="s">
        <v>2284</v>
      </c>
    </row>
    <row r="1117" spans="1:6">
      <c r="A1117" s="94">
        <v>9360000</v>
      </c>
      <c r="B1117" s="94">
        <v>9355000</v>
      </c>
      <c r="C1117" s="94">
        <v>9370000</v>
      </c>
      <c r="D1117" s="94">
        <v>9360000</v>
      </c>
      <c r="E1117" s="95">
        <v>41935</v>
      </c>
      <c r="F1117" s="96" t="s">
        <v>2285</v>
      </c>
    </row>
    <row r="1118" spans="1:6">
      <c r="A1118" s="94">
        <v>9380000</v>
      </c>
      <c r="B1118" s="94">
        <v>9375000</v>
      </c>
      <c r="C1118" s="94">
        <v>9385000</v>
      </c>
      <c r="D1118" s="94">
        <v>9380000</v>
      </c>
      <c r="E1118" s="95">
        <v>41934</v>
      </c>
      <c r="F1118" s="96" t="s">
        <v>2286</v>
      </c>
    </row>
    <row r="1119" spans="1:6">
      <c r="A1119" s="94">
        <v>9390000</v>
      </c>
      <c r="B1119" s="94">
        <v>9380000</v>
      </c>
      <c r="C1119" s="94">
        <v>9410000</v>
      </c>
      <c r="D1119" s="94">
        <v>9390000</v>
      </c>
      <c r="E1119" s="95">
        <v>41933</v>
      </c>
      <c r="F1119" s="96" t="s">
        <v>2287</v>
      </c>
    </row>
    <row r="1120" spans="1:6">
      <c r="A1120" s="94">
        <v>9375000</v>
      </c>
      <c r="B1120" s="94">
        <v>9370000</v>
      </c>
      <c r="C1120" s="94">
        <v>9395000</v>
      </c>
      <c r="D1120" s="94">
        <v>9375000</v>
      </c>
      <c r="E1120" s="95">
        <v>41932</v>
      </c>
      <c r="F1120" s="96" t="s">
        <v>2288</v>
      </c>
    </row>
    <row r="1121" spans="1:6">
      <c r="A1121" s="94">
        <v>9390000</v>
      </c>
      <c r="B1121" s="94">
        <v>9370000</v>
      </c>
      <c r="C1121" s="94">
        <v>9390000</v>
      </c>
      <c r="D1121" s="94">
        <v>9390000</v>
      </c>
      <c r="E1121" s="95">
        <v>41931</v>
      </c>
      <c r="F1121" s="96" t="s">
        <v>2289</v>
      </c>
    </row>
    <row r="1122" spans="1:6">
      <c r="A1122" s="94">
        <v>9380000</v>
      </c>
      <c r="B1122" s="94">
        <v>9370000</v>
      </c>
      <c r="C1122" s="94">
        <v>9395000</v>
      </c>
      <c r="D1122" s="94">
        <v>9380000</v>
      </c>
      <c r="E1122" s="95">
        <v>41930</v>
      </c>
      <c r="F1122" s="96" t="s">
        <v>2290</v>
      </c>
    </row>
    <row r="1123" spans="1:6">
      <c r="A1123" s="94">
        <v>9415000</v>
      </c>
      <c r="B1123" s="94">
        <v>9400000</v>
      </c>
      <c r="C1123" s="94">
        <v>9415000</v>
      </c>
      <c r="D1123" s="94">
        <v>9415000</v>
      </c>
      <c r="E1123" s="95">
        <v>41929</v>
      </c>
      <c r="F1123" s="96" t="s">
        <v>2291</v>
      </c>
    </row>
    <row r="1124" spans="1:6">
      <c r="A1124" s="94">
        <v>9415000</v>
      </c>
      <c r="B1124" s="94">
        <v>9395000</v>
      </c>
      <c r="C1124" s="94">
        <v>9420000</v>
      </c>
      <c r="D1124" s="94">
        <v>9415000</v>
      </c>
      <c r="E1124" s="95">
        <v>41928</v>
      </c>
      <c r="F1124" s="96" t="s">
        <v>2292</v>
      </c>
    </row>
    <row r="1125" spans="1:6">
      <c r="A1125" s="94">
        <v>9405000</v>
      </c>
      <c r="B1125" s="94">
        <v>9345000</v>
      </c>
      <c r="C1125" s="94">
        <v>9415000</v>
      </c>
      <c r="D1125" s="94">
        <v>9405000</v>
      </c>
      <c r="E1125" s="95">
        <v>41927</v>
      </c>
      <c r="F1125" s="96" t="s">
        <v>2293</v>
      </c>
    </row>
    <row r="1126" spans="1:6">
      <c r="A1126" s="94">
        <v>9405000</v>
      </c>
      <c r="B1126" s="94">
        <v>9385000</v>
      </c>
      <c r="C1126" s="94">
        <v>9440000</v>
      </c>
      <c r="D1126" s="94">
        <v>9405000</v>
      </c>
      <c r="E1126" s="95">
        <v>41926</v>
      </c>
      <c r="F1126" s="96" t="s">
        <v>2294</v>
      </c>
    </row>
    <row r="1127" spans="1:6">
      <c r="A1127" s="94">
        <v>9395000</v>
      </c>
      <c r="B1127" s="94">
        <v>9395000</v>
      </c>
      <c r="C1127" s="94">
        <v>9400000</v>
      </c>
      <c r="D1127" s="94">
        <v>9395000</v>
      </c>
      <c r="E1127" s="95">
        <v>41925</v>
      </c>
      <c r="F1127" s="96" t="s">
        <v>2295</v>
      </c>
    </row>
    <row r="1128" spans="1:6">
      <c r="A1128" s="94">
        <v>9395000</v>
      </c>
      <c r="B1128" s="94">
        <v>9375000</v>
      </c>
      <c r="C1128" s="94">
        <v>9395000</v>
      </c>
      <c r="D1128" s="94">
        <v>9395000</v>
      </c>
      <c r="E1128" s="95">
        <v>41924</v>
      </c>
      <c r="F1128" s="96" t="s">
        <v>2296</v>
      </c>
    </row>
    <row r="1129" spans="1:6">
      <c r="A1129" s="94">
        <v>9395000</v>
      </c>
      <c r="B1129" s="94">
        <v>9395000</v>
      </c>
      <c r="C1129" s="94">
        <v>9495000</v>
      </c>
      <c r="D1129" s="94">
        <v>9395000</v>
      </c>
      <c r="E1129" s="95">
        <v>41923</v>
      </c>
      <c r="F1129" s="96" t="s">
        <v>2297</v>
      </c>
    </row>
    <row r="1130" spans="1:6">
      <c r="A1130" s="94">
        <v>9460000</v>
      </c>
      <c r="B1130" s="94">
        <v>9445000</v>
      </c>
      <c r="C1130" s="94">
        <v>9475000</v>
      </c>
      <c r="D1130" s="94">
        <v>9460000</v>
      </c>
      <c r="E1130" s="95">
        <v>41922</v>
      </c>
      <c r="F1130" s="96" t="s">
        <v>2298</v>
      </c>
    </row>
    <row r="1131" spans="1:6">
      <c r="A1131" s="94">
        <v>9460000</v>
      </c>
      <c r="B1131" s="94">
        <v>9440000</v>
      </c>
      <c r="C1131" s="94">
        <v>9475000</v>
      </c>
      <c r="D1131" s="94">
        <v>9460000</v>
      </c>
      <c r="E1131" s="95">
        <v>41921</v>
      </c>
      <c r="F1131" s="96" t="s">
        <v>2299</v>
      </c>
    </row>
    <row r="1132" spans="1:6">
      <c r="A1132" s="94">
        <v>9395000</v>
      </c>
      <c r="B1132" s="94">
        <v>9370000</v>
      </c>
      <c r="C1132" s="94">
        <v>9425000</v>
      </c>
      <c r="D1132" s="94">
        <v>9395000</v>
      </c>
      <c r="E1132" s="95">
        <v>41920</v>
      </c>
      <c r="F1132" s="96" t="s">
        <v>2300</v>
      </c>
    </row>
    <row r="1133" spans="1:6">
      <c r="A1133" s="94">
        <v>9365000</v>
      </c>
      <c r="B1133" s="94">
        <v>9320000</v>
      </c>
      <c r="C1133" s="94">
        <v>9370000</v>
      </c>
      <c r="D1133" s="94">
        <v>9365000</v>
      </c>
      <c r="E1133" s="95">
        <v>41919</v>
      </c>
      <c r="F1133" s="96" t="s">
        <v>2301</v>
      </c>
    </row>
    <row r="1134" spans="1:6">
      <c r="A1134" s="94">
        <v>9285000</v>
      </c>
      <c r="B1134" s="94">
        <v>9245000</v>
      </c>
      <c r="C1134" s="94">
        <v>9285000</v>
      </c>
      <c r="D1134" s="94">
        <v>9285000</v>
      </c>
      <c r="E1134" s="95">
        <v>41918</v>
      </c>
      <c r="F1134" s="96" t="s">
        <v>2302</v>
      </c>
    </row>
    <row r="1135" spans="1:6">
      <c r="A1135" s="94">
        <v>9295000</v>
      </c>
      <c r="B1135" s="94">
        <v>9265000</v>
      </c>
      <c r="C1135" s="94">
        <v>9295000</v>
      </c>
      <c r="D1135" s="94">
        <v>9295000</v>
      </c>
      <c r="E1135" s="95">
        <v>41917</v>
      </c>
      <c r="F1135" s="96" t="s">
        <v>2303</v>
      </c>
    </row>
    <row r="1136" spans="1:6">
      <c r="A1136" s="94">
        <v>9295000</v>
      </c>
      <c r="B1136" s="94">
        <v>9245000</v>
      </c>
      <c r="C1136" s="94">
        <v>9310000</v>
      </c>
      <c r="D1136" s="94">
        <v>9295000</v>
      </c>
      <c r="E1136" s="95">
        <v>41916</v>
      </c>
      <c r="F1136" s="96" t="s">
        <v>2304</v>
      </c>
    </row>
    <row r="1137" spans="1:6">
      <c r="A1137" s="94">
        <v>9345000</v>
      </c>
      <c r="B1137" s="94">
        <v>9340000</v>
      </c>
      <c r="C1137" s="94">
        <v>9345000</v>
      </c>
      <c r="D1137" s="94">
        <v>9345000</v>
      </c>
      <c r="E1137" s="95">
        <v>41915</v>
      </c>
      <c r="F1137" s="96" t="s">
        <v>2305</v>
      </c>
    </row>
    <row r="1138" spans="1:6">
      <c r="A1138" s="94">
        <v>9345000</v>
      </c>
      <c r="B1138" s="94">
        <v>9340000</v>
      </c>
      <c r="C1138" s="94">
        <v>9355000</v>
      </c>
      <c r="D1138" s="94">
        <v>9345000</v>
      </c>
      <c r="E1138" s="95">
        <v>41914</v>
      </c>
      <c r="F1138" s="96" t="s">
        <v>2306</v>
      </c>
    </row>
    <row r="1139" spans="1:6">
      <c r="A1139" s="94">
        <v>9345000</v>
      </c>
      <c r="B1139" s="94">
        <v>9335000</v>
      </c>
      <c r="C1139" s="94">
        <v>9350000</v>
      </c>
      <c r="D1139" s="94">
        <v>9345000</v>
      </c>
      <c r="E1139" s="95">
        <v>41913</v>
      </c>
      <c r="F1139" s="96" t="s">
        <v>2307</v>
      </c>
    </row>
    <row r="1140" spans="1:6">
      <c r="A1140" s="94">
        <v>9345000</v>
      </c>
      <c r="B1140" s="94">
        <v>9320000</v>
      </c>
      <c r="C1140" s="94">
        <v>9375000</v>
      </c>
      <c r="D1140" s="94">
        <v>9345000</v>
      </c>
      <c r="E1140" s="95">
        <v>41912</v>
      </c>
      <c r="F1140" s="96" t="s">
        <v>2308</v>
      </c>
    </row>
    <row r="1141" spans="1:6">
      <c r="A1141" s="94">
        <v>9385000</v>
      </c>
      <c r="B1141" s="94">
        <v>9380000</v>
      </c>
      <c r="C1141" s="94">
        <v>9395000</v>
      </c>
      <c r="D1141" s="94">
        <v>9385000</v>
      </c>
      <c r="E1141" s="95">
        <v>41911</v>
      </c>
      <c r="F1141" s="96" t="s">
        <v>2309</v>
      </c>
    </row>
    <row r="1142" spans="1:6">
      <c r="A1142" s="94">
        <v>9390000</v>
      </c>
      <c r="B1142" s="94">
        <v>9370000</v>
      </c>
      <c r="C1142" s="94">
        <v>9415000</v>
      </c>
      <c r="D1142" s="94">
        <v>9390000</v>
      </c>
      <c r="E1142" s="95">
        <v>41910</v>
      </c>
      <c r="F1142" s="96" t="s">
        <v>2310</v>
      </c>
    </row>
    <row r="1143" spans="1:6">
      <c r="A1143" s="94">
        <v>9360000</v>
      </c>
      <c r="B1143" s="94">
        <v>9270000</v>
      </c>
      <c r="C1143" s="94">
        <v>9360000</v>
      </c>
      <c r="D1143" s="94">
        <v>9360000</v>
      </c>
      <c r="E1143" s="95">
        <v>41909</v>
      </c>
      <c r="F1143" s="96" t="s">
        <v>2311</v>
      </c>
    </row>
    <row r="1144" spans="1:6">
      <c r="A1144" s="94">
        <v>9220000</v>
      </c>
      <c r="B1144" s="94">
        <v>9205000</v>
      </c>
      <c r="C1144" s="94">
        <v>9220000</v>
      </c>
      <c r="D1144" s="94">
        <v>9220000</v>
      </c>
      <c r="E1144" s="95">
        <v>41908</v>
      </c>
      <c r="F1144" s="96" t="s">
        <v>2312</v>
      </c>
    </row>
    <row r="1145" spans="1:6">
      <c r="A1145" s="94">
        <v>9220000</v>
      </c>
      <c r="B1145" s="94">
        <v>9205000</v>
      </c>
      <c r="C1145" s="94">
        <v>9265000</v>
      </c>
      <c r="D1145" s="94">
        <v>9220000</v>
      </c>
      <c r="E1145" s="95">
        <v>41907</v>
      </c>
      <c r="F1145" s="96" t="s">
        <v>2313</v>
      </c>
    </row>
    <row r="1146" spans="1:6">
      <c r="A1146" s="94">
        <v>9270000</v>
      </c>
      <c r="B1146" s="94">
        <v>9265000</v>
      </c>
      <c r="C1146" s="94">
        <v>9295000</v>
      </c>
      <c r="D1146" s="94">
        <v>9270000</v>
      </c>
      <c r="E1146" s="95">
        <v>41906</v>
      </c>
      <c r="F1146" s="96" t="s">
        <v>2314</v>
      </c>
    </row>
    <row r="1147" spans="1:6">
      <c r="A1147" s="94">
        <v>9175000</v>
      </c>
      <c r="B1147" s="94">
        <v>9150000</v>
      </c>
      <c r="C1147" s="94">
        <v>9180000</v>
      </c>
      <c r="D1147" s="94">
        <v>9175000</v>
      </c>
      <c r="E1147" s="95">
        <v>41904</v>
      </c>
      <c r="F1147" s="96" t="s">
        <v>2315</v>
      </c>
    </row>
    <row r="1148" spans="1:6">
      <c r="A1148" s="94">
        <v>9270000</v>
      </c>
      <c r="B1148" s="94">
        <v>9175000</v>
      </c>
      <c r="C1148" s="94">
        <v>9295000</v>
      </c>
      <c r="D1148" s="94">
        <v>9270000</v>
      </c>
      <c r="E1148" s="95">
        <v>41905</v>
      </c>
      <c r="F1148" s="96" t="s">
        <v>2316</v>
      </c>
    </row>
    <row r="1149" spans="1:6">
      <c r="A1149" s="94">
        <v>9175000</v>
      </c>
      <c r="B1149" s="94">
        <v>9155000</v>
      </c>
      <c r="C1149" s="94">
        <v>9195000</v>
      </c>
      <c r="D1149" s="94">
        <v>9175000</v>
      </c>
      <c r="E1149" s="95">
        <v>41903</v>
      </c>
      <c r="F1149" s="96" t="s">
        <v>2317</v>
      </c>
    </row>
    <row r="1150" spans="1:6">
      <c r="A1150" s="94">
        <v>9180000</v>
      </c>
      <c r="B1150" s="94">
        <v>9175000</v>
      </c>
      <c r="C1150" s="94">
        <v>9255000</v>
      </c>
      <c r="D1150" s="94">
        <v>9180000</v>
      </c>
      <c r="E1150" s="95">
        <v>41902</v>
      </c>
      <c r="F1150" s="96" t="s">
        <v>2318</v>
      </c>
    </row>
    <row r="1151" spans="1:6">
      <c r="A1151" s="94">
        <v>9280000</v>
      </c>
      <c r="B1151" s="94">
        <v>9280000</v>
      </c>
      <c r="C1151" s="94">
        <v>9285000</v>
      </c>
      <c r="D1151" s="94">
        <v>9280000</v>
      </c>
      <c r="E1151" s="95">
        <v>41901</v>
      </c>
      <c r="F1151" s="96" t="s">
        <v>2319</v>
      </c>
    </row>
    <row r="1152" spans="1:6">
      <c r="A1152" s="94">
        <v>9280000</v>
      </c>
      <c r="B1152" s="94">
        <v>9280000</v>
      </c>
      <c r="C1152" s="94">
        <v>9390000</v>
      </c>
      <c r="D1152" s="94">
        <v>9280000</v>
      </c>
      <c r="E1152" s="95">
        <v>41900</v>
      </c>
      <c r="F1152" s="96" t="s">
        <v>2320</v>
      </c>
    </row>
    <row r="1153" spans="1:6">
      <c r="A1153" s="94">
        <v>9320000</v>
      </c>
      <c r="B1153" s="94">
        <v>9315000</v>
      </c>
      <c r="C1153" s="94">
        <v>9370000</v>
      </c>
      <c r="D1153" s="94">
        <v>9320000</v>
      </c>
      <c r="E1153" s="95">
        <v>41898</v>
      </c>
      <c r="F1153" s="96" t="s">
        <v>2321</v>
      </c>
    </row>
    <row r="1154" spans="1:6">
      <c r="A1154" s="94">
        <v>9310000</v>
      </c>
      <c r="B1154" s="94">
        <v>9255000</v>
      </c>
      <c r="C1154" s="94">
        <v>9315000</v>
      </c>
      <c r="D1154" s="94">
        <v>9310000</v>
      </c>
      <c r="E1154" s="95">
        <v>41897</v>
      </c>
      <c r="F1154" s="96" t="s">
        <v>2322</v>
      </c>
    </row>
    <row r="1155" spans="1:6">
      <c r="A1155" s="94">
        <v>9255000</v>
      </c>
      <c r="B1155" s="94">
        <v>9230000</v>
      </c>
      <c r="C1155" s="94">
        <v>9260000</v>
      </c>
      <c r="D1155" s="94">
        <v>9255000</v>
      </c>
      <c r="E1155" s="95">
        <v>41896</v>
      </c>
      <c r="F1155" s="96" t="s">
        <v>2323</v>
      </c>
    </row>
    <row r="1156" spans="1:6">
      <c r="A1156" s="94">
        <v>9245000</v>
      </c>
      <c r="B1156" s="94">
        <v>9225000</v>
      </c>
      <c r="C1156" s="94">
        <v>9310000</v>
      </c>
      <c r="D1156" s="94">
        <v>9245000</v>
      </c>
      <c r="E1156" s="95">
        <v>41895</v>
      </c>
      <c r="F1156" s="96" t="s">
        <v>2324</v>
      </c>
    </row>
    <row r="1157" spans="1:6">
      <c r="A1157" s="94">
        <v>9390000</v>
      </c>
      <c r="B1157" s="94">
        <v>9380000</v>
      </c>
      <c r="C1157" s="94">
        <v>9395000</v>
      </c>
      <c r="D1157" s="94">
        <v>9390000</v>
      </c>
      <c r="E1157" s="95">
        <v>41894</v>
      </c>
      <c r="F1157" s="96" t="s">
        <v>2325</v>
      </c>
    </row>
    <row r="1158" spans="1:6">
      <c r="A1158" s="94">
        <v>9390000</v>
      </c>
      <c r="B1158" s="94">
        <v>9390000</v>
      </c>
      <c r="C1158" s="94">
        <v>9405000</v>
      </c>
      <c r="D1158" s="94">
        <v>9390000</v>
      </c>
      <c r="E1158" s="95">
        <v>41893</v>
      </c>
      <c r="F1158" s="96" t="s">
        <v>2326</v>
      </c>
    </row>
    <row r="1159" spans="1:6">
      <c r="A1159" s="94">
        <v>9403000</v>
      </c>
      <c r="B1159" s="94">
        <v>9400000</v>
      </c>
      <c r="C1159" s="94">
        <v>9411000</v>
      </c>
      <c r="D1159" s="94">
        <v>9403000</v>
      </c>
      <c r="E1159" s="95">
        <v>41892</v>
      </c>
      <c r="F1159" s="96" t="s">
        <v>2327</v>
      </c>
    </row>
    <row r="1160" spans="1:6">
      <c r="A1160" s="94">
        <v>9412000</v>
      </c>
      <c r="B1160" s="94">
        <v>9410000</v>
      </c>
      <c r="C1160" s="94">
        <v>9439000</v>
      </c>
      <c r="D1160" s="94">
        <v>9412000</v>
      </c>
      <c r="E1160" s="95">
        <v>41891</v>
      </c>
      <c r="F1160" s="96" t="s">
        <v>2328</v>
      </c>
    </row>
    <row r="1161" spans="1:6">
      <c r="A1161" s="94">
        <v>9438000</v>
      </c>
      <c r="B1161" s="94">
        <v>9438000</v>
      </c>
      <c r="C1161" s="94">
        <v>9447000</v>
      </c>
      <c r="D1161" s="94">
        <v>9438000</v>
      </c>
      <c r="E1161" s="95">
        <v>41890</v>
      </c>
      <c r="F1161" s="96" t="s">
        <v>2329</v>
      </c>
    </row>
    <row r="1162" spans="1:6">
      <c r="A1162" s="94">
        <v>9441000</v>
      </c>
      <c r="B1162" s="94">
        <v>9420000</v>
      </c>
      <c r="C1162" s="94">
        <v>9445000</v>
      </c>
      <c r="D1162" s="94">
        <v>9441000</v>
      </c>
      <c r="E1162" s="95">
        <v>41889</v>
      </c>
      <c r="F1162" s="96" t="s">
        <v>2330</v>
      </c>
    </row>
    <row r="1163" spans="1:6">
      <c r="A1163" s="94">
        <v>9425000</v>
      </c>
      <c r="B1163" s="94">
        <v>9425000</v>
      </c>
      <c r="C1163" s="94">
        <v>9470000</v>
      </c>
      <c r="D1163" s="94">
        <v>9425000</v>
      </c>
      <c r="E1163" s="95">
        <v>41888</v>
      </c>
      <c r="F1163" s="96" t="s">
        <v>2331</v>
      </c>
    </row>
    <row r="1164" spans="1:6">
      <c r="A1164" s="94">
        <v>9470000</v>
      </c>
      <c r="B1164" s="94">
        <v>9460000</v>
      </c>
      <c r="C1164" s="94">
        <v>9470000</v>
      </c>
      <c r="D1164" s="94">
        <v>9470000</v>
      </c>
      <c r="E1164" s="95">
        <v>41886</v>
      </c>
      <c r="F1164" s="96" t="s">
        <v>2332</v>
      </c>
    </row>
    <row r="1165" spans="1:6">
      <c r="A1165" s="94">
        <v>9465000</v>
      </c>
      <c r="B1165" s="94">
        <v>9460000</v>
      </c>
      <c r="C1165" s="94">
        <v>9480000</v>
      </c>
      <c r="D1165" s="94">
        <v>9465000</v>
      </c>
      <c r="E1165" s="95">
        <v>41885</v>
      </c>
      <c r="F1165" s="96" t="s">
        <v>2333</v>
      </c>
    </row>
    <row r="1166" spans="1:6">
      <c r="A1166" s="94">
        <v>9460000</v>
      </c>
      <c r="B1166" s="94">
        <v>9460000</v>
      </c>
      <c r="C1166" s="94">
        <v>9490000</v>
      </c>
      <c r="D1166" s="94">
        <v>9460000</v>
      </c>
      <c r="E1166" s="95">
        <v>41884</v>
      </c>
      <c r="F1166" s="96" t="s">
        <v>2334</v>
      </c>
    </row>
    <row r="1167" spans="1:6">
      <c r="A1167" s="94">
        <v>9495000</v>
      </c>
      <c r="B1167" s="94">
        <v>9485000</v>
      </c>
      <c r="C1167" s="94">
        <v>9495000</v>
      </c>
      <c r="D1167" s="94">
        <v>9495000</v>
      </c>
      <c r="E1167" s="95">
        <v>41883</v>
      </c>
      <c r="F1167" s="96" t="s">
        <v>2335</v>
      </c>
    </row>
    <row r="1168" spans="1:6">
      <c r="A1168" s="94">
        <v>9490000</v>
      </c>
      <c r="B1168" s="94">
        <v>9490000</v>
      </c>
      <c r="C1168" s="94">
        <v>9520000</v>
      </c>
      <c r="D1168" s="94">
        <v>9490000</v>
      </c>
      <c r="E1168" s="95">
        <v>41882</v>
      </c>
      <c r="F1168" s="96" t="s">
        <v>2336</v>
      </c>
    </row>
    <row r="1169" spans="1:6">
      <c r="A1169" s="94">
        <v>9505000</v>
      </c>
      <c r="B1169" s="94">
        <v>9490000</v>
      </c>
      <c r="C1169" s="94">
        <v>9510000</v>
      </c>
      <c r="D1169" s="94">
        <v>9505000</v>
      </c>
      <c r="E1169" s="95">
        <v>41881</v>
      </c>
      <c r="F1169" s="96" t="s">
        <v>2337</v>
      </c>
    </row>
    <row r="1170" spans="1:6">
      <c r="A1170" s="94">
        <v>9485000</v>
      </c>
      <c r="B1170" s="94">
        <v>9440000</v>
      </c>
      <c r="C1170" s="94">
        <v>9485000</v>
      </c>
      <c r="D1170" s="94">
        <v>9485000</v>
      </c>
      <c r="E1170" s="95">
        <v>41879</v>
      </c>
      <c r="F1170" s="96" t="s">
        <v>2338</v>
      </c>
    </row>
    <row r="1171" spans="1:6">
      <c r="A1171" s="94">
        <v>9435000</v>
      </c>
      <c r="B1171" s="94">
        <v>9430000</v>
      </c>
      <c r="C1171" s="94">
        <v>9445000</v>
      </c>
      <c r="D1171" s="94">
        <v>9435000</v>
      </c>
      <c r="E1171" s="95">
        <v>41878</v>
      </c>
      <c r="F1171" s="96" t="s">
        <v>2339</v>
      </c>
    </row>
    <row r="1172" spans="1:6">
      <c r="A1172" s="94">
        <v>9440000</v>
      </c>
      <c r="B1172" s="94">
        <v>9430000</v>
      </c>
      <c r="C1172" s="94">
        <v>9470000</v>
      </c>
      <c r="D1172" s="94">
        <v>9440000</v>
      </c>
      <c r="E1172" s="95">
        <v>41877</v>
      </c>
      <c r="F1172" s="96" t="s">
        <v>2340</v>
      </c>
    </row>
    <row r="1173" spans="1:6">
      <c r="A1173" s="94">
        <v>9420000</v>
      </c>
      <c r="B1173" s="94">
        <v>9380000</v>
      </c>
      <c r="C1173" s="94">
        <v>9425000</v>
      </c>
      <c r="D1173" s="94">
        <v>9420000</v>
      </c>
      <c r="E1173" s="95">
        <v>41876</v>
      </c>
      <c r="F1173" s="96" t="s">
        <v>2341</v>
      </c>
    </row>
    <row r="1174" spans="1:6">
      <c r="A1174" s="94">
        <v>9415000</v>
      </c>
      <c r="B1174" s="94">
        <v>9385000</v>
      </c>
      <c r="C1174" s="94">
        <v>9445000</v>
      </c>
      <c r="D1174" s="94">
        <v>9415000</v>
      </c>
      <c r="E1174" s="95">
        <v>41875</v>
      </c>
      <c r="F1174" s="96" t="s">
        <v>2342</v>
      </c>
    </row>
    <row r="1175" spans="1:6">
      <c r="A1175" s="94">
        <v>9370000</v>
      </c>
      <c r="B1175" s="94">
        <v>9330000</v>
      </c>
      <c r="C1175" s="94">
        <v>9370000</v>
      </c>
      <c r="D1175" s="94">
        <v>9370000</v>
      </c>
      <c r="E1175" s="95">
        <v>41874</v>
      </c>
      <c r="F1175" s="96" t="s">
        <v>2343</v>
      </c>
    </row>
    <row r="1176" spans="1:6">
      <c r="A1176" s="94">
        <v>9355000</v>
      </c>
      <c r="B1176" s="94">
        <v>9350000</v>
      </c>
      <c r="C1176" s="94">
        <v>9415000</v>
      </c>
      <c r="D1176" s="94">
        <v>9355000</v>
      </c>
      <c r="E1176" s="95">
        <v>41872</v>
      </c>
      <c r="F1176" s="96" t="s">
        <v>2344</v>
      </c>
    </row>
    <row r="1177" spans="1:6">
      <c r="A1177" s="94">
        <v>9425000</v>
      </c>
      <c r="B1177" s="94">
        <v>9420000</v>
      </c>
      <c r="C1177" s="94">
        <v>9450000</v>
      </c>
      <c r="D1177" s="94">
        <v>9425000</v>
      </c>
      <c r="E1177" s="95">
        <v>41871</v>
      </c>
      <c r="F1177" s="96" t="s">
        <v>2345</v>
      </c>
    </row>
    <row r="1178" spans="1:6">
      <c r="A1178" s="94">
        <v>9460000</v>
      </c>
      <c r="B1178" s="94">
        <v>9448000</v>
      </c>
      <c r="C1178" s="94">
        <v>9465000</v>
      </c>
      <c r="D1178" s="94">
        <v>9460000</v>
      </c>
      <c r="E1178" s="95">
        <v>41870</v>
      </c>
      <c r="F1178" s="96" t="s">
        <v>2346</v>
      </c>
    </row>
    <row r="1179" spans="1:6">
      <c r="A1179" s="94">
        <v>9447000</v>
      </c>
      <c r="B1179" s="94">
        <v>9444000</v>
      </c>
      <c r="C1179" s="94">
        <v>9468000</v>
      </c>
      <c r="D1179" s="94">
        <v>9447000</v>
      </c>
      <c r="E1179" s="95">
        <v>41869</v>
      </c>
      <c r="F1179" s="96" t="s">
        <v>2347</v>
      </c>
    </row>
    <row r="1180" spans="1:6">
      <c r="A1180" s="94">
        <v>9472000</v>
      </c>
      <c r="B1180" s="94">
        <v>9472000</v>
      </c>
      <c r="C1180" s="94">
        <v>9487000</v>
      </c>
      <c r="D1180" s="94">
        <v>9472000</v>
      </c>
      <c r="E1180" s="95">
        <v>41868</v>
      </c>
      <c r="F1180" s="96" t="s">
        <v>2348</v>
      </c>
    </row>
    <row r="1181" spans="1:6">
      <c r="A1181" s="94">
        <v>9490000</v>
      </c>
      <c r="B1181" s="94">
        <v>9485000</v>
      </c>
      <c r="C1181" s="94">
        <v>9523000</v>
      </c>
      <c r="D1181" s="94">
        <v>9490000</v>
      </c>
      <c r="E1181" s="95">
        <v>41867</v>
      </c>
      <c r="F1181" s="96" t="s">
        <v>2349</v>
      </c>
    </row>
    <row r="1182" spans="1:6">
      <c r="A1182" s="94">
        <v>9547000</v>
      </c>
      <c r="B1182" s="94">
        <v>9547000</v>
      </c>
      <c r="C1182" s="94">
        <v>9547000</v>
      </c>
      <c r="D1182" s="94">
        <v>9547000</v>
      </c>
      <c r="E1182" s="95">
        <v>41865</v>
      </c>
      <c r="F1182" s="96" t="s">
        <v>2350</v>
      </c>
    </row>
    <row r="1183" spans="1:6">
      <c r="A1183" s="94">
        <v>9539000</v>
      </c>
      <c r="B1183" s="94">
        <v>9523000</v>
      </c>
      <c r="C1183" s="94">
        <v>9540000</v>
      </c>
      <c r="D1183" s="94">
        <v>9539000</v>
      </c>
      <c r="E1183" s="95">
        <v>41864</v>
      </c>
      <c r="F1183" s="96" t="s">
        <v>2351</v>
      </c>
    </row>
    <row r="1184" spans="1:6">
      <c r="A1184" s="94">
        <v>9545000</v>
      </c>
      <c r="B1184" s="94">
        <v>9530000</v>
      </c>
      <c r="C1184" s="94">
        <v>9545000</v>
      </c>
      <c r="D1184" s="94">
        <v>9545000</v>
      </c>
      <c r="E1184" s="95">
        <v>41863</v>
      </c>
      <c r="F1184" s="96" t="s">
        <v>2352</v>
      </c>
    </row>
    <row r="1185" spans="1:6">
      <c r="A1185" s="94">
        <v>9540000</v>
      </c>
      <c r="B1185" s="94">
        <v>9527000</v>
      </c>
      <c r="C1185" s="94">
        <v>9542000</v>
      </c>
      <c r="D1185" s="94">
        <v>9540000</v>
      </c>
      <c r="E1185" s="95">
        <v>41862</v>
      </c>
      <c r="F1185" s="96" t="s">
        <v>2353</v>
      </c>
    </row>
    <row r="1186" spans="1:6">
      <c r="A1186" s="94">
        <v>9546000</v>
      </c>
      <c r="B1186" s="94">
        <v>9546000</v>
      </c>
      <c r="C1186" s="94">
        <v>9580000</v>
      </c>
      <c r="D1186" s="94">
        <v>9546000</v>
      </c>
      <c r="E1186" s="95">
        <v>41861</v>
      </c>
      <c r="F1186" s="96" t="s">
        <v>2354</v>
      </c>
    </row>
    <row r="1187" spans="1:6">
      <c r="A1187" s="94">
        <v>9518000</v>
      </c>
      <c r="B1187" s="94">
        <v>9515000</v>
      </c>
      <c r="C1187" s="94">
        <v>9527000</v>
      </c>
      <c r="D1187" s="94">
        <v>9518000</v>
      </c>
      <c r="E1187" s="95">
        <v>41859</v>
      </c>
      <c r="F1187" s="96" t="s">
        <v>2355</v>
      </c>
    </row>
    <row r="1188" spans="1:6">
      <c r="A1188" s="94">
        <v>9518000</v>
      </c>
      <c r="B1188" s="94">
        <v>9515000</v>
      </c>
      <c r="C1188" s="94">
        <v>9527000</v>
      </c>
      <c r="D1188" s="94">
        <v>9518000</v>
      </c>
      <c r="E1188" s="95">
        <v>41858</v>
      </c>
      <c r="F1188" s="96" t="s">
        <v>2356</v>
      </c>
    </row>
    <row r="1189" spans="1:6">
      <c r="A1189" s="94">
        <v>9522000</v>
      </c>
      <c r="B1189" s="94">
        <v>9477000</v>
      </c>
      <c r="C1189" s="94">
        <v>9522000</v>
      </c>
      <c r="D1189" s="94">
        <v>9522000</v>
      </c>
      <c r="E1189" s="95">
        <v>41857</v>
      </c>
      <c r="F1189" s="96" t="s">
        <v>2357</v>
      </c>
    </row>
    <row r="1190" spans="1:6">
      <c r="A1190" s="94">
        <v>9480000</v>
      </c>
      <c r="B1190" s="94">
        <v>9480000</v>
      </c>
      <c r="C1190" s="94">
        <v>9512000</v>
      </c>
      <c r="D1190" s="94">
        <v>9480000</v>
      </c>
      <c r="E1190" s="95">
        <v>41856</v>
      </c>
      <c r="F1190" s="96" t="s">
        <v>2358</v>
      </c>
    </row>
    <row r="1191" spans="1:6">
      <c r="A1191" s="94">
        <v>9515000</v>
      </c>
      <c r="B1191" s="94">
        <v>9512000</v>
      </c>
      <c r="C1191" s="94">
        <v>9535000</v>
      </c>
      <c r="D1191" s="94">
        <v>9515000</v>
      </c>
      <c r="E1191" s="95">
        <v>41855</v>
      </c>
      <c r="F1191" s="96" t="s">
        <v>2359</v>
      </c>
    </row>
    <row r="1192" spans="1:6">
      <c r="A1192" s="94">
        <v>9518000</v>
      </c>
      <c r="B1192" s="94">
        <v>9495000</v>
      </c>
      <c r="C1192" s="94">
        <v>9525000</v>
      </c>
      <c r="D1192" s="94">
        <v>9518000</v>
      </c>
      <c r="E1192" s="95">
        <v>41854</v>
      </c>
      <c r="F1192" s="96" t="s">
        <v>2360</v>
      </c>
    </row>
    <row r="1193" spans="1:6">
      <c r="A1193" s="94">
        <v>9477000</v>
      </c>
      <c r="B1193" s="94">
        <v>9467000</v>
      </c>
      <c r="C1193" s="94">
        <v>9495000</v>
      </c>
      <c r="D1193" s="94">
        <v>9477000</v>
      </c>
      <c r="E1193" s="95">
        <v>41853</v>
      </c>
      <c r="F1193" s="96" t="s">
        <v>2361</v>
      </c>
    </row>
    <row r="1194" spans="1:6">
      <c r="A1194" s="94">
        <v>9505000</v>
      </c>
      <c r="B1194" s="94">
        <v>9500000</v>
      </c>
      <c r="C1194" s="94">
        <v>9505000</v>
      </c>
      <c r="D1194" s="94">
        <v>9505000</v>
      </c>
      <c r="E1194" s="95">
        <v>41851</v>
      </c>
      <c r="F1194" s="96" t="s">
        <v>2362</v>
      </c>
    </row>
    <row r="1195" spans="1:6">
      <c r="A1195" s="94">
        <v>9502000</v>
      </c>
      <c r="B1195" s="94">
        <v>9502000</v>
      </c>
      <c r="C1195" s="94">
        <v>9502000</v>
      </c>
      <c r="D1195" s="94">
        <v>9502000</v>
      </c>
      <c r="E1195" s="95">
        <v>41850</v>
      </c>
      <c r="F1195" s="96" t="s">
        <v>2363</v>
      </c>
    </row>
    <row r="1196" spans="1:6">
      <c r="A1196" s="94">
        <v>9502000</v>
      </c>
      <c r="B1196" s="94">
        <v>9502000</v>
      </c>
      <c r="C1196" s="94">
        <v>9517000</v>
      </c>
      <c r="D1196" s="94">
        <v>9502000</v>
      </c>
      <c r="E1196" s="95">
        <v>41848</v>
      </c>
      <c r="F1196" s="96" t="s">
        <v>2364</v>
      </c>
    </row>
    <row r="1197" spans="1:6">
      <c r="A1197" s="94">
        <v>9530000</v>
      </c>
      <c r="B1197" s="94">
        <v>9528000</v>
      </c>
      <c r="C1197" s="94">
        <v>9558000</v>
      </c>
      <c r="D1197" s="94">
        <v>9530000</v>
      </c>
      <c r="E1197" s="95">
        <v>41847</v>
      </c>
      <c r="F1197" s="96" t="s">
        <v>2365</v>
      </c>
    </row>
    <row r="1198" spans="1:6">
      <c r="A1198" s="94">
        <v>9535000</v>
      </c>
      <c r="B1198" s="94">
        <v>9515000</v>
      </c>
      <c r="C1198" s="94">
        <v>9542000</v>
      </c>
      <c r="D1198" s="94">
        <v>9535000</v>
      </c>
      <c r="E1198" s="95">
        <v>41846</v>
      </c>
      <c r="F1198" s="96" t="s">
        <v>2366</v>
      </c>
    </row>
    <row r="1199" spans="1:6">
      <c r="A1199" s="94">
        <v>9510000</v>
      </c>
      <c r="B1199" s="94">
        <v>9485000</v>
      </c>
      <c r="C1199" s="94">
        <v>9513000</v>
      </c>
      <c r="D1199" s="94">
        <v>9510000</v>
      </c>
      <c r="E1199" s="95">
        <v>41844</v>
      </c>
      <c r="F1199" s="96" t="s">
        <v>2367</v>
      </c>
    </row>
    <row r="1200" spans="1:6">
      <c r="A1200" s="94">
        <v>9505000</v>
      </c>
      <c r="B1200" s="94">
        <v>9500000</v>
      </c>
      <c r="C1200" s="94">
        <v>9530000</v>
      </c>
      <c r="D1200" s="94">
        <v>9505000</v>
      </c>
      <c r="E1200" s="95">
        <v>41842</v>
      </c>
      <c r="F1200" s="96" t="s">
        <v>2368</v>
      </c>
    </row>
    <row r="1201" spans="1:6">
      <c r="A1201" s="94">
        <v>9525000</v>
      </c>
      <c r="B1201" s="94">
        <v>9490000</v>
      </c>
      <c r="C1201" s="94">
        <v>9532000</v>
      </c>
      <c r="D1201" s="94">
        <v>9525000</v>
      </c>
      <c r="E1201" s="95">
        <v>41843</v>
      </c>
      <c r="F1201" s="96" t="s">
        <v>2369</v>
      </c>
    </row>
    <row r="1202" spans="1:6">
      <c r="A1202" s="94">
        <v>9550000</v>
      </c>
      <c r="B1202" s="94">
        <v>9535000</v>
      </c>
      <c r="C1202" s="94">
        <v>9570000</v>
      </c>
      <c r="D1202" s="94">
        <v>9550000</v>
      </c>
      <c r="E1202" s="95">
        <v>41841</v>
      </c>
      <c r="F1202" s="96" t="s">
        <v>2370</v>
      </c>
    </row>
    <row r="1203" spans="1:6">
      <c r="A1203" s="94">
        <v>9525000</v>
      </c>
      <c r="B1203" s="94">
        <v>9520000</v>
      </c>
      <c r="C1203" s="94">
        <v>9550000</v>
      </c>
      <c r="D1203" s="94">
        <v>9525000</v>
      </c>
      <c r="E1203" s="95">
        <v>41840</v>
      </c>
      <c r="F1203" s="96" t="s">
        <v>2371</v>
      </c>
    </row>
    <row r="1204" spans="1:6">
      <c r="A1204" s="94">
        <v>9540000</v>
      </c>
      <c r="B1204" s="94">
        <v>9545000</v>
      </c>
      <c r="C1204" s="94">
        <v>9565000</v>
      </c>
      <c r="D1204" s="94">
        <v>9540000</v>
      </c>
      <c r="E1204" s="95">
        <v>41837</v>
      </c>
      <c r="F1204" s="96" t="s">
        <v>2372</v>
      </c>
    </row>
    <row r="1205" spans="1:6">
      <c r="A1205" s="94">
        <v>9515000</v>
      </c>
      <c r="B1205" s="94">
        <v>9475000</v>
      </c>
      <c r="C1205" s="94">
        <v>9515000</v>
      </c>
      <c r="D1205" s="94">
        <v>9515000</v>
      </c>
      <c r="E1205" s="95">
        <v>41836</v>
      </c>
      <c r="F1205" s="96" t="s">
        <v>2373</v>
      </c>
    </row>
    <row r="1206" spans="1:6">
      <c r="A1206" s="94">
        <v>9522000</v>
      </c>
      <c r="B1206" s="94">
        <v>9515000</v>
      </c>
      <c r="C1206" s="94">
        <v>9550000</v>
      </c>
      <c r="D1206" s="94">
        <v>9522000</v>
      </c>
      <c r="E1206" s="95">
        <v>41835</v>
      </c>
      <c r="F1206" s="96" t="s">
        <v>2374</v>
      </c>
    </row>
    <row r="1207" spans="1:6">
      <c r="A1207" s="94">
        <v>9590000</v>
      </c>
      <c r="B1207" s="94">
        <v>9590000</v>
      </c>
      <c r="C1207" s="94">
        <v>9660000</v>
      </c>
      <c r="D1207" s="94">
        <v>9590000</v>
      </c>
      <c r="E1207" s="95">
        <v>41834</v>
      </c>
      <c r="F1207" s="96" t="s">
        <v>2375</v>
      </c>
    </row>
    <row r="1208" spans="1:6">
      <c r="A1208" s="94">
        <v>9680000</v>
      </c>
      <c r="B1208" s="94">
        <v>9650000</v>
      </c>
      <c r="C1208" s="94">
        <v>9685000</v>
      </c>
      <c r="D1208" s="94">
        <v>9680000</v>
      </c>
      <c r="E1208" s="95">
        <v>41833</v>
      </c>
      <c r="F1208" s="96" t="s">
        <v>2376</v>
      </c>
    </row>
    <row r="1209" spans="1:6">
      <c r="A1209" s="94">
        <v>9647000</v>
      </c>
      <c r="B1209" s="94">
        <v>9610000</v>
      </c>
      <c r="C1209" s="94">
        <v>9647000</v>
      </c>
      <c r="D1209" s="94">
        <v>9647000</v>
      </c>
      <c r="E1209" s="95">
        <v>41832</v>
      </c>
      <c r="F1209" s="96" t="s">
        <v>2377</v>
      </c>
    </row>
    <row r="1210" spans="1:6">
      <c r="A1210" s="94">
        <v>9645000</v>
      </c>
      <c r="B1210" s="94">
        <v>9570000</v>
      </c>
      <c r="C1210" s="94">
        <v>9645000</v>
      </c>
      <c r="D1210" s="94">
        <v>9645000</v>
      </c>
      <c r="E1210" s="95">
        <v>41830</v>
      </c>
      <c r="F1210" s="96" t="s">
        <v>2378</v>
      </c>
    </row>
    <row r="1211" spans="1:6">
      <c r="A1211" s="94">
        <v>9564000</v>
      </c>
      <c r="B1211" s="94">
        <v>9550000</v>
      </c>
      <c r="C1211" s="94">
        <v>9598000</v>
      </c>
      <c r="D1211" s="94">
        <v>9564000</v>
      </c>
      <c r="E1211" s="95">
        <v>41829</v>
      </c>
      <c r="F1211" s="96" t="s">
        <v>2379</v>
      </c>
    </row>
    <row r="1212" spans="1:6">
      <c r="A1212" s="94">
        <v>9570000</v>
      </c>
      <c r="B1212" s="94">
        <v>9515000</v>
      </c>
      <c r="C1212" s="94">
        <v>9592000</v>
      </c>
      <c r="D1212" s="94">
        <v>9570000</v>
      </c>
      <c r="E1212" s="95">
        <v>41828</v>
      </c>
      <c r="F1212" s="96" t="s">
        <v>2380</v>
      </c>
    </row>
    <row r="1213" spans="1:6">
      <c r="A1213" s="94">
        <v>9495000</v>
      </c>
      <c r="B1213" s="94">
        <v>9482000</v>
      </c>
      <c r="C1213" s="94">
        <v>9512000</v>
      </c>
      <c r="D1213" s="94">
        <v>9495000</v>
      </c>
      <c r="E1213" s="95">
        <v>41827</v>
      </c>
      <c r="F1213" s="96" t="s">
        <v>2381</v>
      </c>
    </row>
    <row r="1214" spans="1:6">
      <c r="A1214" s="94">
        <v>9523000</v>
      </c>
      <c r="B1214" s="94">
        <v>9495000</v>
      </c>
      <c r="C1214" s="94">
        <v>9570000</v>
      </c>
      <c r="D1214" s="94">
        <v>9523000</v>
      </c>
      <c r="E1214" s="95">
        <v>41826</v>
      </c>
      <c r="F1214" s="96" t="s">
        <v>2382</v>
      </c>
    </row>
    <row r="1215" spans="1:6">
      <c r="A1215" s="94">
        <v>9575000</v>
      </c>
      <c r="B1215" s="94">
        <v>9562000</v>
      </c>
      <c r="C1215" s="94">
        <v>9592000</v>
      </c>
      <c r="D1215" s="94">
        <v>9575000</v>
      </c>
      <c r="E1215" s="95">
        <v>41825</v>
      </c>
      <c r="F1215" s="96" t="s">
        <v>2383</v>
      </c>
    </row>
    <row r="1216" spans="1:6">
      <c r="A1216" s="94">
        <v>9655000</v>
      </c>
      <c r="B1216" s="94">
        <v>9648000</v>
      </c>
      <c r="C1216" s="94">
        <v>9682000</v>
      </c>
      <c r="D1216" s="94">
        <v>9655000</v>
      </c>
      <c r="E1216" s="95">
        <v>41816</v>
      </c>
      <c r="F1216" s="96" t="s">
        <v>2384</v>
      </c>
    </row>
    <row r="1217" spans="1:6">
      <c r="A1217" s="94">
        <v>9673000</v>
      </c>
      <c r="B1217" s="94">
        <v>9658000</v>
      </c>
      <c r="C1217" s="94">
        <v>9685000</v>
      </c>
      <c r="D1217" s="94">
        <v>9673000</v>
      </c>
      <c r="E1217" s="95">
        <v>41815</v>
      </c>
      <c r="F1217" s="96" t="s">
        <v>2385</v>
      </c>
    </row>
    <row r="1218" spans="1:6">
      <c r="A1218" s="94">
        <v>9692000</v>
      </c>
      <c r="B1218" s="94">
        <v>9648000</v>
      </c>
      <c r="C1218" s="94">
        <v>9762000</v>
      </c>
      <c r="D1218" s="94">
        <v>9692000</v>
      </c>
      <c r="E1218" s="95">
        <v>41814</v>
      </c>
      <c r="F1218" s="96" t="s">
        <v>2386</v>
      </c>
    </row>
    <row r="1219" spans="1:6">
      <c r="A1219" s="94">
        <v>9673000</v>
      </c>
      <c r="B1219" s="94">
        <v>9673000</v>
      </c>
      <c r="C1219" s="94">
        <v>9732000</v>
      </c>
      <c r="D1219" s="94">
        <v>9673000</v>
      </c>
      <c r="E1219" s="95">
        <v>41813</v>
      </c>
      <c r="F1219" s="96" t="s">
        <v>2387</v>
      </c>
    </row>
    <row r="1220" spans="1:6">
      <c r="A1220" s="94">
        <v>9730000</v>
      </c>
      <c r="B1220" s="94">
        <v>9705000</v>
      </c>
      <c r="C1220" s="94">
        <v>9780000</v>
      </c>
      <c r="D1220" s="94">
        <v>9730000</v>
      </c>
      <c r="E1220" s="95">
        <v>41812</v>
      </c>
      <c r="F1220" s="96" t="s">
        <v>2388</v>
      </c>
    </row>
    <row r="1221" spans="1:6">
      <c r="A1221" s="94">
        <v>9790000</v>
      </c>
      <c r="B1221" s="94">
        <v>9757000</v>
      </c>
      <c r="C1221" s="94">
        <v>9830000</v>
      </c>
      <c r="D1221" s="94">
        <v>9790000</v>
      </c>
      <c r="E1221" s="95">
        <v>41811</v>
      </c>
      <c r="F1221" s="96" t="s">
        <v>2389</v>
      </c>
    </row>
    <row r="1222" spans="1:6">
      <c r="A1222" s="94">
        <v>9530000</v>
      </c>
      <c r="B1222" s="94">
        <v>9487000</v>
      </c>
      <c r="C1222" s="94">
        <v>9538000</v>
      </c>
      <c r="D1222" s="94">
        <v>9530000</v>
      </c>
      <c r="E1222" s="95">
        <v>41809</v>
      </c>
      <c r="F1222" s="96" t="s">
        <v>2390</v>
      </c>
    </row>
    <row r="1223" spans="1:6">
      <c r="A1223" s="94">
        <v>9490000</v>
      </c>
      <c r="B1223" s="94">
        <v>9468000</v>
      </c>
      <c r="C1223" s="94">
        <v>9525000</v>
      </c>
      <c r="D1223" s="94">
        <v>9490000</v>
      </c>
      <c r="E1223" s="95">
        <v>41808</v>
      </c>
      <c r="F1223" s="96" t="s">
        <v>2391</v>
      </c>
    </row>
    <row r="1224" spans="1:6">
      <c r="A1224" s="94">
        <v>9480000</v>
      </c>
      <c r="B1224" s="94">
        <v>9415000</v>
      </c>
      <c r="C1224" s="94">
        <v>9510000</v>
      </c>
      <c r="D1224" s="94">
        <v>9480000</v>
      </c>
      <c r="E1224" s="95">
        <v>41807</v>
      </c>
      <c r="F1224" s="96" t="s">
        <v>2392</v>
      </c>
    </row>
    <row r="1225" spans="1:6">
      <c r="A1225" s="94">
        <v>9512000</v>
      </c>
      <c r="B1225" s="94">
        <v>9512000</v>
      </c>
      <c r="C1225" s="94">
        <v>9605000</v>
      </c>
      <c r="D1225" s="94">
        <v>9512000</v>
      </c>
      <c r="E1225" s="95">
        <v>41806</v>
      </c>
      <c r="F1225" s="96" t="s">
        <v>2393</v>
      </c>
    </row>
    <row r="1226" spans="1:6">
      <c r="A1226" s="94">
        <v>9610000</v>
      </c>
      <c r="B1226" s="94">
        <v>9557000</v>
      </c>
      <c r="C1226" s="94">
        <v>9622000</v>
      </c>
      <c r="D1226" s="94">
        <v>9610000</v>
      </c>
      <c r="E1226" s="95">
        <v>41805</v>
      </c>
      <c r="F1226" s="96" t="s">
        <v>2394</v>
      </c>
    </row>
    <row r="1227" spans="1:6">
      <c r="A1227" s="94">
        <v>9594000</v>
      </c>
      <c r="B1227" s="94">
        <v>9585000</v>
      </c>
      <c r="C1227" s="94">
        <v>9685000</v>
      </c>
      <c r="D1227" s="94">
        <v>9594000</v>
      </c>
      <c r="E1227" s="95">
        <v>41804</v>
      </c>
      <c r="F1227" s="96" t="s">
        <v>2395</v>
      </c>
    </row>
    <row r="1228" spans="1:6">
      <c r="A1228" s="94">
        <v>9600000</v>
      </c>
      <c r="B1228" s="94">
        <v>9538000</v>
      </c>
      <c r="C1228" s="94">
        <v>9607000</v>
      </c>
      <c r="D1228" s="94">
        <v>9600000</v>
      </c>
      <c r="E1228" s="95">
        <v>41802</v>
      </c>
      <c r="F1228" s="96" t="s">
        <v>2396</v>
      </c>
    </row>
    <row r="1229" spans="1:6">
      <c r="A1229" s="94">
        <v>9518000</v>
      </c>
      <c r="B1229" s="94">
        <v>9485000</v>
      </c>
      <c r="C1229" s="94">
        <v>9555000</v>
      </c>
      <c r="D1229" s="94">
        <v>9518000</v>
      </c>
      <c r="E1229" s="95">
        <v>41801</v>
      </c>
      <c r="F1229" s="96" t="s">
        <v>2397</v>
      </c>
    </row>
    <row r="1230" spans="1:6">
      <c r="A1230" s="94">
        <v>9410000</v>
      </c>
      <c r="B1230" s="94">
        <v>9358000</v>
      </c>
      <c r="C1230" s="94">
        <v>9410000</v>
      </c>
      <c r="D1230" s="94">
        <v>9410000</v>
      </c>
      <c r="E1230" s="95">
        <v>41800</v>
      </c>
      <c r="F1230" s="96" t="s">
        <v>2398</v>
      </c>
    </row>
    <row r="1231" spans="1:6">
      <c r="A1231" s="94">
        <v>9445000</v>
      </c>
      <c r="B1231" s="94">
        <v>9440000</v>
      </c>
      <c r="C1231" s="94">
        <v>9530000</v>
      </c>
      <c r="D1231" s="94">
        <v>9445000</v>
      </c>
      <c r="E1231" s="95">
        <v>41799</v>
      </c>
      <c r="F1231" s="96" t="s">
        <v>2399</v>
      </c>
    </row>
    <row r="1232" spans="1:6">
      <c r="A1232" s="94">
        <v>9470000</v>
      </c>
      <c r="B1232" s="94">
        <v>9420000</v>
      </c>
      <c r="C1232" s="94">
        <v>9470000</v>
      </c>
      <c r="D1232" s="94">
        <v>9470000</v>
      </c>
      <c r="E1232" s="95">
        <v>41798</v>
      </c>
      <c r="F1232" s="96" t="s">
        <v>2400</v>
      </c>
    </row>
    <row r="1233" spans="1:6">
      <c r="A1233" s="94">
        <v>9515000</v>
      </c>
      <c r="B1233" s="94">
        <v>9515000</v>
      </c>
      <c r="C1233" s="94">
        <v>9590000</v>
      </c>
      <c r="D1233" s="94">
        <v>9515000</v>
      </c>
      <c r="E1233" s="95">
        <v>41797</v>
      </c>
      <c r="F1233" s="96" t="s">
        <v>2401</v>
      </c>
    </row>
    <row r="1234" spans="1:6">
      <c r="A1234" s="94">
        <v>9570000</v>
      </c>
      <c r="B1234" s="94">
        <v>9565000</v>
      </c>
      <c r="C1234" s="94">
        <v>9610000</v>
      </c>
      <c r="D1234" s="94">
        <v>9570000</v>
      </c>
      <c r="E1234" s="95">
        <v>41793</v>
      </c>
      <c r="F1234" s="96" t="s">
        <v>2402</v>
      </c>
    </row>
    <row r="1235" spans="1:6">
      <c r="A1235" s="94">
        <v>9570000</v>
      </c>
      <c r="B1235" s="94">
        <v>9520000</v>
      </c>
      <c r="C1235" s="94">
        <v>9570000</v>
      </c>
      <c r="D1235" s="94">
        <v>9570000</v>
      </c>
      <c r="E1235" s="95">
        <v>41792</v>
      </c>
      <c r="F1235" s="96" t="s">
        <v>2403</v>
      </c>
    </row>
    <row r="1236" spans="1:6">
      <c r="A1236" s="94">
        <v>9580000</v>
      </c>
      <c r="B1236" s="94">
        <v>9575000</v>
      </c>
      <c r="C1236" s="94">
        <v>9620000</v>
      </c>
      <c r="D1236" s="94">
        <v>9580000</v>
      </c>
      <c r="E1236" s="95">
        <v>41791</v>
      </c>
      <c r="F1236" s="96" t="s">
        <v>2404</v>
      </c>
    </row>
    <row r="1237" spans="1:6">
      <c r="A1237" s="94">
        <v>9580000</v>
      </c>
      <c r="B1237" s="94">
        <v>9570000</v>
      </c>
      <c r="C1237" s="94">
        <v>9600000</v>
      </c>
      <c r="D1237" s="94">
        <v>9580000</v>
      </c>
      <c r="E1237" s="95">
        <v>41790</v>
      </c>
      <c r="F1237" s="96" t="s">
        <v>2405</v>
      </c>
    </row>
    <row r="1238" spans="1:6">
      <c r="A1238" s="94">
        <v>9620000</v>
      </c>
      <c r="B1238" s="94">
        <v>9560000</v>
      </c>
      <c r="C1238" s="94">
        <v>9640000</v>
      </c>
      <c r="D1238" s="94">
        <v>9620000</v>
      </c>
      <c r="E1238" s="95">
        <v>41788</v>
      </c>
      <c r="F1238" s="96" t="s">
        <v>2406</v>
      </c>
    </row>
    <row r="1239" spans="1:6">
      <c r="A1239" s="94">
        <v>9680000</v>
      </c>
      <c r="B1239" s="94">
        <v>9680000</v>
      </c>
      <c r="C1239" s="94">
        <v>9770000</v>
      </c>
      <c r="D1239" s="94">
        <v>9680000</v>
      </c>
      <c r="E1239" s="95">
        <v>41787</v>
      </c>
      <c r="F1239" s="96" t="s">
        <v>2407</v>
      </c>
    </row>
    <row r="1240" spans="1:6">
      <c r="A1240" s="94">
        <v>9760000</v>
      </c>
      <c r="B1240" s="94">
        <v>9760000</v>
      </c>
      <c r="C1240" s="94">
        <v>9850000</v>
      </c>
      <c r="D1240" s="94">
        <v>9760000</v>
      </c>
      <c r="E1240" s="95">
        <v>41786</v>
      </c>
      <c r="F1240" s="96" t="s">
        <v>2408</v>
      </c>
    </row>
    <row r="1241" spans="1:6">
      <c r="A1241" s="94">
        <v>9870000</v>
      </c>
      <c r="B1241" s="94">
        <v>9870000</v>
      </c>
      <c r="C1241" s="94">
        <v>9905000</v>
      </c>
      <c r="D1241" s="94">
        <v>9870000</v>
      </c>
      <c r="E1241" s="95">
        <v>41785</v>
      </c>
      <c r="F1241" s="96" t="s">
        <v>2409</v>
      </c>
    </row>
    <row r="1242" spans="1:6">
      <c r="A1242" s="94">
        <v>9875000</v>
      </c>
      <c r="B1242" s="94">
        <v>9870000</v>
      </c>
      <c r="C1242" s="94">
        <v>9880000</v>
      </c>
      <c r="D1242" s="94">
        <v>9875000</v>
      </c>
      <c r="E1242" s="95">
        <v>41784</v>
      </c>
      <c r="F1242" s="96" t="s">
        <v>2410</v>
      </c>
    </row>
    <row r="1243" spans="1:6">
      <c r="A1243" s="94">
        <v>9880000</v>
      </c>
      <c r="B1243" s="94">
        <v>9880000</v>
      </c>
      <c r="C1243" s="94">
        <v>9935000</v>
      </c>
      <c r="D1243" s="94">
        <v>9880000</v>
      </c>
      <c r="E1243" s="95">
        <v>41780</v>
      </c>
      <c r="F1243" s="96" t="s">
        <v>2411</v>
      </c>
    </row>
    <row r="1244" spans="1:6">
      <c r="A1244" s="94">
        <v>9875000</v>
      </c>
      <c r="B1244" s="94">
        <v>9855000</v>
      </c>
      <c r="C1244" s="94">
        <v>9880000</v>
      </c>
      <c r="D1244" s="94">
        <v>9875000</v>
      </c>
      <c r="E1244" s="95">
        <v>41783</v>
      </c>
      <c r="F1244" s="96" t="s">
        <v>2412</v>
      </c>
    </row>
    <row r="1245" spans="1:6">
      <c r="A1245" s="94">
        <v>9885000</v>
      </c>
      <c r="B1245" s="94">
        <v>9850000</v>
      </c>
      <c r="C1245" s="94">
        <v>9920000</v>
      </c>
      <c r="D1245" s="94">
        <v>9885000</v>
      </c>
      <c r="E1245" s="95">
        <v>41779</v>
      </c>
      <c r="F1245" s="96" t="s">
        <v>2413</v>
      </c>
    </row>
    <row r="1246" spans="1:6">
      <c r="A1246" s="94">
        <v>9930000</v>
      </c>
      <c r="B1246" s="94">
        <v>9910000</v>
      </c>
      <c r="C1246" s="94">
        <v>9940000</v>
      </c>
      <c r="D1246" s="94">
        <v>9930000</v>
      </c>
      <c r="E1246" s="95">
        <v>41778</v>
      </c>
      <c r="F1246" s="96" t="s">
        <v>2414</v>
      </c>
    </row>
    <row r="1247" spans="1:6">
      <c r="A1247" s="94">
        <v>9900000</v>
      </c>
      <c r="B1247" s="94">
        <v>9860000</v>
      </c>
      <c r="C1247" s="94">
        <v>9900000</v>
      </c>
      <c r="D1247" s="94">
        <v>9900000</v>
      </c>
      <c r="E1247" s="95">
        <v>41781</v>
      </c>
      <c r="F1247" s="96" t="s">
        <v>2415</v>
      </c>
    </row>
    <row r="1248" spans="1:6">
      <c r="A1248" s="94">
        <v>9845000</v>
      </c>
      <c r="B1248" s="94">
        <v>9835000</v>
      </c>
      <c r="C1248" s="94">
        <v>9930000</v>
      </c>
      <c r="D1248" s="94">
        <v>9845000</v>
      </c>
      <c r="E1248" s="95">
        <v>41777</v>
      </c>
      <c r="F1248" s="96" t="s">
        <v>2416</v>
      </c>
    </row>
    <row r="1249" spans="1:6">
      <c r="A1249" s="94">
        <v>9920000</v>
      </c>
      <c r="B1249" s="94">
        <v>9920000</v>
      </c>
      <c r="C1249" s="94">
        <v>9990000</v>
      </c>
      <c r="D1249" s="94">
        <v>9920000</v>
      </c>
      <c r="E1249" s="95">
        <v>41776</v>
      </c>
      <c r="F1249" s="96" t="s">
        <v>2417</v>
      </c>
    </row>
    <row r="1250" spans="1:6">
      <c r="A1250" s="94">
        <v>9860000</v>
      </c>
      <c r="B1250" s="94">
        <v>9860000</v>
      </c>
      <c r="C1250" s="94">
        <v>9860000</v>
      </c>
      <c r="D1250" s="94">
        <v>9860000</v>
      </c>
      <c r="E1250" s="95">
        <v>41775</v>
      </c>
      <c r="F1250" s="96" t="s">
        <v>2418</v>
      </c>
    </row>
    <row r="1251" spans="1:6">
      <c r="A1251" s="94">
        <v>9860000</v>
      </c>
      <c r="B1251" s="94">
        <v>9830000</v>
      </c>
      <c r="C1251" s="94">
        <v>9890000</v>
      </c>
      <c r="D1251" s="94">
        <v>9860000</v>
      </c>
      <c r="E1251" s="95">
        <v>41774</v>
      </c>
      <c r="F1251" s="96" t="s">
        <v>2419</v>
      </c>
    </row>
    <row r="1252" spans="1:6">
      <c r="A1252" s="94">
        <v>9900000</v>
      </c>
      <c r="B1252" s="94">
        <v>9780000</v>
      </c>
      <c r="C1252" s="94">
        <v>9930000</v>
      </c>
      <c r="D1252" s="94">
        <v>9900000</v>
      </c>
      <c r="E1252" s="95">
        <v>41773</v>
      </c>
      <c r="F1252" s="96" t="s">
        <v>2420</v>
      </c>
    </row>
    <row r="1253" spans="1:6">
      <c r="A1253" s="94">
        <v>9810000</v>
      </c>
      <c r="B1253" s="94">
        <v>9810000</v>
      </c>
      <c r="C1253" s="94">
        <v>9810000</v>
      </c>
      <c r="D1253" s="94">
        <v>9810000</v>
      </c>
      <c r="E1253" s="95">
        <v>41772</v>
      </c>
      <c r="F1253" s="96" t="s">
        <v>2421</v>
      </c>
    </row>
    <row r="1254" spans="1:6">
      <c r="A1254" s="94">
        <v>9810000</v>
      </c>
      <c r="B1254" s="94">
        <v>9685000</v>
      </c>
      <c r="C1254" s="94">
        <v>9850000</v>
      </c>
      <c r="D1254" s="94">
        <v>9810000</v>
      </c>
      <c r="E1254" s="95">
        <v>41771</v>
      </c>
      <c r="F1254" s="96" t="s">
        <v>2422</v>
      </c>
    </row>
    <row r="1255" spans="1:6">
      <c r="A1255" s="94">
        <v>9690000</v>
      </c>
      <c r="B1255" s="94">
        <v>9670000</v>
      </c>
      <c r="C1255" s="94">
        <v>9770000</v>
      </c>
      <c r="D1255" s="94">
        <v>9690000</v>
      </c>
      <c r="E1255" s="95">
        <v>41770</v>
      </c>
      <c r="F1255" s="96" t="s">
        <v>2423</v>
      </c>
    </row>
    <row r="1256" spans="1:6">
      <c r="A1256" s="94">
        <v>9800000</v>
      </c>
      <c r="B1256" s="94">
        <v>9770000</v>
      </c>
      <c r="C1256" s="94">
        <v>9910000</v>
      </c>
      <c r="D1256" s="94">
        <v>9800000</v>
      </c>
      <c r="E1256" s="95">
        <v>41769</v>
      </c>
      <c r="F1256" s="96" t="s">
        <v>2424</v>
      </c>
    </row>
    <row r="1257" spans="1:6">
      <c r="A1257" s="94">
        <v>9910000</v>
      </c>
      <c r="B1257" s="94">
        <v>9910000</v>
      </c>
      <c r="C1257" s="94">
        <v>9910000</v>
      </c>
      <c r="D1257" s="94">
        <v>9910000</v>
      </c>
      <c r="E1257" s="95">
        <v>41768</v>
      </c>
      <c r="F1257" s="96" t="s">
        <v>2425</v>
      </c>
    </row>
    <row r="1258" spans="1:6">
      <c r="A1258" s="94">
        <v>9910000</v>
      </c>
      <c r="B1258" s="94">
        <v>9910000</v>
      </c>
      <c r="C1258" s="94">
        <v>9990000</v>
      </c>
      <c r="D1258" s="94">
        <v>9910000</v>
      </c>
      <c r="E1258" s="95">
        <v>41767</v>
      </c>
      <c r="F1258" s="96" t="s">
        <v>2426</v>
      </c>
    </row>
    <row r="1259" spans="1:6">
      <c r="A1259" s="94">
        <v>10040000</v>
      </c>
      <c r="B1259" s="94">
        <v>10037000</v>
      </c>
      <c r="C1259" s="94">
        <v>10130000</v>
      </c>
      <c r="D1259" s="94">
        <v>10040000</v>
      </c>
      <c r="E1259" s="95">
        <v>41766</v>
      </c>
      <c r="F1259" s="96" t="s">
        <v>2427</v>
      </c>
    </row>
    <row r="1260" spans="1:6">
      <c r="A1260" s="94">
        <v>10110000</v>
      </c>
      <c r="B1260" s="94">
        <v>10110000</v>
      </c>
      <c r="C1260" s="94">
        <v>10190000</v>
      </c>
      <c r="D1260" s="94">
        <v>10110000</v>
      </c>
      <c r="E1260" s="95">
        <v>41765</v>
      </c>
      <c r="F1260" s="96" t="s">
        <v>2428</v>
      </c>
    </row>
    <row r="1261" spans="1:6">
      <c r="A1261" s="94">
        <v>10190000</v>
      </c>
      <c r="B1261" s="94">
        <v>10130000</v>
      </c>
      <c r="C1261" s="94">
        <v>10195000</v>
      </c>
      <c r="D1261" s="94">
        <v>10190000</v>
      </c>
      <c r="E1261" s="95">
        <v>41764</v>
      </c>
      <c r="F1261" s="96" t="s">
        <v>2429</v>
      </c>
    </row>
    <row r="1262" spans="1:6">
      <c r="A1262" s="94">
        <v>10130000</v>
      </c>
      <c r="B1262" s="94">
        <v>10130000</v>
      </c>
      <c r="C1262" s="94">
        <v>10240000</v>
      </c>
      <c r="D1262" s="94">
        <v>10130000</v>
      </c>
      <c r="E1262" s="95">
        <v>41763</v>
      </c>
      <c r="F1262" s="96" t="s">
        <v>2430</v>
      </c>
    </row>
    <row r="1263" spans="1:6">
      <c r="A1263" s="94">
        <v>10220000</v>
      </c>
      <c r="B1263" s="94">
        <v>10200000</v>
      </c>
      <c r="C1263" s="94">
        <v>10300000</v>
      </c>
      <c r="D1263" s="94">
        <v>10220000</v>
      </c>
      <c r="E1263" s="95">
        <v>41762</v>
      </c>
      <c r="F1263" s="96" t="s">
        <v>2431</v>
      </c>
    </row>
    <row r="1264" spans="1:6">
      <c r="A1264" s="94">
        <v>10130000</v>
      </c>
      <c r="B1264" s="94">
        <v>10120000</v>
      </c>
      <c r="C1264" s="94">
        <v>10130000</v>
      </c>
      <c r="D1264" s="94">
        <v>10130000</v>
      </c>
      <c r="E1264" s="95">
        <v>41761</v>
      </c>
      <c r="F1264" s="96" t="s">
        <v>2432</v>
      </c>
    </row>
    <row r="1265" spans="1:6">
      <c r="A1265" s="94">
        <v>10120000</v>
      </c>
      <c r="B1265" s="94">
        <v>10085000</v>
      </c>
      <c r="C1265" s="94">
        <v>10130000</v>
      </c>
      <c r="D1265" s="94">
        <v>10120000</v>
      </c>
      <c r="E1265" s="95">
        <v>41760</v>
      </c>
      <c r="F1265" s="96" t="s">
        <v>2433</v>
      </c>
    </row>
    <row r="1266" spans="1:6">
      <c r="A1266" s="94">
        <v>10110000</v>
      </c>
      <c r="B1266" s="94">
        <v>10090000</v>
      </c>
      <c r="C1266" s="94">
        <v>10210000</v>
      </c>
      <c r="D1266" s="94">
        <v>10110000</v>
      </c>
      <c r="E1266" s="95">
        <v>41759</v>
      </c>
      <c r="F1266" s="96" t="s">
        <v>2434</v>
      </c>
    </row>
    <row r="1267" spans="1:6">
      <c r="A1267" s="94">
        <v>10160000</v>
      </c>
      <c r="B1267" s="94">
        <v>10090000</v>
      </c>
      <c r="C1267" s="94">
        <v>10180000</v>
      </c>
      <c r="D1267" s="94">
        <v>10160000</v>
      </c>
      <c r="E1267" s="95">
        <v>41758</v>
      </c>
      <c r="F1267" s="96" t="s">
        <v>2435</v>
      </c>
    </row>
    <row r="1268" spans="1:6">
      <c r="A1268" s="94">
        <v>10450000</v>
      </c>
      <c r="B1268" s="94">
        <v>10164000</v>
      </c>
      <c r="C1268" s="94">
        <v>10450000</v>
      </c>
      <c r="D1268" s="94">
        <v>10185000</v>
      </c>
      <c r="E1268" s="95">
        <v>41757</v>
      </c>
      <c r="F1268" s="96" t="s">
        <v>2436</v>
      </c>
    </row>
    <row r="1269" spans="1:6">
      <c r="A1269" s="94">
        <v>10150000</v>
      </c>
      <c r="B1269" s="94">
        <v>10115000</v>
      </c>
      <c r="C1269" s="94">
        <v>10460000</v>
      </c>
      <c r="D1269" s="94">
        <v>10455000</v>
      </c>
      <c r="E1269" s="95">
        <v>41756</v>
      </c>
      <c r="F1269" s="96" t="s">
        <v>2437</v>
      </c>
    </row>
    <row r="1270" spans="1:6">
      <c r="A1270" s="94">
        <v>9955000</v>
      </c>
      <c r="B1270" s="94">
        <v>9945000</v>
      </c>
      <c r="C1270" s="94">
        <v>10150000</v>
      </c>
      <c r="D1270" s="94">
        <v>10140000</v>
      </c>
      <c r="E1270" s="95">
        <v>41755</v>
      </c>
      <c r="F1270" s="96" t="s">
        <v>2438</v>
      </c>
    </row>
    <row r="1271" spans="1:6">
      <c r="A1271" s="94">
        <v>9940000</v>
      </c>
      <c r="B1271" s="94">
        <v>9935000</v>
      </c>
      <c r="C1271" s="94">
        <v>9970000</v>
      </c>
      <c r="D1271" s="94">
        <v>9960000</v>
      </c>
      <c r="E1271" s="95">
        <v>41754</v>
      </c>
      <c r="F1271" s="96" t="s">
        <v>2439</v>
      </c>
    </row>
    <row r="1272" spans="1:6">
      <c r="A1272" s="94">
        <v>9955000</v>
      </c>
      <c r="B1272" s="94">
        <v>9853000</v>
      </c>
      <c r="C1272" s="94">
        <v>9965000</v>
      </c>
      <c r="D1272" s="94">
        <v>9950000</v>
      </c>
      <c r="E1272" s="95">
        <v>41753</v>
      </c>
      <c r="F1272" s="96" t="s">
        <v>2440</v>
      </c>
    </row>
    <row r="1273" spans="1:6">
      <c r="A1273" s="94">
        <v>10020000</v>
      </c>
      <c r="B1273" s="94">
        <v>9910000</v>
      </c>
      <c r="C1273" s="94">
        <v>10080000</v>
      </c>
      <c r="D1273" s="94">
        <v>9910000</v>
      </c>
      <c r="E1273" s="95">
        <v>41752</v>
      </c>
      <c r="F1273" s="96" t="s">
        <v>2441</v>
      </c>
    </row>
    <row r="1274" spans="1:6">
      <c r="A1274" s="94">
        <v>9845000</v>
      </c>
      <c r="B1274" s="94">
        <v>9844000</v>
      </c>
      <c r="C1274" s="94">
        <v>10000000</v>
      </c>
      <c r="D1274" s="94">
        <v>10000000</v>
      </c>
      <c r="E1274" s="95">
        <v>41751</v>
      </c>
      <c r="F1274" s="96" t="s">
        <v>2442</v>
      </c>
    </row>
    <row r="1275" spans="1:6">
      <c r="A1275" s="94">
        <v>9770000</v>
      </c>
      <c r="B1275" s="94">
        <v>9725000</v>
      </c>
      <c r="C1275" s="94">
        <v>9857000</v>
      </c>
      <c r="D1275" s="94">
        <v>9855000</v>
      </c>
      <c r="E1275" s="95">
        <v>41750</v>
      </c>
      <c r="F1275" s="96" t="s">
        <v>2443</v>
      </c>
    </row>
    <row r="1276" spans="1:6">
      <c r="A1276" s="94">
        <v>9780000</v>
      </c>
      <c r="B1276" s="94">
        <v>9778000</v>
      </c>
      <c r="C1276" s="94">
        <v>9820000</v>
      </c>
      <c r="D1276" s="94">
        <v>9800000</v>
      </c>
      <c r="E1276" s="95">
        <v>41749</v>
      </c>
      <c r="F1276" s="96" t="s">
        <v>2444</v>
      </c>
    </row>
    <row r="1277" spans="1:6">
      <c r="A1277" s="94">
        <v>9765000</v>
      </c>
      <c r="B1277" s="94">
        <v>9765000</v>
      </c>
      <c r="C1277" s="94">
        <v>9820000</v>
      </c>
      <c r="D1277" s="94">
        <v>9790000</v>
      </c>
      <c r="E1277" s="95">
        <v>41748</v>
      </c>
      <c r="F1277" s="96" t="s">
        <v>2445</v>
      </c>
    </row>
    <row r="1278" spans="1:6">
      <c r="A1278" s="94">
        <v>9760000</v>
      </c>
      <c r="B1278" s="94">
        <v>9760000</v>
      </c>
      <c r="C1278" s="94">
        <v>9770000</v>
      </c>
      <c r="D1278" s="94">
        <v>9765000</v>
      </c>
      <c r="E1278" s="95">
        <v>41747</v>
      </c>
      <c r="F1278" s="96" t="s">
        <v>2446</v>
      </c>
    </row>
    <row r="1279" spans="1:6">
      <c r="A1279" s="94">
        <v>9750000</v>
      </c>
      <c r="B1279" s="94">
        <v>9738000</v>
      </c>
      <c r="C1279" s="94">
        <v>9780000</v>
      </c>
      <c r="D1279" s="94">
        <v>9765000</v>
      </c>
      <c r="E1279" s="95">
        <v>41746</v>
      </c>
      <c r="F1279" s="96" t="s">
        <v>2447</v>
      </c>
    </row>
    <row r="1280" spans="1:6">
      <c r="A1280" s="94">
        <v>9820000</v>
      </c>
      <c r="B1280" s="94">
        <v>9760000</v>
      </c>
      <c r="C1280" s="94">
        <v>9845000</v>
      </c>
      <c r="D1280" s="94">
        <v>9760000</v>
      </c>
      <c r="E1280" s="95">
        <v>41745</v>
      </c>
      <c r="F1280" s="96" t="s">
        <v>2448</v>
      </c>
    </row>
    <row r="1281" spans="1:6">
      <c r="A1281" s="94">
        <v>9850000</v>
      </c>
      <c r="B1281" s="94">
        <v>9783000</v>
      </c>
      <c r="C1281" s="94">
        <v>9850000</v>
      </c>
      <c r="D1281" s="94">
        <v>9835000</v>
      </c>
      <c r="E1281" s="95">
        <v>41744</v>
      </c>
      <c r="F1281" s="96" t="s">
        <v>2449</v>
      </c>
    </row>
    <row r="1282" spans="1:6">
      <c r="A1282" s="94">
        <v>9825000</v>
      </c>
      <c r="B1282" s="94">
        <v>9808000</v>
      </c>
      <c r="C1282" s="94">
        <v>9900000</v>
      </c>
      <c r="D1282" s="94">
        <v>9880000</v>
      </c>
      <c r="E1282" s="95">
        <v>41743</v>
      </c>
      <c r="F1282" s="96" t="s">
        <v>2450</v>
      </c>
    </row>
    <row r="1283" spans="1:6">
      <c r="A1283" s="94">
        <v>9770000</v>
      </c>
      <c r="B1283" s="94">
        <v>9728000</v>
      </c>
      <c r="C1283" s="94">
        <v>9790000</v>
      </c>
      <c r="D1283" s="94">
        <v>9780000</v>
      </c>
      <c r="E1283" s="95">
        <v>41742</v>
      </c>
      <c r="F1283" s="96" t="s">
        <v>2451</v>
      </c>
    </row>
    <row r="1284" spans="1:6">
      <c r="A1284" s="94">
        <v>9670000</v>
      </c>
      <c r="B1284" s="94">
        <v>9638000</v>
      </c>
      <c r="C1284" s="94">
        <v>9750000</v>
      </c>
      <c r="D1284" s="94">
        <v>9750000</v>
      </c>
      <c r="E1284" s="95">
        <v>41741</v>
      </c>
      <c r="F1284" s="96" t="s">
        <v>2452</v>
      </c>
    </row>
    <row r="1285" spans="1:6">
      <c r="A1285" s="94">
        <v>9685000</v>
      </c>
      <c r="B1285" s="94">
        <v>9672000</v>
      </c>
      <c r="C1285" s="94">
        <v>9704000</v>
      </c>
      <c r="D1285" s="94">
        <v>9675000</v>
      </c>
      <c r="E1285" s="95">
        <v>41740</v>
      </c>
      <c r="F1285" s="96" t="s">
        <v>2453</v>
      </c>
    </row>
    <row r="1286" spans="1:6">
      <c r="A1286" s="94">
        <v>9650000</v>
      </c>
      <c r="B1286" s="94">
        <v>9638000</v>
      </c>
      <c r="C1286" s="94">
        <v>9703000</v>
      </c>
      <c r="D1286" s="94">
        <v>9683000</v>
      </c>
      <c r="E1286" s="95">
        <v>41739</v>
      </c>
      <c r="F1286" s="96" t="s">
        <v>2454</v>
      </c>
    </row>
    <row r="1287" spans="1:6">
      <c r="A1287" s="94">
        <v>9700000</v>
      </c>
      <c r="B1287" s="94">
        <v>9595000</v>
      </c>
      <c r="C1287" s="94">
        <v>9770000</v>
      </c>
      <c r="D1287" s="94">
        <v>9640000</v>
      </c>
      <c r="E1287" s="95">
        <v>41738</v>
      </c>
      <c r="F1287" s="96" t="s">
        <v>2455</v>
      </c>
    </row>
    <row r="1288" spans="1:6">
      <c r="A1288" s="94">
        <v>9475000</v>
      </c>
      <c r="B1288" s="94">
        <v>9470000</v>
      </c>
      <c r="C1288" s="94">
        <v>9658000</v>
      </c>
      <c r="D1288" s="94">
        <v>9658000</v>
      </c>
      <c r="E1288" s="95">
        <v>41737</v>
      </c>
      <c r="F1288" s="96" t="s">
        <v>2456</v>
      </c>
    </row>
    <row r="1289" spans="1:6">
      <c r="A1289" s="94">
        <v>9420000</v>
      </c>
      <c r="B1289" s="94">
        <v>9400000</v>
      </c>
      <c r="C1289" s="94">
        <v>9475000</v>
      </c>
      <c r="D1289" s="94">
        <v>9460000</v>
      </c>
      <c r="E1289" s="95">
        <v>41736</v>
      </c>
      <c r="F1289" s="96" t="s">
        <v>2457</v>
      </c>
    </row>
    <row r="1290" spans="1:6">
      <c r="A1290" s="94">
        <v>9458000</v>
      </c>
      <c r="B1290" s="94">
        <v>9413000</v>
      </c>
      <c r="C1290" s="94">
        <v>9460000</v>
      </c>
      <c r="D1290" s="94">
        <v>9440000</v>
      </c>
      <c r="E1290" s="95">
        <v>41735</v>
      </c>
      <c r="F1290" s="96" t="s">
        <v>2458</v>
      </c>
    </row>
    <row r="1291" spans="1:6">
      <c r="A1291" s="94">
        <v>9470000</v>
      </c>
      <c r="B1291" s="94">
        <v>9455000</v>
      </c>
      <c r="C1291" s="94">
        <v>9500000</v>
      </c>
      <c r="D1291" s="94">
        <v>9462000</v>
      </c>
      <c r="E1291" s="95">
        <v>41734</v>
      </c>
      <c r="F1291" s="96" t="s">
        <v>2459</v>
      </c>
    </row>
    <row r="1292" spans="1:6">
      <c r="A1292" s="94">
        <v>9430000</v>
      </c>
      <c r="B1292" s="94">
        <v>9430000</v>
      </c>
      <c r="C1292" s="94">
        <v>9445000</v>
      </c>
      <c r="D1292" s="94">
        <v>9445000</v>
      </c>
      <c r="E1292" s="95">
        <v>41733</v>
      </c>
      <c r="F1292" s="96" t="s">
        <v>2460</v>
      </c>
    </row>
    <row r="1293" spans="1:6">
      <c r="A1293" s="94">
        <v>9420000</v>
      </c>
      <c r="B1293" s="94">
        <v>9410000</v>
      </c>
      <c r="C1293" s="94">
        <v>9425000</v>
      </c>
      <c r="D1293" s="94">
        <v>9410000</v>
      </c>
      <c r="E1293" s="95">
        <v>41730</v>
      </c>
      <c r="F1293" s="96" t="s">
        <v>2461</v>
      </c>
    </row>
    <row r="1294" spans="1:6">
      <c r="A1294" s="94">
        <v>9450000</v>
      </c>
      <c r="B1294" s="94">
        <v>9430000</v>
      </c>
      <c r="C1294" s="94">
        <v>9450000</v>
      </c>
      <c r="D1294" s="94">
        <v>9430000</v>
      </c>
      <c r="E1294" s="95">
        <v>41729</v>
      </c>
      <c r="F1294" s="96" t="s">
        <v>2462</v>
      </c>
    </row>
    <row r="1295" spans="1:6">
      <c r="A1295" s="94">
        <v>9440000</v>
      </c>
      <c r="B1295" s="94">
        <v>9440000</v>
      </c>
      <c r="C1295" s="94">
        <v>9450000</v>
      </c>
      <c r="D1295" s="94">
        <v>9440000</v>
      </c>
      <c r="E1295" s="95">
        <v>41728</v>
      </c>
      <c r="F1295" s="96" t="s">
        <v>2463</v>
      </c>
    </row>
    <row r="1296" spans="1:6">
      <c r="A1296" s="94">
        <v>9480000</v>
      </c>
      <c r="B1296" s="94">
        <v>9450000</v>
      </c>
      <c r="C1296" s="94">
        <v>9480000</v>
      </c>
      <c r="D1296" s="94">
        <v>9450000</v>
      </c>
      <c r="E1296" s="95">
        <v>41727</v>
      </c>
      <c r="F1296" s="96" t="s">
        <v>2464</v>
      </c>
    </row>
    <row r="1297" spans="1:6">
      <c r="A1297" s="94">
        <v>9500000</v>
      </c>
      <c r="B1297" s="94">
        <v>9500000</v>
      </c>
      <c r="C1297" s="94">
        <v>9500000</v>
      </c>
      <c r="D1297" s="94">
        <v>9500000</v>
      </c>
      <c r="E1297" s="95">
        <v>41726</v>
      </c>
      <c r="F1297" s="96" t="s">
        <v>2465</v>
      </c>
    </row>
    <row r="1298" spans="1:6">
      <c r="A1298" s="94">
        <v>9520000</v>
      </c>
      <c r="B1298" s="94">
        <v>9520000</v>
      </c>
      <c r="C1298" s="94">
        <v>9520000</v>
      </c>
      <c r="D1298" s="94">
        <v>9520000</v>
      </c>
      <c r="E1298" s="95">
        <v>41725</v>
      </c>
      <c r="F1298" s="96" t="s">
        <v>2466</v>
      </c>
    </row>
    <row r="1299" spans="1:6">
      <c r="A1299" s="94">
        <v>9530000</v>
      </c>
      <c r="B1299" s="94">
        <v>9510000</v>
      </c>
      <c r="C1299" s="94">
        <v>9540000</v>
      </c>
      <c r="D1299" s="94">
        <v>9510000</v>
      </c>
      <c r="E1299" s="95">
        <v>41724</v>
      </c>
      <c r="F1299" s="96" t="s">
        <v>2467</v>
      </c>
    </row>
    <row r="1300" spans="1:6">
      <c r="A1300" s="94">
        <v>9500000</v>
      </c>
      <c r="B1300" s="94">
        <v>9500000</v>
      </c>
      <c r="C1300" s="94">
        <v>9550000</v>
      </c>
      <c r="D1300" s="94">
        <v>9520000</v>
      </c>
      <c r="E1300" s="95">
        <v>41723</v>
      </c>
      <c r="F1300" s="96" t="s">
        <v>2468</v>
      </c>
    </row>
    <row r="1301" spans="1:6">
      <c r="A1301" s="94">
        <v>9530000</v>
      </c>
      <c r="B1301" s="94">
        <v>9480000</v>
      </c>
      <c r="C1301" s="94">
        <v>9530000</v>
      </c>
      <c r="D1301" s="94">
        <v>9480000</v>
      </c>
      <c r="E1301" s="95">
        <v>41722</v>
      </c>
      <c r="F1301" s="96" t="s">
        <v>2469</v>
      </c>
    </row>
    <row r="1302" spans="1:6">
      <c r="A1302" s="94">
        <v>9570000</v>
      </c>
      <c r="B1302" s="94">
        <v>9550000</v>
      </c>
      <c r="C1302" s="94">
        <v>9570000</v>
      </c>
      <c r="D1302" s="94">
        <v>9550000</v>
      </c>
      <c r="E1302" s="95">
        <v>41719</v>
      </c>
      <c r="F1302" s="96" t="s">
        <v>2470</v>
      </c>
    </row>
    <row r="1303" spans="1:6">
      <c r="A1303" s="94">
        <v>9530000</v>
      </c>
      <c r="B1303" s="94">
        <v>9510000</v>
      </c>
      <c r="C1303" s="94">
        <v>9550000</v>
      </c>
      <c r="D1303" s="94">
        <v>9530000</v>
      </c>
      <c r="E1303" s="95">
        <v>41718</v>
      </c>
      <c r="F1303" s="96" t="s">
        <v>2471</v>
      </c>
    </row>
    <row r="1304" spans="1:6">
      <c r="A1304" s="94">
        <v>9520000</v>
      </c>
      <c r="B1304" s="94">
        <v>9500000</v>
      </c>
      <c r="C1304" s="94">
        <v>9543000</v>
      </c>
      <c r="D1304" s="94">
        <v>9500000</v>
      </c>
      <c r="E1304" s="95">
        <v>41717</v>
      </c>
      <c r="F1304" s="96" t="s">
        <v>2472</v>
      </c>
    </row>
    <row r="1305" spans="1:6">
      <c r="A1305" s="94">
        <v>9630000</v>
      </c>
      <c r="B1305" s="94">
        <v>9535000</v>
      </c>
      <c r="C1305" s="94">
        <v>9630000</v>
      </c>
      <c r="D1305" s="94">
        <v>9535000</v>
      </c>
      <c r="E1305" s="95">
        <v>41716</v>
      </c>
      <c r="F1305" s="96" t="s">
        <v>2473</v>
      </c>
    </row>
    <row r="1306" spans="1:6">
      <c r="A1306" s="94">
        <v>9810000</v>
      </c>
      <c r="B1306" s="94">
        <v>9650000</v>
      </c>
      <c r="C1306" s="94">
        <v>9820000</v>
      </c>
      <c r="D1306" s="94">
        <v>9660000</v>
      </c>
      <c r="E1306" s="95">
        <v>41715</v>
      </c>
      <c r="F1306" s="96" t="s">
        <v>2474</v>
      </c>
    </row>
    <row r="1307" spans="1:6">
      <c r="A1307" s="94">
        <v>9760000</v>
      </c>
      <c r="B1307" s="94">
        <v>9735000</v>
      </c>
      <c r="C1307" s="94">
        <v>9820000</v>
      </c>
      <c r="D1307" s="94">
        <v>9820000</v>
      </c>
      <c r="E1307" s="95">
        <v>41714</v>
      </c>
      <c r="F1307" s="96" t="s">
        <v>2475</v>
      </c>
    </row>
    <row r="1308" spans="1:6">
      <c r="A1308" s="94">
        <v>9880000</v>
      </c>
      <c r="B1308" s="94">
        <v>9760000</v>
      </c>
      <c r="C1308" s="94">
        <v>9885000</v>
      </c>
      <c r="D1308" s="94">
        <v>9775000</v>
      </c>
      <c r="E1308" s="95">
        <v>41713</v>
      </c>
      <c r="F1308" s="96" t="s">
        <v>2476</v>
      </c>
    </row>
    <row r="1309" spans="1:6">
      <c r="A1309" s="94">
        <v>9790000</v>
      </c>
      <c r="B1309" s="94">
        <v>9783000</v>
      </c>
      <c r="C1309" s="94">
        <v>9850000</v>
      </c>
      <c r="D1309" s="94">
        <v>9850000</v>
      </c>
      <c r="E1309" s="95">
        <v>41712</v>
      </c>
      <c r="F1309" s="96" t="s">
        <v>2477</v>
      </c>
    </row>
    <row r="1310" spans="1:6">
      <c r="A1310" s="94">
        <v>9770000</v>
      </c>
      <c r="B1310" s="94">
        <v>9760000</v>
      </c>
      <c r="C1310" s="94">
        <v>9810000</v>
      </c>
      <c r="D1310" s="94">
        <v>9805000</v>
      </c>
      <c r="E1310" s="95">
        <v>41711</v>
      </c>
      <c r="F1310" s="96" t="s">
        <v>2478</v>
      </c>
    </row>
    <row r="1311" spans="1:6">
      <c r="A1311" s="94">
        <v>9880000</v>
      </c>
      <c r="B1311" s="94">
        <v>9740000</v>
      </c>
      <c r="C1311" s="94">
        <v>9895000</v>
      </c>
      <c r="D1311" s="94">
        <v>9775000</v>
      </c>
      <c r="E1311" s="95">
        <v>41710</v>
      </c>
      <c r="F1311" s="96" t="s">
        <v>2479</v>
      </c>
    </row>
    <row r="1312" spans="1:6">
      <c r="A1312" s="94">
        <v>9800000</v>
      </c>
      <c r="B1312" s="94">
        <v>9730000</v>
      </c>
      <c r="C1312" s="94">
        <v>9890000</v>
      </c>
      <c r="D1312" s="94">
        <v>9787000</v>
      </c>
      <c r="E1312" s="95">
        <v>41709</v>
      </c>
      <c r="F1312" s="96" t="s">
        <v>2480</v>
      </c>
    </row>
    <row r="1313" spans="1:6">
      <c r="A1313" s="94">
        <v>9700000</v>
      </c>
      <c r="B1313" s="94">
        <v>9645000</v>
      </c>
      <c r="C1313" s="94">
        <v>9788000</v>
      </c>
      <c r="D1313" s="94">
        <v>9770000</v>
      </c>
      <c r="E1313" s="95">
        <v>41708</v>
      </c>
      <c r="F1313" s="96" t="s">
        <v>2481</v>
      </c>
    </row>
    <row r="1314" spans="1:6">
      <c r="A1314" s="94">
        <v>9560000</v>
      </c>
      <c r="B1314" s="94">
        <v>9520000</v>
      </c>
      <c r="C1314" s="94">
        <v>9732000</v>
      </c>
      <c r="D1314" s="94">
        <v>9710000</v>
      </c>
      <c r="E1314" s="95">
        <v>41707</v>
      </c>
      <c r="F1314" s="96" t="s">
        <v>2482</v>
      </c>
    </row>
    <row r="1315" spans="1:6">
      <c r="A1315" s="94">
        <v>9735000</v>
      </c>
      <c r="B1315" s="94">
        <v>9550000</v>
      </c>
      <c r="C1315" s="94">
        <v>9748000</v>
      </c>
      <c r="D1315" s="94">
        <v>9550000</v>
      </c>
      <c r="E1315" s="95">
        <v>41706</v>
      </c>
      <c r="F1315" s="96" t="s">
        <v>2483</v>
      </c>
    </row>
    <row r="1316" spans="1:6">
      <c r="A1316" s="94">
        <v>9810000</v>
      </c>
      <c r="B1316" s="94">
        <v>9755000</v>
      </c>
      <c r="C1316" s="94">
        <v>9825000</v>
      </c>
      <c r="D1316" s="94">
        <v>9762000</v>
      </c>
      <c r="E1316" s="95">
        <v>41705</v>
      </c>
      <c r="F1316" s="96" t="s">
        <v>2484</v>
      </c>
    </row>
    <row r="1317" spans="1:6">
      <c r="A1317" s="94">
        <v>9775000</v>
      </c>
      <c r="B1317" s="94">
        <v>9732000</v>
      </c>
      <c r="C1317" s="94">
        <v>9835000</v>
      </c>
      <c r="D1317" s="94">
        <v>9820000</v>
      </c>
      <c r="E1317" s="95">
        <v>41704</v>
      </c>
      <c r="F1317" s="96" t="s">
        <v>2485</v>
      </c>
    </row>
    <row r="1318" spans="1:6">
      <c r="A1318" s="94">
        <v>9760000</v>
      </c>
      <c r="B1318" s="94">
        <v>9730000</v>
      </c>
      <c r="C1318" s="94">
        <v>9832000</v>
      </c>
      <c r="D1318" s="94">
        <v>9800000</v>
      </c>
      <c r="E1318" s="95">
        <v>41703</v>
      </c>
      <c r="F1318" s="96" t="s">
        <v>2486</v>
      </c>
    </row>
    <row r="1319" spans="1:6">
      <c r="A1319" s="94">
        <v>9870000</v>
      </c>
      <c r="B1319" s="94">
        <v>9695000</v>
      </c>
      <c r="C1319" s="94">
        <v>9900000</v>
      </c>
      <c r="D1319" s="94">
        <v>9780000</v>
      </c>
      <c r="E1319" s="95">
        <v>41702</v>
      </c>
      <c r="F1319" s="96" t="s">
        <v>2487</v>
      </c>
    </row>
    <row r="1320" spans="1:6">
      <c r="A1320" s="94">
        <v>9786000</v>
      </c>
      <c r="B1320" s="94">
        <v>9786000</v>
      </c>
      <c r="C1320" s="94">
        <v>10075000</v>
      </c>
      <c r="D1320" s="94">
        <v>9970000</v>
      </c>
      <c r="E1320" s="95">
        <v>41701</v>
      </c>
      <c r="F1320" s="96" t="s">
        <v>2488</v>
      </c>
    </row>
    <row r="1321" spans="1:6">
      <c r="A1321" s="94">
        <v>9735000</v>
      </c>
      <c r="B1321" s="94">
        <v>9695000</v>
      </c>
      <c r="C1321" s="94">
        <v>9777000</v>
      </c>
      <c r="D1321" s="94">
        <v>9776000</v>
      </c>
      <c r="E1321" s="95">
        <v>41700</v>
      </c>
      <c r="F1321" s="96" t="s">
        <v>2489</v>
      </c>
    </row>
    <row r="1322" spans="1:6">
      <c r="A1322" s="94">
        <v>9655000</v>
      </c>
      <c r="B1322" s="94">
        <v>9643000</v>
      </c>
      <c r="C1322" s="94">
        <v>9765000</v>
      </c>
      <c r="D1322" s="94">
        <v>9745000</v>
      </c>
      <c r="E1322" s="95">
        <v>41699</v>
      </c>
      <c r="F1322" s="96" t="s">
        <v>2490</v>
      </c>
    </row>
    <row r="1323" spans="1:6">
      <c r="A1323" s="94">
        <v>9670000</v>
      </c>
      <c r="B1323" s="94">
        <v>9620000</v>
      </c>
      <c r="C1323" s="94">
        <v>9700000</v>
      </c>
      <c r="D1323" s="94">
        <v>9652000</v>
      </c>
      <c r="E1323" s="95">
        <v>41698</v>
      </c>
      <c r="F1323" s="96" t="s">
        <v>2491</v>
      </c>
    </row>
    <row r="1324" spans="1:6">
      <c r="A1324" s="94">
        <v>9650000</v>
      </c>
      <c r="B1324" s="94">
        <v>9590000</v>
      </c>
      <c r="C1324" s="94">
        <v>9680000</v>
      </c>
      <c r="D1324" s="94">
        <v>9650000</v>
      </c>
      <c r="E1324" s="95">
        <v>41697</v>
      </c>
      <c r="F1324" s="96" t="s">
        <v>2492</v>
      </c>
    </row>
    <row r="1325" spans="1:6">
      <c r="A1325" s="94">
        <v>9760000</v>
      </c>
      <c r="B1325" s="94">
        <v>9640000</v>
      </c>
      <c r="C1325" s="94">
        <v>9843000</v>
      </c>
      <c r="D1325" s="94">
        <v>9645000</v>
      </c>
      <c r="E1325" s="95">
        <v>41696</v>
      </c>
      <c r="F1325" s="96" t="s">
        <v>2493</v>
      </c>
    </row>
    <row r="1326" spans="1:6">
      <c r="A1326" s="94">
        <v>9660000</v>
      </c>
      <c r="B1326" s="94">
        <v>9660000</v>
      </c>
      <c r="C1326" s="94">
        <v>9917000</v>
      </c>
      <c r="D1326" s="94">
        <v>9770000</v>
      </c>
      <c r="E1326" s="95">
        <v>41695</v>
      </c>
      <c r="F1326" s="96" t="s">
        <v>2494</v>
      </c>
    </row>
    <row r="1327" spans="1:6">
      <c r="A1327" s="94">
        <v>9435000</v>
      </c>
      <c r="B1327" s="94">
        <v>9435000</v>
      </c>
      <c r="C1327" s="94">
        <v>9680000</v>
      </c>
      <c r="D1327" s="94">
        <v>9680000</v>
      </c>
      <c r="E1327" s="95">
        <v>41694</v>
      </c>
      <c r="F1327" s="96" t="s">
        <v>2495</v>
      </c>
    </row>
    <row r="1328" spans="1:6">
      <c r="A1328" s="94">
        <v>9410000</v>
      </c>
      <c r="B1328" s="94">
        <v>9410000</v>
      </c>
      <c r="C1328" s="94">
        <v>9443000</v>
      </c>
      <c r="D1328" s="94">
        <v>9438000</v>
      </c>
      <c r="E1328" s="95">
        <v>41693</v>
      </c>
      <c r="F1328" s="96" t="s">
        <v>2496</v>
      </c>
    </row>
    <row r="1329" spans="1:6">
      <c r="A1329" s="94">
        <v>9410000</v>
      </c>
      <c r="B1329" s="94">
        <v>9399000</v>
      </c>
      <c r="C1329" s="94">
        <v>9415000</v>
      </c>
      <c r="D1329" s="94">
        <v>9408000</v>
      </c>
      <c r="E1329" s="95">
        <v>41692</v>
      </c>
      <c r="F1329" s="96" t="s">
        <v>2497</v>
      </c>
    </row>
    <row r="1330" spans="1:6">
      <c r="A1330" s="94">
        <v>9405000</v>
      </c>
      <c r="B1330" s="94">
        <v>9395000</v>
      </c>
      <c r="C1330" s="94">
        <v>9428000</v>
      </c>
      <c r="D1330" s="94">
        <v>9420000</v>
      </c>
      <c r="E1330" s="95">
        <v>41691</v>
      </c>
      <c r="F1330" s="96" t="s">
        <v>2498</v>
      </c>
    </row>
    <row r="1331" spans="1:6">
      <c r="A1331" s="94">
        <v>9350000</v>
      </c>
      <c r="B1331" s="94">
        <v>9320000</v>
      </c>
      <c r="C1331" s="94">
        <v>9385000</v>
      </c>
      <c r="D1331" s="94">
        <v>9385000</v>
      </c>
      <c r="E1331" s="95">
        <v>41690</v>
      </c>
      <c r="F1331" s="96" t="s">
        <v>2499</v>
      </c>
    </row>
    <row r="1332" spans="1:6">
      <c r="A1332" s="94">
        <v>9335000</v>
      </c>
      <c r="B1332" s="94">
        <v>9326000</v>
      </c>
      <c r="C1332" s="94">
        <v>9402000</v>
      </c>
      <c r="D1332" s="94">
        <v>9340000</v>
      </c>
      <c r="E1332" s="95">
        <v>41689</v>
      </c>
      <c r="F1332" s="96" t="s">
        <v>2500</v>
      </c>
    </row>
    <row r="1333" spans="1:6">
      <c r="A1333" s="94">
        <v>9450000</v>
      </c>
      <c r="B1333" s="94">
        <v>9362000</v>
      </c>
      <c r="C1333" s="94">
        <v>9450000</v>
      </c>
      <c r="D1333" s="94">
        <v>9362000</v>
      </c>
      <c r="E1333" s="95">
        <v>41688</v>
      </c>
      <c r="F1333" s="96" t="s">
        <v>2501</v>
      </c>
    </row>
    <row r="1334" spans="1:6">
      <c r="A1334" s="94">
        <v>9390000</v>
      </c>
      <c r="B1334" s="94">
        <v>9350000</v>
      </c>
      <c r="C1334" s="94">
        <v>9490000</v>
      </c>
      <c r="D1334" s="94">
        <v>9490000</v>
      </c>
      <c r="E1334" s="95">
        <v>41687</v>
      </c>
      <c r="F1334" s="96" t="s">
        <v>2502</v>
      </c>
    </row>
    <row r="1335" spans="1:6">
      <c r="A1335" s="94">
        <v>9310000</v>
      </c>
      <c r="B1335" s="94">
        <v>9282000</v>
      </c>
      <c r="C1335" s="94">
        <v>9393000</v>
      </c>
      <c r="D1335" s="94">
        <v>9315000</v>
      </c>
      <c r="E1335" s="95">
        <v>41686</v>
      </c>
      <c r="F1335" s="96" t="s">
        <v>2503</v>
      </c>
    </row>
    <row r="1336" spans="1:6">
      <c r="A1336" s="94">
        <v>9235000</v>
      </c>
      <c r="B1336" s="94">
        <v>9235000</v>
      </c>
      <c r="C1336" s="94">
        <v>9400000</v>
      </c>
      <c r="D1336" s="94">
        <v>9315000</v>
      </c>
      <c r="E1336" s="95">
        <v>41685</v>
      </c>
      <c r="F1336" s="96" t="s">
        <v>2504</v>
      </c>
    </row>
    <row r="1337" spans="1:6">
      <c r="A1337" s="94">
        <v>9170000</v>
      </c>
      <c r="B1337" s="94">
        <v>9170000</v>
      </c>
      <c r="C1337" s="94">
        <v>9310000</v>
      </c>
      <c r="D1337" s="94">
        <v>9273000</v>
      </c>
      <c r="E1337" s="95">
        <v>41684</v>
      </c>
      <c r="F1337" s="96" t="s">
        <v>2505</v>
      </c>
    </row>
    <row r="1338" spans="1:6">
      <c r="A1338" s="94">
        <v>9100000</v>
      </c>
      <c r="B1338" s="94">
        <v>9036000</v>
      </c>
      <c r="C1338" s="94">
        <v>9145000</v>
      </c>
      <c r="D1338" s="94">
        <v>9145000</v>
      </c>
      <c r="E1338" s="95">
        <v>41683</v>
      </c>
      <c r="F1338" s="96" t="s">
        <v>2506</v>
      </c>
    </row>
    <row r="1339" spans="1:6">
      <c r="A1339" s="94">
        <v>8953000</v>
      </c>
      <c r="B1339" s="94">
        <v>8946000</v>
      </c>
      <c r="C1339" s="94">
        <v>9126000</v>
      </c>
      <c r="D1339" s="94">
        <v>9122000</v>
      </c>
      <c r="E1339" s="95">
        <v>41682</v>
      </c>
      <c r="F1339" s="96" t="s">
        <v>2507</v>
      </c>
    </row>
    <row r="1340" spans="1:6">
      <c r="A1340" s="94">
        <v>8900000</v>
      </c>
      <c r="B1340" s="94">
        <v>8897000</v>
      </c>
      <c r="C1340" s="94">
        <v>8968000</v>
      </c>
      <c r="D1340" s="94">
        <v>8968000</v>
      </c>
      <c r="E1340" s="95">
        <v>41681</v>
      </c>
      <c r="F1340" s="96" t="s">
        <v>2508</v>
      </c>
    </row>
    <row r="1341" spans="1:6">
      <c r="A1341" s="94">
        <v>8820000</v>
      </c>
      <c r="B1341" s="94">
        <v>8820000</v>
      </c>
      <c r="C1341" s="94">
        <v>8885000</v>
      </c>
      <c r="D1341" s="94">
        <v>8882000</v>
      </c>
      <c r="E1341" s="95">
        <v>41680</v>
      </c>
      <c r="F1341" s="96" t="s">
        <v>2509</v>
      </c>
    </row>
    <row r="1342" spans="1:6">
      <c r="A1342" s="94">
        <v>8825000</v>
      </c>
      <c r="B1342" s="94">
        <v>8801000</v>
      </c>
      <c r="C1342" s="94">
        <v>8833000</v>
      </c>
      <c r="D1342" s="94">
        <v>8806000</v>
      </c>
      <c r="E1342" s="95">
        <v>41679</v>
      </c>
      <c r="F1342" s="96" t="s">
        <v>2510</v>
      </c>
    </row>
    <row r="1343" spans="1:6">
      <c r="A1343" s="94">
        <v>8830000</v>
      </c>
      <c r="B1343" s="94">
        <v>8820000</v>
      </c>
      <c r="C1343" s="94">
        <v>8855000</v>
      </c>
      <c r="D1343" s="94">
        <v>8830000</v>
      </c>
      <c r="E1343" s="95">
        <v>41678</v>
      </c>
      <c r="F1343" s="96" t="s">
        <v>2511</v>
      </c>
    </row>
    <row r="1344" spans="1:6">
      <c r="A1344" s="94">
        <v>8795000</v>
      </c>
      <c r="B1344" s="94">
        <v>8790000</v>
      </c>
      <c r="C1344" s="94">
        <v>8827000</v>
      </c>
      <c r="D1344" s="94">
        <v>8827000</v>
      </c>
      <c r="E1344" s="95">
        <v>41677</v>
      </c>
      <c r="F1344" s="96" t="s">
        <v>2512</v>
      </c>
    </row>
    <row r="1345" spans="1:6">
      <c r="A1345" s="94">
        <v>8770000</v>
      </c>
      <c r="B1345" s="94">
        <v>8768000</v>
      </c>
      <c r="C1345" s="94">
        <v>8790000</v>
      </c>
      <c r="D1345" s="94">
        <v>8790000</v>
      </c>
      <c r="E1345" s="95">
        <v>41676</v>
      </c>
      <c r="F1345" s="96" t="s">
        <v>2513</v>
      </c>
    </row>
    <row r="1346" spans="1:6">
      <c r="A1346" s="94">
        <v>8750000</v>
      </c>
      <c r="B1346" s="94">
        <v>8748500</v>
      </c>
      <c r="C1346" s="94">
        <v>8794000</v>
      </c>
      <c r="D1346" s="94">
        <v>8771000</v>
      </c>
      <c r="E1346" s="95">
        <v>41675</v>
      </c>
      <c r="F1346" s="96" t="s">
        <v>2514</v>
      </c>
    </row>
    <row r="1347" spans="1:6">
      <c r="A1347" s="94">
        <v>8770000</v>
      </c>
      <c r="B1347" s="94">
        <v>8746000</v>
      </c>
      <c r="C1347" s="94">
        <v>8770000</v>
      </c>
      <c r="D1347" s="94">
        <v>8753000</v>
      </c>
      <c r="E1347" s="95">
        <v>41674</v>
      </c>
      <c r="F1347" s="96" t="s">
        <v>2515</v>
      </c>
    </row>
    <row r="1348" spans="1:6">
      <c r="A1348" s="94">
        <v>8740000</v>
      </c>
      <c r="B1348" s="94">
        <v>8719000</v>
      </c>
      <c r="C1348" s="94">
        <v>8767000</v>
      </c>
      <c r="D1348" s="94">
        <v>8762000</v>
      </c>
      <c r="E1348" s="95">
        <v>41673</v>
      </c>
      <c r="F1348" s="96" t="s">
        <v>2516</v>
      </c>
    </row>
    <row r="1349" spans="1:6">
      <c r="A1349" s="94">
        <v>8710000</v>
      </c>
      <c r="B1349" s="94">
        <v>8700000</v>
      </c>
      <c r="C1349" s="94">
        <v>8735000</v>
      </c>
      <c r="D1349" s="94">
        <v>8735000</v>
      </c>
      <c r="E1349" s="95">
        <v>41672</v>
      </c>
      <c r="F1349" s="96" t="s">
        <v>2517</v>
      </c>
    </row>
    <row r="1350" spans="1:6">
      <c r="A1350" s="94">
        <v>8680000</v>
      </c>
      <c r="B1350" s="94">
        <v>8675000</v>
      </c>
      <c r="C1350" s="94">
        <v>8705000</v>
      </c>
      <c r="D1350" s="94">
        <v>8703000</v>
      </c>
      <c r="E1350" s="95">
        <v>41671</v>
      </c>
      <c r="F1350" s="96" t="s">
        <v>2518</v>
      </c>
    </row>
    <row r="1351" spans="1:6">
      <c r="A1351" s="94">
        <v>8680000</v>
      </c>
      <c r="B1351" s="94">
        <v>8670000</v>
      </c>
      <c r="C1351" s="94">
        <v>8713000</v>
      </c>
      <c r="D1351" s="94">
        <v>8682000</v>
      </c>
      <c r="E1351" s="95">
        <v>41670</v>
      </c>
      <c r="F1351" s="96" t="s">
        <v>2519</v>
      </c>
    </row>
    <row r="1352" spans="1:6">
      <c r="A1352" s="94">
        <v>8753000</v>
      </c>
      <c r="B1352" s="94">
        <v>8675000</v>
      </c>
      <c r="C1352" s="94">
        <v>8755000</v>
      </c>
      <c r="D1352" s="94">
        <v>8685000</v>
      </c>
      <c r="E1352" s="95">
        <v>41669</v>
      </c>
      <c r="F1352" s="96" t="s">
        <v>2520</v>
      </c>
    </row>
    <row r="1353" spans="1:6">
      <c r="A1353" s="94">
        <v>8750000</v>
      </c>
      <c r="B1353" s="94">
        <v>8747000</v>
      </c>
      <c r="C1353" s="94">
        <v>8778000</v>
      </c>
      <c r="D1353" s="94">
        <v>8755000</v>
      </c>
      <c r="E1353" s="95">
        <v>41668</v>
      </c>
      <c r="F1353" s="96" t="s">
        <v>2521</v>
      </c>
    </row>
    <row r="1354" spans="1:6">
      <c r="A1354" s="94">
        <v>8755000</v>
      </c>
      <c r="B1354" s="94">
        <v>8738000</v>
      </c>
      <c r="C1354" s="94">
        <v>8762000</v>
      </c>
      <c r="D1354" s="94">
        <v>8745000</v>
      </c>
      <c r="E1354" s="95">
        <v>41667</v>
      </c>
      <c r="F1354" s="96" t="s">
        <v>2522</v>
      </c>
    </row>
    <row r="1355" spans="1:6">
      <c r="A1355" s="94">
        <v>8765000</v>
      </c>
      <c r="B1355" s="94">
        <v>8745000</v>
      </c>
      <c r="C1355" s="94">
        <v>8790000</v>
      </c>
      <c r="D1355" s="94">
        <v>8746000</v>
      </c>
      <c r="E1355" s="95">
        <v>41666</v>
      </c>
      <c r="F1355" s="96" t="s">
        <v>2523</v>
      </c>
    </row>
    <row r="1356" spans="1:6">
      <c r="A1356" s="94">
        <v>8788000</v>
      </c>
      <c r="B1356" s="94">
        <v>8756000</v>
      </c>
      <c r="C1356" s="94">
        <v>8793000</v>
      </c>
      <c r="D1356" s="94">
        <v>8763000</v>
      </c>
      <c r="E1356" s="95">
        <v>41665</v>
      </c>
      <c r="F1356" s="96" t="s">
        <v>2524</v>
      </c>
    </row>
    <row r="1357" spans="1:6">
      <c r="A1357" s="94">
        <v>8750000</v>
      </c>
      <c r="B1357" s="94">
        <v>8750000</v>
      </c>
      <c r="C1357" s="94">
        <v>8810000</v>
      </c>
      <c r="D1357" s="94">
        <v>8785000</v>
      </c>
      <c r="E1357" s="95">
        <v>41664</v>
      </c>
      <c r="F1357" s="96" t="s">
        <v>2525</v>
      </c>
    </row>
    <row r="1358" spans="1:6">
      <c r="A1358" s="94">
        <v>8625000</v>
      </c>
      <c r="B1358" s="94">
        <v>8600000</v>
      </c>
      <c r="C1358" s="94">
        <v>8680000</v>
      </c>
      <c r="D1358" s="94">
        <v>8680000</v>
      </c>
      <c r="E1358" s="95">
        <v>41662</v>
      </c>
      <c r="F1358" s="96" t="s">
        <v>2526</v>
      </c>
    </row>
    <row r="1359" spans="1:6">
      <c r="A1359" s="94">
        <v>8625000</v>
      </c>
      <c r="B1359" s="94">
        <v>8610000</v>
      </c>
      <c r="C1359" s="94">
        <v>8690000</v>
      </c>
      <c r="D1359" s="94">
        <v>8640000</v>
      </c>
      <c r="E1359" s="95">
        <v>41661</v>
      </c>
      <c r="F1359" s="96" t="s">
        <v>2527</v>
      </c>
    </row>
    <row r="1360" spans="1:6">
      <c r="A1360" s="94">
        <v>8560000</v>
      </c>
      <c r="B1360" s="94">
        <v>8560000</v>
      </c>
      <c r="C1360" s="94">
        <v>8620000</v>
      </c>
      <c r="D1360" s="94">
        <v>8590000</v>
      </c>
      <c r="E1360" s="95">
        <v>41660</v>
      </c>
      <c r="F1360" s="96" t="s">
        <v>2528</v>
      </c>
    </row>
    <row r="1361" spans="1:6">
      <c r="A1361" s="94">
        <v>8540000</v>
      </c>
      <c r="B1361" s="94">
        <v>8500000</v>
      </c>
      <c r="C1361" s="94">
        <v>8570000</v>
      </c>
      <c r="D1361" s="94">
        <v>8500000</v>
      </c>
      <c r="E1361" s="95">
        <v>41659</v>
      </c>
      <c r="F1361" s="96" t="s">
        <v>2529</v>
      </c>
    </row>
    <row r="1362" spans="1:6">
      <c r="A1362" s="94">
        <v>8640000</v>
      </c>
      <c r="B1362" s="94">
        <v>8560000</v>
      </c>
      <c r="C1362" s="94">
        <v>8640000</v>
      </c>
      <c r="D1362" s="94">
        <v>8560000</v>
      </c>
      <c r="E1362" s="95">
        <v>41658</v>
      </c>
      <c r="F1362" s="96" t="s">
        <v>2530</v>
      </c>
    </row>
    <row r="1363" spans="1:6">
      <c r="A1363" s="94">
        <v>8720000</v>
      </c>
      <c r="B1363" s="94">
        <v>8620000</v>
      </c>
      <c r="C1363" s="94">
        <v>8720000</v>
      </c>
      <c r="D1363" s="94">
        <v>8620000</v>
      </c>
      <c r="E1363" s="95">
        <v>41657</v>
      </c>
      <c r="F1363" s="96" t="s">
        <v>2531</v>
      </c>
    </row>
    <row r="1364" spans="1:6">
      <c r="A1364" s="94">
        <v>8705000</v>
      </c>
      <c r="B1364" s="94">
        <v>8675000</v>
      </c>
      <c r="C1364" s="94">
        <v>8707000</v>
      </c>
      <c r="D1364" s="94">
        <v>8680000</v>
      </c>
      <c r="E1364" s="95">
        <v>41655</v>
      </c>
      <c r="F1364" s="96" t="s">
        <v>2532</v>
      </c>
    </row>
    <row r="1365" spans="1:6">
      <c r="A1365" s="94">
        <v>8695000</v>
      </c>
      <c r="B1365" s="94">
        <v>8685000</v>
      </c>
      <c r="C1365" s="94">
        <v>8710000</v>
      </c>
      <c r="D1365" s="94">
        <v>8710000</v>
      </c>
      <c r="E1365" s="95">
        <v>41654</v>
      </c>
      <c r="F1365" s="96" t="s">
        <v>2533</v>
      </c>
    </row>
    <row r="1366" spans="1:6">
      <c r="A1366" s="94">
        <v>8740000</v>
      </c>
      <c r="B1366" s="94">
        <v>8710000</v>
      </c>
      <c r="C1366" s="94">
        <v>8770000</v>
      </c>
      <c r="D1366" s="94">
        <v>8710000</v>
      </c>
      <c r="E1366" s="95">
        <v>41653</v>
      </c>
      <c r="F1366" s="96" t="s">
        <v>2534</v>
      </c>
    </row>
    <row r="1367" spans="1:6">
      <c r="A1367" s="94">
        <v>8725000</v>
      </c>
      <c r="B1367" s="94">
        <v>8670000</v>
      </c>
      <c r="C1367" s="94">
        <v>8730000</v>
      </c>
      <c r="D1367" s="94">
        <v>8730000</v>
      </c>
      <c r="E1367" s="95">
        <v>41652</v>
      </c>
      <c r="F1367" s="96" t="s">
        <v>2535</v>
      </c>
    </row>
    <row r="1368" spans="1:6">
      <c r="A1368" s="94">
        <v>8810000</v>
      </c>
      <c r="B1368" s="94">
        <v>8770000</v>
      </c>
      <c r="C1368" s="94">
        <v>8825000</v>
      </c>
      <c r="D1368" s="94">
        <v>8770000</v>
      </c>
      <c r="E1368" s="95">
        <v>41651</v>
      </c>
      <c r="F1368" s="96" t="s">
        <v>2536</v>
      </c>
    </row>
    <row r="1369" spans="1:6">
      <c r="A1369" s="94">
        <v>8790000</v>
      </c>
      <c r="B1369" s="94">
        <v>8790000</v>
      </c>
      <c r="C1369" s="94">
        <v>8830000</v>
      </c>
      <c r="D1369" s="94">
        <v>8812000</v>
      </c>
      <c r="E1369" s="95">
        <v>41650</v>
      </c>
      <c r="F1369" s="96" t="s">
        <v>2537</v>
      </c>
    </row>
    <row r="1370" spans="1:6">
      <c r="A1370" s="94">
        <v>8750000</v>
      </c>
      <c r="B1370" s="94">
        <v>8730000</v>
      </c>
      <c r="C1370" s="94">
        <v>8755000</v>
      </c>
      <c r="D1370" s="94">
        <v>8740000</v>
      </c>
      <c r="E1370" s="95">
        <v>41648</v>
      </c>
      <c r="F1370" s="96" t="s">
        <v>2538</v>
      </c>
    </row>
    <row r="1371" spans="1:6">
      <c r="A1371" s="94">
        <v>8760000</v>
      </c>
      <c r="B1371" s="94">
        <v>8740000</v>
      </c>
      <c r="C1371" s="94">
        <v>8770000</v>
      </c>
      <c r="D1371" s="94">
        <v>8750000</v>
      </c>
      <c r="E1371" s="95">
        <v>41647</v>
      </c>
      <c r="F1371" s="96" t="s">
        <v>2539</v>
      </c>
    </row>
    <row r="1372" spans="1:6">
      <c r="A1372" s="94">
        <v>8790000</v>
      </c>
      <c r="B1372" s="94">
        <v>8770000</v>
      </c>
      <c r="C1372" s="94">
        <v>8805000</v>
      </c>
      <c r="D1372" s="94">
        <v>8770000</v>
      </c>
      <c r="E1372" s="95">
        <v>41646</v>
      </c>
      <c r="F1372" s="96" t="s">
        <v>2540</v>
      </c>
    </row>
    <row r="1373" spans="1:6">
      <c r="A1373" s="94">
        <v>8770000</v>
      </c>
      <c r="B1373" s="94">
        <v>8770000</v>
      </c>
      <c r="C1373" s="94">
        <v>8820000</v>
      </c>
      <c r="D1373" s="94">
        <v>8790000</v>
      </c>
      <c r="E1373" s="95">
        <v>41645</v>
      </c>
      <c r="F1373" s="96" t="s">
        <v>2541</v>
      </c>
    </row>
    <row r="1374" spans="1:6">
      <c r="A1374" s="94">
        <v>8745000</v>
      </c>
      <c r="B1374" s="94">
        <v>8735000</v>
      </c>
      <c r="C1374" s="94">
        <v>8780000</v>
      </c>
      <c r="D1374" s="94">
        <v>8760000</v>
      </c>
      <c r="E1374" s="95">
        <v>41644</v>
      </c>
      <c r="F1374" s="96" t="s">
        <v>2542</v>
      </c>
    </row>
    <row r="1375" spans="1:6">
      <c r="A1375" s="94">
        <v>8810000</v>
      </c>
      <c r="B1375" s="94">
        <v>8730000</v>
      </c>
      <c r="C1375" s="94">
        <v>8810000</v>
      </c>
      <c r="D1375" s="94">
        <v>8750000</v>
      </c>
      <c r="E1375" s="95">
        <v>41643</v>
      </c>
      <c r="F1375" s="96" t="s">
        <v>2543</v>
      </c>
    </row>
    <row r="1376" spans="1:6">
      <c r="A1376" s="94">
        <v>8695000</v>
      </c>
      <c r="B1376" s="94">
        <v>8695000</v>
      </c>
      <c r="C1376" s="94">
        <v>8722000</v>
      </c>
      <c r="D1376" s="94">
        <v>8720000</v>
      </c>
      <c r="E1376" s="95">
        <v>41641</v>
      </c>
      <c r="F1376" s="96" t="s">
        <v>2544</v>
      </c>
    </row>
    <row r="1377" spans="1:6">
      <c r="A1377" s="94">
        <v>8675000</v>
      </c>
      <c r="B1377" s="94">
        <v>8635000</v>
      </c>
      <c r="C1377" s="94">
        <v>8675000</v>
      </c>
      <c r="D1377" s="94">
        <v>8660000</v>
      </c>
      <c r="E1377" s="95">
        <v>41640</v>
      </c>
      <c r="F1377" s="96" t="s">
        <v>2545</v>
      </c>
    </row>
    <row r="1378" spans="1:6">
      <c r="A1378" s="94">
        <v>8655000</v>
      </c>
      <c r="B1378" s="94">
        <v>8610000</v>
      </c>
      <c r="C1378" s="94">
        <v>8710000</v>
      </c>
      <c r="D1378" s="94">
        <v>8685000</v>
      </c>
      <c r="E1378" s="95">
        <v>41639</v>
      </c>
      <c r="F1378" s="96" t="s">
        <v>2546</v>
      </c>
    </row>
    <row r="1379" spans="1:6">
      <c r="A1379" s="94">
        <v>8780000</v>
      </c>
      <c r="B1379" s="94">
        <v>8720000</v>
      </c>
      <c r="C1379" s="94">
        <v>8788000</v>
      </c>
      <c r="D1379" s="94">
        <v>8725000</v>
      </c>
      <c r="E1379" s="95">
        <v>41638</v>
      </c>
      <c r="F1379" s="96" t="s">
        <v>2547</v>
      </c>
    </row>
    <row r="1380" spans="1:6">
      <c r="A1380" s="94">
        <v>8700000</v>
      </c>
      <c r="B1380" s="94">
        <v>8700000</v>
      </c>
      <c r="C1380" s="94">
        <v>8830000</v>
      </c>
      <c r="D1380" s="94">
        <v>8825000</v>
      </c>
      <c r="E1380" s="95">
        <v>41637</v>
      </c>
      <c r="F1380" s="96" t="s">
        <v>2548</v>
      </c>
    </row>
    <row r="1381" spans="1:6">
      <c r="A1381" s="94">
        <v>8680000</v>
      </c>
      <c r="B1381" s="94">
        <v>8660000</v>
      </c>
      <c r="C1381" s="94">
        <v>8750000</v>
      </c>
      <c r="D1381" s="94">
        <v>8725000</v>
      </c>
      <c r="E1381" s="95">
        <v>41636</v>
      </c>
      <c r="F1381" s="96" t="s">
        <v>2549</v>
      </c>
    </row>
    <row r="1382" spans="1:6">
      <c r="A1382" s="94">
        <v>8580000</v>
      </c>
      <c r="B1382" s="94">
        <v>8580000</v>
      </c>
      <c r="C1382" s="94">
        <v>8670000</v>
      </c>
      <c r="D1382" s="94">
        <v>8660000</v>
      </c>
      <c r="E1382" s="95">
        <v>41634</v>
      </c>
      <c r="F1382" s="96" t="s">
        <v>2550</v>
      </c>
    </row>
    <row r="1383" spans="1:6">
      <c r="A1383" s="94">
        <v>8560000</v>
      </c>
      <c r="B1383" s="94">
        <v>8555000</v>
      </c>
      <c r="C1383" s="94">
        <v>8580000</v>
      </c>
      <c r="D1383" s="94">
        <v>8575000</v>
      </c>
      <c r="E1383" s="95">
        <v>41633</v>
      </c>
      <c r="F1383" s="96" t="s">
        <v>2551</v>
      </c>
    </row>
    <row r="1384" spans="1:6">
      <c r="A1384" s="94">
        <v>8530000</v>
      </c>
      <c r="B1384" s="94">
        <v>8520000</v>
      </c>
      <c r="C1384" s="94">
        <v>8580000</v>
      </c>
      <c r="D1384" s="94">
        <v>8577000</v>
      </c>
      <c r="E1384" s="95">
        <v>41632</v>
      </c>
      <c r="F1384" s="96" t="s">
        <v>2552</v>
      </c>
    </row>
    <row r="1385" spans="1:6">
      <c r="A1385" s="94">
        <v>8570000</v>
      </c>
      <c r="B1385" s="94">
        <v>8535000</v>
      </c>
      <c r="C1385" s="94">
        <v>8570000</v>
      </c>
      <c r="D1385" s="94">
        <v>8555000</v>
      </c>
      <c r="E1385" s="95">
        <v>41631</v>
      </c>
      <c r="F1385" s="96" t="s">
        <v>2553</v>
      </c>
    </row>
    <row r="1386" spans="1:6">
      <c r="A1386" s="94">
        <v>8520000</v>
      </c>
      <c r="B1386" s="94">
        <v>8520000</v>
      </c>
      <c r="C1386" s="94">
        <v>8580000</v>
      </c>
      <c r="D1386" s="94">
        <v>8575000</v>
      </c>
      <c r="E1386" s="95">
        <v>41630</v>
      </c>
      <c r="F1386" s="96" t="s">
        <v>2554</v>
      </c>
    </row>
    <row r="1387" spans="1:6">
      <c r="A1387" s="94">
        <v>8545000</v>
      </c>
      <c r="B1387" s="94">
        <v>8490000</v>
      </c>
      <c r="C1387" s="94">
        <v>8545000</v>
      </c>
      <c r="D1387" s="94">
        <v>8510000</v>
      </c>
      <c r="E1387" s="95">
        <v>41629</v>
      </c>
      <c r="F1387" s="96" t="s">
        <v>2555</v>
      </c>
    </row>
    <row r="1388" spans="1:6">
      <c r="A1388" s="94">
        <v>8670000</v>
      </c>
      <c r="B1388" s="94">
        <v>8580000</v>
      </c>
      <c r="C1388" s="94">
        <v>8670000</v>
      </c>
      <c r="D1388" s="94">
        <v>8580000</v>
      </c>
      <c r="E1388" s="95">
        <v>41627</v>
      </c>
      <c r="F1388" s="96" t="s">
        <v>2556</v>
      </c>
    </row>
    <row r="1389" spans="1:6">
      <c r="A1389" s="94">
        <v>8720000</v>
      </c>
      <c r="B1389" s="94">
        <v>8710000</v>
      </c>
      <c r="C1389" s="94">
        <v>8750000</v>
      </c>
      <c r="D1389" s="94">
        <v>8740000</v>
      </c>
      <c r="E1389" s="95">
        <v>41626</v>
      </c>
      <c r="F1389" s="96" t="s">
        <v>2557</v>
      </c>
    </row>
    <row r="1390" spans="1:6">
      <c r="A1390" s="94">
        <v>8720000</v>
      </c>
      <c r="B1390" s="94">
        <v>8700000</v>
      </c>
      <c r="C1390" s="94">
        <v>8740000</v>
      </c>
      <c r="D1390" s="94">
        <v>8705000</v>
      </c>
      <c r="E1390" s="95">
        <v>41625</v>
      </c>
      <c r="F1390" s="96" t="s">
        <v>2558</v>
      </c>
    </row>
    <row r="1391" spans="1:6">
      <c r="A1391" s="94">
        <v>8740000</v>
      </c>
      <c r="B1391" s="94">
        <v>8690000</v>
      </c>
      <c r="C1391" s="94">
        <v>8750000</v>
      </c>
      <c r="D1391" s="94">
        <v>8740000</v>
      </c>
      <c r="E1391" s="95">
        <v>41624</v>
      </c>
      <c r="F1391" s="96" t="s">
        <v>2559</v>
      </c>
    </row>
    <row r="1392" spans="1:6">
      <c r="A1392" s="94">
        <v>8815000</v>
      </c>
      <c r="B1392" s="94">
        <v>8730000</v>
      </c>
      <c r="C1392" s="94">
        <v>8815000</v>
      </c>
      <c r="D1392" s="94">
        <v>8760000</v>
      </c>
      <c r="E1392" s="95">
        <v>41623</v>
      </c>
      <c r="F1392" s="96" t="s">
        <v>2560</v>
      </c>
    </row>
    <row r="1393" spans="1:6">
      <c r="A1393" s="94">
        <v>8730000</v>
      </c>
      <c r="B1393" s="94">
        <v>8710000</v>
      </c>
      <c r="C1393" s="94">
        <v>8810000</v>
      </c>
      <c r="D1393" s="94">
        <v>8800000</v>
      </c>
      <c r="E1393" s="95">
        <v>41622</v>
      </c>
      <c r="F1393" s="96" t="s">
        <v>2561</v>
      </c>
    </row>
    <row r="1394" spans="1:6">
      <c r="A1394" s="94">
        <v>8770000</v>
      </c>
      <c r="B1394" s="94">
        <v>8630000</v>
      </c>
      <c r="C1394" s="94">
        <v>8775000</v>
      </c>
      <c r="D1394" s="94">
        <v>8640000</v>
      </c>
      <c r="E1394" s="95">
        <v>41620</v>
      </c>
      <c r="F1394" s="96" t="s">
        <v>2562</v>
      </c>
    </row>
    <row r="1395" spans="1:6">
      <c r="A1395" s="94">
        <v>8790000</v>
      </c>
      <c r="B1395" s="94">
        <v>8760000</v>
      </c>
      <c r="C1395" s="94">
        <v>8840000</v>
      </c>
      <c r="D1395" s="94">
        <v>8800000</v>
      </c>
      <c r="E1395" s="95">
        <v>41619</v>
      </c>
      <c r="F1395" s="96" t="s">
        <v>2563</v>
      </c>
    </row>
    <row r="1396" spans="1:6">
      <c r="A1396" s="94">
        <v>8710000</v>
      </c>
      <c r="B1396" s="94">
        <v>8700000</v>
      </c>
      <c r="C1396" s="94">
        <v>8840000</v>
      </c>
      <c r="D1396" s="94">
        <v>8800000</v>
      </c>
      <c r="E1396" s="95">
        <v>41618</v>
      </c>
      <c r="F1396" s="96" t="s">
        <v>2564</v>
      </c>
    </row>
    <row r="1397" spans="1:6">
      <c r="A1397" s="94">
        <v>8660000</v>
      </c>
      <c r="B1397" s="94">
        <v>8635000</v>
      </c>
      <c r="C1397" s="94">
        <v>8660000</v>
      </c>
      <c r="D1397" s="94">
        <v>8660000</v>
      </c>
      <c r="E1397" s="95">
        <v>41617</v>
      </c>
      <c r="F1397" s="96" t="s">
        <v>2565</v>
      </c>
    </row>
    <row r="1398" spans="1:6">
      <c r="A1398" s="94">
        <v>8615000</v>
      </c>
      <c r="B1398" s="94">
        <v>8615000</v>
      </c>
      <c r="C1398" s="94">
        <v>8660000</v>
      </c>
      <c r="D1398" s="94">
        <v>8650000</v>
      </c>
      <c r="E1398" s="95">
        <v>41616</v>
      </c>
      <c r="F1398" s="96" t="s">
        <v>2566</v>
      </c>
    </row>
    <row r="1399" spans="1:6">
      <c r="A1399" s="94">
        <v>8600000</v>
      </c>
      <c r="B1399" s="94">
        <v>8590000</v>
      </c>
      <c r="C1399" s="94">
        <v>8640000</v>
      </c>
      <c r="D1399" s="94">
        <v>8635000</v>
      </c>
      <c r="E1399" s="95">
        <v>41615</v>
      </c>
      <c r="F1399" s="96" t="s">
        <v>2567</v>
      </c>
    </row>
    <row r="1400" spans="1:6">
      <c r="A1400" s="94">
        <v>8690000</v>
      </c>
      <c r="B1400" s="94">
        <v>8550000</v>
      </c>
      <c r="C1400" s="94">
        <v>8690000</v>
      </c>
      <c r="D1400" s="94">
        <v>8550000</v>
      </c>
      <c r="E1400" s="95">
        <v>41613</v>
      </c>
      <c r="F1400" s="96" t="s">
        <v>2568</v>
      </c>
    </row>
    <row r="1401" spans="1:6">
      <c r="A1401" s="94">
        <v>8560000</v>
      </c>
      <c r="B1401" s="94">
        <v>8535000</v>
      </c>
      <c r="C1401" s="94">
        <v>8650000</v>
      </c>
      <c r="D1401" s="94">
        <v>8640000</v>
      </c>
      <c r="E1401" s="95">
        <v>41612</v>
      </c>
      <c r="F1401" s="96" t="s">
        <v>2569</v>
      </c>
    </row>
    <row r="1402" spans="1:6">
      <c r="A1402" s="94">
        <v>8550000</v>
      </c>
      <c r="B1402" s="94">
        <v>8490000</v>
      </c>
      <c r="C1402" s="94">
        <v>8580000</v>
      </c>
      <c r="D1402" s="94">
        <v>8580000</v>
      </c>
      <c r="E1402" s="95">
        <v>41611</v>
      </c>
      <c r="F1402" s="96" t="s">
        <v>2570</v>
      </c>
    </row>
    <row r="1403" spans="1:6">
      <c r="A1403" s="94">
        <v>8770000</v>
      </c>
      <c r="B1403" s="94">
        <v>8660000</v>
      </c>
      <c r="C1403" s="94">
        <v>8770000</v>
      </c>
      <c r="D1403" s="94">
        <v>8670000</v>
      </c>
      <c r="E1403" s="95">
        <v>41610</v>
      </c>
      <c r="F1403" s="96" t="s">
        <v>2571</v>
      </c>
    </row>
    <row r="1404" spans="1:6">
      <c r="A1404" s="94">
        <v>8740000</v>
      </c>
      <c r="B1404" s="94">
        <v>8705000</v>
      </c>
      <c r="C1404" s="94">
        <v>8800000</v>
      </c>
      <c r="D1404" s="94">
        <v>8800000</v>
      </c>
      <c r="E1404" s="95">
        <v>41609</v>
      </c>
      <c r="F1404" s="96" t="s">
        <v>2572</v>
      </c>
    </row>
    <row r="1405" spans="1:6">
      <c r="A1405" s="94">
        <v>8650000</v>
      </c>
      <c r="B1405" s="94">
        <v>8650000</v>
      </c>
      <c r="C1405" s="94">
        <v>8710000</v>
      </c>
      <c r="D1405" s="94">
        <v>8710000</v>
      </c>
      <c r="E1405" s="95">
        <v>41608</v>
      </c>
      <c r="F1405" s="96" t="s">
        <v>2573</v>
      </c>
    </row>
    <row r="1406" spans="1:6">
      <c r="A1406" s="94">
        <v>8630000</v>
      </c>
      <c r="B1406" s="94">
        <v>8550000</v>
      </c>
      <c r="C1406" s="94">
        <v>8685000</v>
      </c>
      <c r="D1406" s="94">
        <v>8590000</v>
      </c>
      <c r="E1406" s="95">
        <v>41606</v>
      </c>
      <c r="F1406" s="96" t="s">
        <v>2574</v>
      </c>
    </row>
    <row r="1407" spans="1:6">
      <c r="A1407" s="94">
        <v>8590000</v>
      </c>
      <c r="B1407" s="94">
        <v>8590000</v>
      </c>
      <c r="C1407" s="94">
        <v>8770000</v>
      </c>
      <c r="D1407" s="94">
        <v>8680000</v>
      </c>
      <c r="E1407" s="95">
        <v>41605</v>
      </c>
      <c r="F1407" s="96" t="s">
        <v>2575</v>
      </c>
    </row>
    <row r="1408" spans="1:6">
      <c r="A1408" s="94">
        <v>8580000</v>
      </c>
      <c r="B1408" s="94">
        <v>8570000</v>
      </c>
      <c r="C1408" s="94">
        <v>8700000</v>
      </c>
      <c r="D1408" s="94">
        <v>8590000</v>
      </c>
      <c r="E1408" s="95">
        <v>41604</v>
      </c>
      <c r="F1408" s="96" t="s">
        <v>2576</v>
      </c>
    </row>
    <row r="1409" spans="1:6">
      <c r="A1409" s="94">
        <v>8200000</v>
      </c>
      <c r="B1409" s="94">
        <v>8200000</v>
      </c>
      <c r="C1409" s="94">
        <v>8460000</v>
      </c>
      <c r="D1409" s="94">
        <v>8430000</v>
      </c>
      <c r="E1409" s="95">
        <v>41603</v>
      </c>
      <c r="F1409" s="96" t="s">
        <v>2577</v>
      </c>
    </row>
    <row r="1410" spans="1:6">
      <c r="A1410" s="94">
        <v>8510000</v>
      </c>
      <c r="B1410" s="94">
        <v>8280000</v>
      </c>
      <c r="C1410" s="94">
        <v>8560000</v>
      </c>
      <c r="D1410" s="94">
        <v>8280000</v>
      </c>
      <c r="E1410" s="95">
        <v>41602</v>
      </c>
      <c r="F1410" s="96" t="s">
        <v>2578</v>
      </c>
    </row>
    <row r="1411" spans="1:6">
      <c r="A1411" s="94">
        <v>8890000</v>
      </c>
      <c r="B1411" s="94">
        <v>8790000</v>
      </c>
      <c r="C1411" s="94">
        <v>8920000</v>
      </c>
      <c r="D1411" s="94">
        <v>8850000</v>
      </c>
      <c r="E1411" s="95">
        <v>41601</v>
      </c>
      <c r="F1411" s="96" t="s">
        <v>2579</v>
      </c>
    </row>
    <row r="1412" spans="1:6">
      <c r="A1412" s="94">
        <v>9050000</v>
      </c>
      <c r="B1412" s="94">
        <v>8970000</v>
      </c>
      <c r="C1412" s="94">
        <v>9050000</v>
      </c>
      <c r="D1412" s="94">
        <v>8990000</v>
      </c>
      <c r="E1412" s="95">
        <v>41599</v>
      </c>
      <c r="F1412" s="96" t="s">
        <v>2580</v>
      </c>
    </row>
    <row r="1413" spans="1:6">
      <c r="A1413" s="94">
        <v>9190000</v>
      </c>
      <c r="B1413" s="94">
        <v>9080000</v>
      </c>
      <c r="C1413" s="94">
        <v>9200000</v>
      </c>
      <c r="D1413" s="94">
        <v>9110000</v>
      </c>
      <c r="E1413" s="95">
        <v>41598</v>
      </c>
      <c r="F1413" s="96" t="s">
        <v>2581</v>
      </c>
    </row>
    <row r="1414" spans="1:6">
      <c r="A1414" s="94">
        <v>9145000</v>
      </c>
      <c r="B1414" s="94">
        <v>9065000</v>
      </c>
      <c r="C1414" s="94">
        <v>9170000</v>
      </c>
      <c r="D1414" s="94">
        <v>9170000</v>
      </c>
      <c r="E1414" s="95">
        <v>41597</v>
      </c>
      <c r="F1414" s="96" t="s">
        <v>2582</v>
      </c>
    </row>
    <row r="1415" spans="1:6">
      <c r="A1415" s="94">
        <v>9240000</v>
      </c>
      <c r="B1415" s="94">
        <v>9135000</v>
      </c>
      <c r="C1415" s="94">
        <v>9240000</v>
      </c>
      <c r="D1415" s="94">
        <v>9160000</v>
      </c>
      <c r="E1415" s="95">
        <v>41596</v>
      </c>
      <c r="F1415" s="96" t="s">
        <v>2583</v>
      </c>
    </row>
    <row r="1416" spans="1:6">
      <c r="A1416" s="94">
        <v>9270000</v>
      </c>
      <c r="B1416" s="94">
        <v>9240000</v>
      </c>
      <c r="C1416" s="94">
        <v>9280000</v>
      </c>
      <c r="D1416" s="94">
        <v>9240000</v>
      </c>
      <c r="E1416" s="95">
        <v>41595</v>
      </c>
      <c r="F1416" s="96" t="s">
        <v>2584</v>
      </c>
    </row>
    <row r="1417" spans="1:6">
      <c r="A1417" s="94">
        <v>9270000</v>
      </c>
      <c r="B1417" s="94">
        <v>9270000</v>
      </c>
      <c r="C1417" s="94">
        <v>9310000</v>
      </c>
      <c r="D1417" s="94">
        <v>9280000</v>
      </c>
      <c r="E1417" s="95">
        <v>41594</v>
      </c>
      <c r="F1417" s="96" t="s">
        <v>2585</v>
      </c>
    </row>
    <row r="1418" spans="1:6">
      <c r="A1418" s="94">
        <v>9290000</v>
      </c>
      <c r="B1418" s="94">
        <v>9290000</v>
      </c>
      <c r="C1418" s="94">
        <v>9290000</v>
      </c>
      <c r="D1418" s="94">
        <v>9290000</v>
      </c>
      <c r="E1418" s="95">
        <v>41592</v>
      </c>
      <c r="F1418" s="96" t="s">
        <v>2586</v>
      </c>
    </row>
    <row r="1419" spans="1:6">
      <c r="A1419" s="94">
        <v>9240000</v>
      </c>
      <c r="B1419" s="94">
        <v>9240000</v>
      </c>
      <c r="C1419" s="94">
        <v>9270000</v>
      </c>
      <c r="D1419" s="94">
        <v>9240000</v>
      </c>
      <c r="E1419" s="95">
        <v>41590</v>
      </c>
      <c r="F1419" s="96" t="s">
        <v>2587</v>
      </c>
    </row>
    <row r="1420" spans="1:6">
      <c r="A1420" s="94">
        <v>9290000</v>
      </c>
      <c r="B1420" s="94">
        <v>9260000</v>
      </c>
      <c r="C1420" s="94">
        <v>9300000</v>
      </c>
      <c r="D1420" s="94">
        <v>9260000</v>
      </c>
      <c r="E1420" s="95">
        <v>41589</v>
      </c>
      <c r="F1420" s="96" t="s">
        <v>2588</v>
      </c>
    </row>
    <row r="1421" spans="1:6">
      <c r="A1421" s="94">
        <v>9260000</v>
      </c>
      <c r="B1421" s="94">
        <v>9240000</v>
      </c>
      <c r="C1421" s="94">
        <v>9320000</v>
      </c>
      <c r="D1421" s="94">
        <v>9310000</v>
      </c>
      <c r="E1421" s="95">
        <v>41588</v>
      </c>
      <c r="F1421" s="96" t="s">
        <v>2589</v>
      </c>
    </row>
    <row r="1422" spans="1:6">
      <c r="A1422" s="94">
        <v>9240000</v>
      </c>
      <c r="B1422" s="94">
        <v>9170000</v>
      </c>
      <c r="C1422" s="94">
        <v>9280000</v>
      </c>
      <c r="D1422" s="94">
        <v>9195000</v>
      </c>
      <c r="E1422" s="95">
        <v>41587</v>
      </c>
      <c r="F1422" s="96" t="s">
        <v>2590</v>
      </c>
    </row>
    <row r="1423" spans="1:6">
      <c r="A1423" s="94">
        <v>9480000</v>
      </c>
      <c r="B1423" s="94">
        <v>9440000</v>
      </c>
      <c r="C1423" s="94">
        <v>9480000</v>
      </c>
      <c r="D1423" s="94">
        <v>9440000</v>
      </c>
      <c r="E1423" s="95">
        <v>41585</v>
      </c>
      <c r="F1423" s="96" t="s">
        <v>2591</v>
      </c>
    </row>
    <row r="1424" spans="1:6">
      <c r="A1424" s="94">
        <v>9460000</v>
      </c>
      <c r="B1424" s="94">
        <v>9450000</v>
      </c>
      <c r="C1424" s="94">
        <v>9490000</v>
      </c>
      <c r="D1424" s="94">
        <v>9490000</v>
      </c>
      <c r="E1424" s="95">
        <v>41584</v>
      </c>
      <c r="F1424" s="96" t="s">
        <v>2592</v>
      </c>
    </row>
    <row r="1425" spans="1:6">
      <c r="A1425" s="94">
        <v>9510000</v>
      </c>
      <c r="B1425" s="94">
        <v>9455000</v>
      </c>
      <c r="C1425" s="94">
        <v>9510000</v>
      </c>
      <c r="D1425" s="94">
        <v>9460000</v>
      </c>
      <c r="E1425" s="95">
        <v>41583</v>
      </c>
      <c r="F1425" s="96" t="s">
        <v>2593</v>
      </c>
    </row>
    <row r="1426" spans="1:6">
      <c r="A1426" s="94">
        <v>9570000</v>
      </c>
      <c r="B1426" s="94">
        <v>9490000</v>
      </c>
      <c r="C1426" s="94">
        <v>9570000</v>
      </c>
      <c r="D1426" s="94">
        <v>9510000</v>
      </c>
      <c r="E1426" s="95">
        <v>41582</v>
      </c>
      <c r="F1426" s="96" t="s">
        <v>2594</v>
      </c>
    </row>
    <row r="1427" spans="1:6">
      <c r="A1427" s="94">
        <v>9490000</v>
      </c>
      <c r="B1427" s="94">
        <v>9490000</v>
      </c>
      <c r="C1427" s="94">
        <v>9570000</v>
      </c>
      <c r="D1427" s="94">
        <v>9550000</v>
      </c>
      <c r="E1427" s="95">
        <v>41581</v>
      </c>
      <c r="F1427" s="96" t="s">
        <v>2595</v>
      </c>
    </row>
    <row r="1428" spans="1:6">
      <c r="A1428" s="94">
        <v>9510000</v>
      </c>
      <c r="B1428" s="94">
        <v>9480000</v>
      </c>
      <c r="C1428" s="94">
        <v>9520000</v>
      </c>
      <c r="D1428" s="94">
        <v>9480000</v>
      </c>
      <c r="E1428" s="95">
        <v>41580</v>
      </c>
      <c r="F1428" s="96" t="s">
        <v>2596</v>
      </c>
    </row>
    <row r="1429" spans="1:6">
      <c r="A1429" s="94">
        <v>9610000</v>
      </c>
      <c r="B1429" s="94">
        <v>9570000</v>
      </c>
      <c r="C1429" s="94">
        <v>9620000</v>
      </c>
      <c r="D1429" s="94">
        <v>9570000</v>
      </c>
      <c r="E1429" s="95">
        <v>41578</v>
      </c>
      <c r="F1429" s="96" t="s">
        <v>2597</v>
      </c>
    </row>
    <row r="1430" spans="1:6">
      <c r="A1430" s="94">
        <v>9650000</v>
      </c>
      <c r="B1430" s="94">
        <v>9640000</v>
      </c>
      <c r="C1430" s="94">
        <v>9700000</v>
      </c>
      <c r="D1430" s="94">
        <v>9700000</v>
      </c>
      <c r="E1430" s="95">
        <v>41577</v>
      </c>
      <c r="F1430" s="96" t="s">
        <v>2598</v>
      </c>
    </row>
    <row r="1431" spans="1:6">
      <c r="A1431" s="94">
        <v>9680000</v>
      </c>
      <c r="B1431" s="94">
        <v>9630000</v>
      </c>
      <c r="C1431" s="94">
        <v>9680000</v>
      </c>
      <c r="D1431" s="94">
        <v>9660000</v>
      </c>
      <c r="E1431" s="95">
        <v>41576</v>
      </c>
      <c r="F1431" s="96" t="s">
        <v>2599</v>
      </c>
    </row>
    <row r="1432" spans="1:6">
      <c r="A1432" s="94">
        <v>9630000</v>
      </c>
      <c r="B1432" s="94">
        <v>9605000</v>
      </c>
      <c r="C1432" s="94">
        <v>9710000</v>
      </c>
      <c r="D1432" s="94">
        <v>9710000</v>
      </c>
      <c r="E1432" s="95">
        <v>41575</v>
      </c>
      <c r="F1432" s="96" t="s">
        <v>2600</v>
      </c>
    </row>
    <row r="1433" spans="1:6">
      <c r="A1433" s="94">
        <v>9680000</v>
      </c>
      <c r="B1433" s="94">
        <v>9630000</v>
      </c>
      <c r="C1433" s="94">
        <v>9680000</v>
      </c>
      <c r="D1433" s="94">
        <v>9650000</v>
      </c>
      <c r="E1433" s="95">
        <v>41574</v>
      </c>
      <c r="F1433" s="96" t="s">
        <v>2601</v>
      </c>
    </row>
    <row r="1434" spans="1:6">
      <c r="A1434" s="94">
        <v>9650000</v>
      </c>
      <c r="B1434" s="94">
        <v>9650000</v>
      </c>
      <c r="C1434" s="94">
        <v>9710000</v>
      </c>
      <c r="D1434" s="94">
        <v>9700000</v>
      </c>
      <c r="E1434" s="95">
        <v>41573</v>
      </c>
      <c r="F1434" s="96" t="s">
        <v>2602</v>
      </c>
    </row>
    <row r="1435" spans="1:6">
      <c r="A1435" s="94">
        <v>9590000</v>
      </c>
      <c r="B1435" s="94">
        <v>9570000</v>
      </c>
      <c r="C1435" s="94">
        <v>9610000</v>
      </c>
      <c r="D1435" s="94">
        <v>9610000</v>
      </c>
      <c r="E1435" s="95">
        <v>41571</v>
      </c>
      <c r="F1435" s="96" t="s">
        <v>2603</v>
      </c>
    </row>
    <row r="1436" spans="1:6">
      <c r="A1436" s="94">
        <v>9570000</v>
      </c>
      <c r="B1436" s="94">
        <v>9520000</v>
      </c>
      <c r="C1436" s="94">
        <v>9580000</v>
      </c>
      <c r="D1436" s="94">
        <v>9560000</v>
      </c>
      <c r="E1436" s="95">
        <v>41570</v>
      </c>
      <c r="F1436" s="96" t="s">
        <v>2604</v>
      </c>
    </row>
    <row r="1437" spans="1:6">
      <c r="A1437" s="94">
        <v>9510000</v>
      </c>
      <c r="B1437" s="94">
        <v>9490000</v>
      </c>
      <c r="C1437" s="94">
        <v>9590000</v>
      </c>
      <c r="D1437" s="94">
        <v>9590000</v>
      </c>
      <c r="E1437" s="95">
        <v>41569</v>
      </c>
      <c r="F1437" s="96" t="s">
        <v>2605</v>
      </c>
    </row>
    <row r="1438" spans="1:6">
      <c r="A1438" s="94">
        <v>9580000</v>
      </c>
      <c r="B1438" s="94">
        <v>9475000</v>
      </c>
      <c r="C1438" s="94">
        <v>9580000</v>
      </c>
      <c r="D1438" s="94">
        <v>9535000</v>
      </c>
      <c r="E1438" s="95">
        <v>41568</v>
      </c>
      <c r="F1438" s="96" t="s">
        <v>2606</v>
      </c>
    </row>
    <row r="1439" spans="1:6">
      <c r="A1439" s="94">
        <v>9560000</v>
      </c>
      <c r="B1439" s="94">
        <v>9540000</v>
      </c>
      <c r="C1439" s="94">
        <v>9560000</v>
      </c>
      <c r="D1439" s="94">
        <v>9560000</v>
      </c>
      <c r="E1439" s="95">
        <v>41567</v>
      </c>
      <c r="F1439" s="96" t="s">
        <v>2607</v>
      </c>
    </row>
    <row r="1440" spans="1:6">
      <c r="A1440" s="94">
        <v>9570000</v>
      </c>
      <c r="B1440" s="94">
        <v>9550000</v>
      </c>
      <c r="C1440" s="94">
        <v>9580000</v>
      </c>
      <c r="D1440" s="94">
        <v>9555000</v>
      </c>
      <c r="E1440" s="95">
        <v>41566</v>
      </c>
      <c r="F1440" s="96" t="s">
        <v>2608</v>
      </c>
    </row>
    <row r="1441" spans="1:6">
      <c r="A1441" s="94">
        <v>9390000</v>
      </c>
      <c r="B1441" s="94">
        <v>9390000</v>
      </c>
      <c r="C1441" s="94">
        <v>9550000</v>
      </c>
      <c r="D1441" s="94">
        <v>9530000</v>
      </c>
      <c r="E1441" s="95">
        <v>41564</v>
      </c>
      <c r="F1441" s="96" t="s">
        <v>2609</v>
      </c>
    </row>
    <row r="1442" spans="1:6">
      <c r="A1442" s="94">
        <v>9390000</v>
      </c>
      <c r="B1442" s="94">
        <v>9310000</v>
      </c>
      <c r="C1442" s="94">
        <v>9400000</v>
      </c>
      <c r="D1442" s="94">
        <v>9370000</v>
      </c>
      <c r="E1442" s="95">
        <v>41562</v>
      </c>
      <c r="F1442" s="96" t="s">
        <v>2610</v>
      </c>
    </row>
    <row r="1443" spans="1:6">
      <c r="A1443" s="94">
        <v>9300000</v>
      </c>
      <c r="B1443" s="94">
        <v>9255000</v>
      </c>
      <c r="C1443" s="94">
        <v>9400000</v>
      </c>
      <c r="D1443" s="94">
        <v>9395000</v>
      </c>
      <c r="E1443" s="95">
        <v>41561</v>
      </c>
      <c r="F1443" s="96" t="s">
        <v>2611</v>
      </c>
    </row>
    <row r="1444" spans="1:6">
      <c r="A1444" s="94">
        <v>9410000</v>
      </c>
      <c r="B1444" s="94">
        <v>9300000</v>
      </c>
      <c r="C1444" s="94">
        <v>9410000</v>
      </c>
      <c r="D1444" s="94">
        <v>9320000</v>
      </c>
      <c r="E1444" s="95">
        <v>41559</v>
      </c>
      <c r="F1444" s="96" t="s">
        <v>2612</v>
      </c>
    </row>
    <row r="1445" spans="1:6">
      <c r="A1445" s="94">
        <v>9625000</v>
      </c>
      <c r="B1445" s="94">
        <v>9560000</v>
      </c>
      <c r="C1445" s="94">
        <v>9625000</v>
      </c>
      <c r="D1445" s="94">
        <v>9560000</v>
      </c>
      <c r="E1445" s="95">
        <v>41557</v>
      </c>
      <c r="F1445" s="96" t="s">
        <v>2613</v>
      </c>
    </row>
    <row r="1446" spans="1:6">
      <c r="A1446" s="94">
        <v>9620000</v>
      </c>
      <c r="B1446" s="94">
        <v>9590000</v>
      </c>
      <c r="C1446" s="94">
        <v>9660000</v>
      </c>
      <c r="D1446" s="94">
        <v>9590000</v>
      </c>
      <c r="E1446" s="95">
        <v>41556</v>
      </c>
      <c r="F1446" s="96" t="s">
        <v>2614</v>
      </c>
    </row>
    <row r="1447" spans="1:6">
      <c r="A1447" s="94">
        <v>9760000</v>
      </c>
      <c r="B1447" s="94">
        <v>9700000</v>
      </c>
      <c r="C1447" s="94">
        <v>9770000</v>
      </c>
      <c r="D1447" s="94">
        <v>9760000</v>
      </c>
      <c r="E1447" s="95">
        <v>41555</v>
      </c>
      <c r="F1447" s="96" t="s">
        <v>2615</v>
      </c>
    </row>
    <row r="1448" spans="1:6">
      <c r="A1448" s="94">
        <v>9740000</v>
      </c>
      <c r="B1448" s="94">
        <v>9670000</v>
      </c>
      <c r="C1448" s="94">
        <v>9740000</v>
      </c>
      <c r="D1448" s="94">
        <v>9740000</v>
      </c>
      <c r="E1448" s="95">
        <v>41554</v>
      </c>
      <c r="F1448" s="96" t="s">
        <v>2616</v>
      </c>
    </row>
    <row r="1449" spans="1:6">
      <c r="A1449" s="94">
        <v>9790000</v>
      </c>
      <c r="B1449" s="94">
        <v>9740000</v>
      </c>
      <c r="C1449" s="94">
        <v>9800000</v>
      </c>
      <c r="D1449" s="94">
        <v>9760000</v>
      </c>
      <c r="E1449" s="95">
        <v>41553</v>
      </c>
      <c r="F1449" s="96" t="s">
        <v>2617</v>
      </c>
    </row>
    <row r="1450" spans="1:6">
      <c r="A1450" s="94">
        <v>9690000</v>
      </c>
      <c r="B1450" s="94">
        <v>9660000</v>
      </c>
      <c r="C1450" s="94">
        <v>9770000</v>
      </c>
      <c r="D1450" s="94">
        <v>9770000</v>
      </c>
      <c r="E1450" s="95">
        <v>41552</v>
      </c>
      <c r="F1450" s="96" t="s">
        <v>2618</v>
      </c>
    </row>
    <row r="1451" spans="1:6">
      <c r="A1451" s="94">
        <v>9710000</v>
      </c>
      <c r="B1451" s="94">
        <v>9650000</v>
      </c>
      <c r="C1451" s="94">
        <v>9710000</v>
      </c>
      <c r="D1451" s="94">
        <v>9650000</v>
      </c>
      <c r="E1451" s="95">
        <v>41550</v>
      </c>
      <c r="F1451" s="96" t="s">
        <v>2619</v>
      </c>
    </row>
    <row r="1452" spans="1:6">
      <c r="A1452" s="94">
        <v>9663000</v>
      </c>
      <c r="B1452" s="94">
        <v>9613000</v>
      </c>
      <c r="C1452" s="94">
        <v>9750000</v>
      </c>
      <c r="D1452" s="94">
        <v>9750000</v>
      </c>
      <c r="E1452" s="95">
        <v>41549</v>
      </c>
      <c r="F1452" s="96" t="s">
        <v>2620</v>
      </c>
    </row>
    <row r="1453" spans="1:6">
      <c r="A1453" s="94">
        <v>9840000</v>
      </c>
      <c r="B1453" s="94">
        <v>9700000</v>
      </c>
      <c r="C1453" s="94">
        <v>9840000</v>
      </c>
      <c r="D1453" s="94">
        <v>9700000</v>
      </c>
      <c r="E1453" s="95">
        <v>41548</v>
      </c>
      <c r="F1453" s="96" t="s">
        <v>2621</v>
      </c>
    </row>
    <row r="1454" spans="1:6">
      <c r="A1454" s="94">
        <v>9880000</v>
      </c>
      <c r="B1454" s="94">
        <v>9650000</v>
      </c>
      <c r="C1454" s="94">
        <v>9880000</v>
      </c>
      <c r="D1454" s="94">
        <v>9660000</v>
      </c>
      <c r="E1454" s="95">
        <v>41547</v>
      </c>
      <c r="F1454" s="96" t="s">
        <v>2622</v>
      </c>
    </row>
    <row r="1455" spans="1:6">
      <c r="A1455" s="94">
        <v>9900000</v>
      </c>
      <c r="B1455" s="94">
        <v>9860000</v>
      </c>
      <c r="C1455" s="94">
        <v>9980000</v>
      </c>
      <c r="D1455" s="94">
        <v>9900000</v>
      </c>
      <c r="E1455" s="95">
        <v>41546</v>
      </c>
      <c r="F1455" s="96" t="s">
        <v>2623</v>
      </c>
    </row>
    <row r="1456" spans="1:6">
      <c r="A1456" s="94">
        <v>9480000</v>
      </c>
      <c r="B1456" s="94">
        <v>9440000</v>
      </c>
      <c r="C1456" s="94">
        <v>9700000</v>
      </c>
      <c r="D1456" s="94">
        <v>9680000</v>
      </c>
      <c r="E1456" s="95">
        <v>41545</v>
      </c>
      <c r="F1456" s="96" t="s">
        <v>2624</v>
      </c>
    </row>
    <row r="1457" spans="1:6">
      <c r="A1457" s="94">
        <v>9790000</v>
      </c>
      <c r="B1457" s="94">
        <v>9710000</v>
      </c>
      <c r="C1457" s="94">
        <v>9790000</v>
      </c>
      <c r="D1457" s="94">
        <v>9710000</v>
      </c>
      <c r="E1457" s="95">
        <v>41543</v>
      </c>
      <c r="F1457" s="96" t="s">
        <v>2625</v>
      </c>
    </row>
    <row r="1458" spans="1:6">
      <c r="A1458" s="94">
        <v>9670000</v>
      </c>
      <c r="B1458" s="94">
        <v>9650000</v>
      </c>
      <c r="C1458" s="94">
        <v>9830000</v>
      </c>
      <c r="D1458" s="94">
        <v>9800000</v>
      </c>
      <c r="E1458" s="95">
        <v>41542</v>
      </c>
      <c r="F1458" s="96" t="s">
        <v>2626</v>
      </c>
    </row>
    <row r="1459" spans="1:6">
      <c r="A1459" s="94">
        <v>9180000</v>
      </c>
      <c r="B1459" s="94">
        <v>9180000</v>
      </c>
      <c r="C1459" s="94">
        <v>9270000</v>
      </c>
      <c r="D1459" s="94">
        <v>9260000</v>
      </c>
      <c r="E1459" s="95">
        <v>41541</v>
      </c>
      <c r="F1459" s="96" t="s">
        <v>2627</v>
      </c>
    </row>
    <row r="1460" spans="1:6">
      <c r="A1460" s="94">
        <v>9220000</v>
      </c>
      <c r="B1460" s="94">
        <v>9170000</v>
      </c>
      <c r="C1460" s="94">
        <v>9330000</v>
      </c>
      <c r="D1460" s="94">
        <v>9310000</v>
      </c>
      <c r="E1460" s="95">
        <v>41539</v>
      </c>
      <c r="F1460" s="96" t="s">
        <v>2628</v>
      </c>
    </row>
    <row r="1461" spans="1:6">
      <c r="A1461" s="94">
        <v>9270000</v>
      </c>
      <c r="B1461" s="94">
        <v>9270000</v>
      </c>
      <c r="C1461" s="94">
        <v>9385000</v>
      </c>
      <c r="D1461" s="94">
        <v>9310000</v>
      </c>
      <c r="E1461" s="95">
        <v>41540</v>
      </c>
      <c r="F1461" s="96" t="s">
        <v>2629</v>
      </c>
    </row>
    <row r="1462" spans="1:6">
      <c r="A1462" s="94">
        <v>9500000</v>
      </c>
      <c r="B1462" s="94">
        <v>9080000</v>
      </c>
      <c r="C1462" s="94">
        <v>9520000</v>
      </c>
      <c r="D1462" s="94">
        <v>9080000</v>
      </c>
      <c r="E1462" s="95">
        <v>41538</v>
      </c>
      <c r="F1462" s="96" t="s">
        <v>2630</v>
      </c>
    </row>
    <row r="1463" spans="1:6">
      <c r="A1463" s="94">
        <v>10010000</v>
      </c>
      <c r="B1463" s="94">
        <v>9970000</v>
      </c>
      <c r="C1463" s="94">
        <v>10080000</v>
      </c>
      <c r="D1463" s="94">
        <v>10000000</v>
      </c>
      <c r="E1463" s="95">
        <v>41536</v>
      </c>
      <c r="F1463" s="96" t="s">
        <v>2631</v>
      </c>
    </row>
    <row r="1464" spans="1:6">
      <c r="A1464" s="94">
        <v>9690000</v>
      </c>
      <c r="B1464" s="94">
        <v>9610000</v>
      </c>
      <c r="C1464" s="94">
        <v>9740000</v>
      </c>
      <c r="D1464" s="94">
        <v>9660000</v>
      </c>
      <c r="E1464" s="95">
        <v>41535</v>
      </c>
      <c r="F1464" s="96" t="s">
        <v>2632</v>
      </c>
    </row>
    <row r="1465" spans="1:6">
      <c r="A1465" s="94">
        <v>9500000</v>
      </c>
      <c r="B1465" s="94">
        <v>9500000</v>
      </c>
      <c r="C1465" s="94">
        <v>9830000</v>
      </c>
      <c r="D1465" s="94">
        <v>9600000</v>
      </c>
      <c r="E1465" s="95">
        <v>41534</v>
      </c>
      <c r="F1465" s="96" t="s">
        <v>2633</v>
      </c>
    </row>
    <row r="1466" spans="1:6">
      <c r="A1466" s="94">
        <v>9880000</v>
      </c>
      <c r="B1466" s="94">
        <v>9630000</v>
      </c>
      <c r="C1466" s="94">
        <v>9880000</v>
      </c>
      <c r="D1466" s="94">
        <v>9640000</v>
      </c>
      <c r="E1466" s="95">
        <v>41533</v>
      </c>
      <c r="F1466" s="96" t="s">
        <v>2634</v>
      </c>
    </row>
    <row r="1467" spans="1:6">
      <c r="A1467" s="94">
        <v>10130000</v>
      </c>
      <c r="B1467" s="94">
        <v>10075000</v>
      </c>
      <c r="C1467" s="94">
        <v>10180000</v>
      </c>
      <c r="D1467" s="94">
        <v>10110000</v>
      </c>
      <c r="E1467" s="95">
        <v>41532</v>
      </c>
      <c r="F1467" s="96" t="s">
        <v>2635</v>
      </c>
    </row>
    <row r="1468" spans="1:6">
      <c r="A1468" s="94">
        <v>10170000</v>
      </c>
      <c r="B1468" s="94">
        <v>10060000</v>
      </c>
      <c r="C1468" s="94">
        <v>10255000</v>
      </c>
      <c r="D1468" s="94">
        <v>10090000</v>
      </c>
      <c r="E1468" s="95">
        <v>41531</v>
      </c>
      <c r="F1468" s="96" t="s">
        <v>2636</v>
      </c>
    </row>
    <row r="1469" spans="1:6">
      <c r="A1469" s="94">
        <v>10400000</v>
      </c>
      <c r="B1469" s="94">
        <v>10300000</v>
      </c>
      <c r="C1469" s="94">
        <v>10400000</v>
      </c>
      <c r="D1469" s="94">
        <v>10350000</v>
      </c>
      <c r="E1469" s="95">
        <v>41529</v>
      </c>
      <c r="F1469" s="96" t="s">
        <v>2637</v>
      </c>
    </row>
    <row r="1470" spans="1:6">
      <c r="A1470" s="94">
        <v>10650000</v>
      </c>
      <c r="B1470" s="94">
        <v>10480000</v>
      </c>
      <c r="C1470" s="94">
        <v>10690000</v>
      </c>
      <c r="D1470" s="94">
        <v>10490000</v>
      </c>
      <c r="E1470" s="95">
        <v>41528</v>
      </c>
      <c r="F1470" s="96" t="s">
        <v>2638</v>
      </c>
    </row>
    <row r="1471" spans="1:6">
      <c r="A1471" s="94">
        <v>10910000</v>
      </c>
      <c r="B1471" s="94">
        <v>10620000</v>
      </c>
      <c r="C1471" s="94">
        <v>10910000</v>
      </c>
      <c r="D1471" s="94">
        <v>10630000</v>
      </c>
      <c r="E1471" s="95">
        <v>41527</v>
      </c>
      <c r="F1471" s="96" t="s">
        <v>2639</v>
      </c>
    </row>
    <row r="1472" spans="1:6">
      <c r="A1472" s="94">
        <v>11230000</v>
      </c>
      <c r="B1472" s="94">
        <v>11050000</v>
      </c>
      <c r="C1472" s="94">
        <v>11260000</v>
      </c>
      <c r="D1472" s="94">
        <v>11080000</v>
      </c>
      <c r="E1472" s="95">
        <v>41526</v>
      </c>
      <c r="F1472" s="96" t="s">
        <v>2640</v>
      </c>
    </row>
    <row r="1473" spans="1:6">
      <c r="A1473" s="94">
        <v>11120000</v>
      </c>
      <c r="B1473" s="94">
        <v>11120000</v>
      </c>
      <c r="C1473" s="94">
        <v>11240000</v>
      </c>
      <c r="D1473" s="94">
        <v>11200000</v>
      </c>
      <c r="E1473" s="95">
        <v>41525</v>
      </c>
      <c r="F1473" s="96" t="s">
        <v>2641</v>
      </c>
    </row>
    <row r="1474" spans="1:6">
      <c r="A1474" s="94">
        <v>11250000</v>
      </c>
      <c r="B1474" s="94">
        <v>11050000</v>
      </c>
      <c r="C1474" s="94">
        <v>11250000</v>
      </c>
      <c r="D1474" s="94">
        <v>11125000</v>
      </c>
      <c r="E1474" s="95">
        <v>41524</v>
      </c>
      <c r="F1474" s="96" t="s">
        <v>2642</v>
      </c>
    </row>
    <row r="1475" spans="1:6">
      <c r="A1475" s="94">
        <v>11350000</v>
      </c>
      <c r="B1475" s="94">
        <v>11320000</v>
      </c>
      <c r="C1475" s="94">
        <v>11470000</v>
      </c>
      <c r="D1475" s="94">
        <v>11470000</v>
      </c>
      <c r="E1475" s="95">
        <v>41522</v>
      </c>
      <c r="F1475" s="96" t="s">
        <v>2643</v>
      </c>
    </row>
    <row r="1476" spans="1:6">
      <c r="A1476" s="94">
        <v>11210000</v>
      </c>
      <c r="B1476" s="94">
        <v>11210000</v>
      </c>
      <c r="C1476" s="94">
        <v>11455000</v>
      </c>
      <c r="D1476" s="94">
        <v>11280000</v>
      </c>
      <c r="E1476" s="95">
        <v>41521</v>
      </c>
      <c r="F1476" s="96" t="s">
        <v>2644</v>
      </c>
    </row>
    <row r="1477" spans="1:6">
      <c r="A1477" s="94">
        <v>10865000</v>
      </c>
      <c r="B1477" s="94">
        <v>10865000</v>
      </c>
      <c r="C1477" s="94">
        <v>11035000</v>
      </c>
      <c r="D1477" s="94">
        <v>11035000</v>
      </c>
      <c r="E1477" s="95">
        <v>41520</v>
      </c>
      <c r="F1477" s="96" t="s">
        <v>2645</v>
      </c>
    </row>
    <row r="1478" spans="1:6">
      <c r="A1478" s="94">
        <v>10820000</v>
      </c>
      <c r="B1478" s="94">
        <v>10820000</v>
      </c>
      <c r="C1478" s="94">
        <v>10920000</v>
      </c>
      <c r="D1478" s="94">
        <v>10880000</v>
      </c>
      <c r="E1478" s="95">
        <v>41518</v>
      </c>
      <c r="F1478" s="96" t="s">
        <v>2646</v>
      </c>
    </row>
    <row r="1479" spans="1:6">
      <c r="A1479" s="94">
        <v>10730000</v>
      </c>
      <c r="B1479" s="94">
        <v>10730000</v>
      </c>
      <c r="C1479" s="94">
        <v>11010000</v>
      </c>
      <c r="D1479" s="94">
        <v>10950000</v>
      </c>
      <c r="E1479" s="95">
        <v>41517</v>
      </c>
      <c r="F1479" s="96" t="s">
        <v>2647</v>
      </c>
    </row>
    <row r="1480" spans="1:6">
      <c r="A1480" s="94">
        <v>10840000</v>
      </c>
      <c r="B1480" s="94">
        <v>10740000</v>
      </c>
      <c r="C1480" s="94">
        <v>10910000</v>
      </c>
      <c r="D1480" s="94">
        <v>10870000</v>
      </c>
      <c r="E1480" s="95">
        <v>41515</v>
      </c>
      <c r="F1480" s="96" t="s">
        <v>2648</v>
      </c>
    </row>
    <row r="1481" spans="1:6">
      <c r="A1481" s="94">
        <v>10950000</v>
      </c>
      <c r="B1481" s="94">
        <v>10950000</v>
      </c>
      <c r="C1481" s="94">
        <v>11180000</v>
      </c>
      <c r="D1481" s="94">
        <v>10950000</v>
      </c>
      <c r="E1481" s="95">
        <v>41514</v>
      </c>
      <c r="F1481" s="96" t="s">
        <v>2649</v>
      </c>
    </row>
    <row r="1482" spans="1:6">
      <c r="A1482" s="94">
        <v>10400000</v>
      </c>
      <c r="B1482" s="94">
        <v>10400000</v>
      </c>
      <c r="C1482" s="94">
        <v>10750000</v>
      </c>
      <c r="D1482" s="94">
        <v>10750000</v>
      </c>
      <c r="E1482" s="95">
        <v>41513</v>
      </c>
      <c r="F1482" s="96" t="s">
        <v>2650</v>
      </c>
    </row>
    <row r="1483" spans="1:6">
      <c r="A1483" s="94">
        <v>10410000</v>
      </c>
      <c r="B1483" s="94">
        <v>10365000</v>
      </c>
      <c r="C1483" s="94">
        <v>10430000</v>
      </c>
      <c r="D1483" s="94">
        <v>10390000</v>
      </c>
      <c r="E1483" s="95">
        <v>41512</v>
      </c>
      <c r="F1483" s="96" t="s">
        <v>2651</v>
      </c>
    </row>
    <row r="1484" spans="1:6">
      <c r="A1484" s="94">
        <v>10360000</v>
      </c>
      <c r="B1484" s="94">
        <v>10325000</v>
      </c>
      <c r="C1484" s="94">
        <v>10475000</v>
      </c>
      <c r="D1484" s="94">
        <v>10420000</v>
      </c>
      <c r="E1484" s="95">
        <v>41511</v>
      </c>
      <c r="F1484" s="96" t="s">
        <v>2652</v>
      </c>
    </row>
    <row r="1485" spans="1:6">
      <c r="A1485" s="94">
        <v>10420000</v>
      </c>
      <c r="B1485" s="94">
        <v>10350000</v>
      </c>
      <c r="C1485" s="94">
        <v>10440000</v>
      </c>
      <c r="D1485" s="94">
        <v>10380000</v>
      </c>
      <c r="E1485" s="95">
        <v>41510</v>
      </c>
      <c r="F1485" s="96" t="s">
        <v>2653</v>
      </c>
    </row>
    <row r="1486" spans="1:6">
      <c r="A1486" s="94">
        <v>10270000</v>
      </c>
      <c r="B1486" s="94">
        <v>10260000</v>
      </c>
      <c r="C1486" s="94">
        <v>10360000</v>
      </c>
      <c r="D1486" s="94">
        <v>10330000</v>
      </c>
      <c r="E1486" s="95">
        <v>41508</v>
      </c>
      <c r="F1486" s="96" t="s">
        <v>2654</v>
      </c>
    </row>
    <row r="1487" spans="1:6">
      <c r="A1487" s="94">
        <v>10200000</v>
      </c>
      <c r="B1487" s="94">
        <v>10100000</v>
      </c>
      <c r="C1487" s="94">
        <v>10220000</v>
      </c>
      <c r="D1487" s="94">
        <v>10200000</v>
      </c>
      <c r="E1487" s="95">
        <v>41507</v>
      </c>
      <c r="F1487" s="96" t="s">
        <v>2655</v>
      </c>
    </row>
    <row r="1488" spans="1:6">
      <c r="A1488" s="94">
        <v>10410000</v>
      </c>
      <c r="B1488" s="94">
        <v>10180000</v>
      </c>
      <c r="C1488" s="94">
        <v>10410000</v>
      </c>
      <c r="D1488" s="94">
        <v>10230000</v>
      </c>
      <c r="E1488" s="95">
        <v>41506</v>
      </c>
      <c r="F1488" s="96" t="s">
        <v>2656</v>
      </c>
    </row>
    <row r="1489" spans="1:6">
      <c r="A1489" s="94">
        <v>10650000</v>
      </c>
      <c r="B1489" s="94">
        <v>10470000</v>
      </c>
      <c r="C1489" s="94">
        <v>10650000</v>
      </c>
      <c r="D1489" s="94">
        <v>10470000</v>
      </c>
      <c r="E1489" s="95">
        <v>41505</v>
      </c>
      <c r="F1489" s="96" t="s">
        <v>2657</v>
      </c>
    </row>
    <row r="1490" spans="1:6">
      <c r="A1490" s="94">
        <v>10530000</v>
      </c>
      <c r="B1490" s="94">
        <v>10530000</v>
      </c>
      <c r="C1490" s="94">
        <v>10700000</v>
      </c>
      <c r="D1490" s="94">
        <v>10670000</v>
      </c>
      <c r="E1490" s="95">
        <v>41504</v>
      </c>
      <c r="F1490" s="96" t="s">
        <v>2658</v>
      </c>
    </row>
    <row r="1491" spans="1:6">
      <c r="A1491" s="94">
        <v>10775000</v>
      </c>
      <c r="B1491" s="94">
        <v>10610000</v>
      </c>
      <c r="C1491" s="94">
        <v>10775000</v>
      </c>
      <c r="D1491" s="94">
        <v>10620000</v>
      </c>
      <c r="E1491" s="95">
        <v>41503</v>
      </c>
      <c r="F1491" s="96" t="s">
        <v>2659</v>
      </c>
    </row>
    <row r="1492" spans="1:6">
      <c r="A1492" s="94">
        <v>10745000</v>
      </c>
      <c r="B1492" s="94">
        <v>10630000</v>
      </c>
      <c r="C1492" s="94">
        <v>10750000</v>
      </c>
      <c r="D1492" s="94">
        <v>10630000</v>
      </c>
      <c r="E1492" s="95">
        <v>41501</v>
      </c>
      <c r="F1492" s="96" t="s">
        <v>2660</v>
      </c>
    </row>
    <row r="1493" spans="1:6">
      <c r="A1493" s="94">
        <v>10550000</v>
      </c>
      <c r="B1493" s="94">
        <v>10550000</v>
      </c>
      <c r="C1493" s="94">
        <v>10720000</v>
      </c>
      <c r="D1493" s="94">
        <v>10720000</v>
      </c>
      <c r="E1493" s="95">
        <v>41500</v>
      </c>
      <c r="F1493" s="96" t="s">
        <v>2661</v>
      </c>
    </row>
    <row r="1494" spans="1:6">
      <c r="A1494" s="94">
        <v>10740000</v>
      </c>
      <c r="B1494" s="94">
        <v>10630000</v>
      </c>
      <c r="C1494" s="94">
        <v>10750000</v>
      </c>
      <c r="D1494" s="94">
        <v>10630000</v>
      </c>
      <c r="E1494" s="95">
        <v>41499</v>
      </c>
      <c r="F1494" s="96" t="s">
        <v>2662</v>
      </c>
    </row>
    <row r="1495" spans="1:6">
      <c r="A1495" s="94">
        <v>10830000</v>
      </c>
      <c r="B1495" s="94">
        <v>10810000</v>
      </c>
      <c r="C1495" s="94">
        <v>10880000</v>
      </c>
      <c r="D1495" s="94">
        <v>10840000</v>
      </c>
      <c r="E1495" s="95">
        <v>41498</v>
      </c>
      <c r="F1495" s="96" t="s">
        <v>2663</v>
      </c>
    </row>
    <row r="1496" spans="1:6">
      <c r="A1496" s="94">
        <v>10760000</v>
      </c>
      <c r="B1496" s="94">
        <v>10730000</v>
      </c>
      <c r="C1496" s="94">
        <v>10760000</v>
      </c>
      <c r="D1496" s="94">
        <v>10750000</v>
      </c>
      <c r="E1496" s="95">
        <v>41497</v>
      </c>
      <c r="F1496" s="96" t="s">
        <v>2664</v>
      </c>
    </row>
    <row r="1497" spans="1:6">
      <c r="A1497" s="94">
        <v>10750000</v>
      </c>
      <c r="B1497" s="94">
        <v>10750000</v>
      </c>
      <c r="C1497" s="94">
        <v>10750000</v>
      </c>
      <c r="D1497" s="94">
        <v>10750000</v>
      </c>
      <c r="E1497" s="95">
        <v>41496</v>
      </c>
      <c r="F1497" s="96" t="s">
        <v>2665</v>
      </c>
    </row>
    <row r="1498" spans="1:6">
      <c r="A1498" s="94">
        <v>10730000</v>
      </c>
      <c r="B1498" s="94">
        <v>10680000</v>
      </c>
      <c r="C1498" s="94">
        <v>10730000</v>
      </c>
      <c r="D1498" s="94">
        <v>10680000</v>
      </c>
      <c r="E1498" s="95">
        <v>41494</v>
      </c>
      <c r="F1498" s="96" t="s">
        <v>2666</v>
      </c>
    </row>
    <row r="1499" spans="1:6">
      <c r="A1499" s="94">
        <v>10640000</v>
      </c>
      <c r="B1499" s="94">
        <v>10600000</v>
      </c>
      <c r="C1499" s="94">
        <v>10670000</v>
      </c>
      <c r="D1499" s="94">
        <v>10650000</v>
      </c>
      <c r="E1499" s="95">
        <v>41493</v>
      </c>
      <c r="F1499" s="96" t="s">
        <v>2667</v>
      </c>
    </row>
    <row r="1500" spans="1:6">
      <c r="A1500" s="94">
        <v>10620000</v>
      </c>
      <c r="B1500" s="94">
        <v>10570000</v>
      </c>
      <c r="C1500" s="94">
        <v>10620000</v>
      </c>
      <c r="D1500" s="94">
        <v>10570000</v>
      </c>
      <c r="E1500" s="95">
        <v>41492</v>
      </c>
      <c r="F1500" s="96" t="s">
        <v>2668</v>
      </c>
    </row>
    <row r="1501" spans="1:6">
      <c r="A1501" s="94">
        <v>10710000</v>
      </c>
      <c r="B1501" s="94">
        <v>10670000</v>
      </c>
      <c r="C1501" s="94">
        <v>10760000</v>
      </c>
      <c r="D1501" s="94">
        <v>10680000</v>
      </c>
      <c r="E1501" s="95">
        <v>41491</v>
      </c>
      <c r="F1501" s="96" t="s">
        <v>2669</v>
      </c>
    </row>
    <row r="1502" spans="1:6">
      <c r="A1502" s="94">
        <v>10890000</v>
      </c>
      <c r="B1502" s="94">
        <v>10780000</v>
      </c>
      <c r="C1502" s="94">
        <v>10950000</v>
      </c>
      <c r="D1502" s="94">
        <v>10780000</v>
      </c>
      <c r="E1502" s="95">
        <v>41490</v>
      </c>
      <c r="F1502" s="96" t="s">
        <v>2670</v>
      </c>
    </row>
    <row r="1503" spans="1:6">
      <c r="A1503" s="94">
        <v>10640000</v>
      </c>
      <c r="B1503" s="94">
        <v>10620000</v>
      </c>
      <c r="C1503" s="94">
        <v>11000000</v>
      </c>
      <c r="D1503" s="94">
        <v>10900000</v>
      </c>
      <c r="E1503" s="95">
        <v>41489</v>
      </c>
      <c r="F1503" s="96" t="s">
        <v>2671</v>
      </c>
    </row>
    <row r="1504" spans="1:6">
      <c r="A1504" s="94">
        <v>10550000</v>
      </c>
      <c r="B1504" s="94">
        <v>10550000</v>
      </c>
      <c r="C1504" s="94">
        <v>10610000</v>
      </c>
      <c r="D1504" s="94">
        <v>10610000</v>
      </c>
      <c r="E1504" s="95">
        <v>41487</v>
      </c>
      <c r="F1504" s="96" t="s">
        <v>2672</v>
      </c>
    </row>
    <row r="1505" spans="1:6">
      <c r="A1505" s="94">
        <v>10600000</v>
      </c>
      <c r="B1505" s="94">
        <v>10560000</v>
      </c>
      <c r="C1505" s="94">
        <v>10600000</v>
      </c>
      <c r="D1505" s="94">
        <v>10560000</v>
      </c>
      <c r="E1505" s="95">
        <v>41486</v>
      </c>
      <c r="F1505" s="96" t="s">
        <v>2673</v>
      </c>
    </row>
    <row r="1506" spans="1:6">
      <c r="A1506" s="94">
        <v>10510000</v>
      </c>
      <c r="B1506" s="94">
        <v>10490000</v>
      </c>
      <c r="C1506" s="94">
        <v>10590000</v>
      </c>
      <c r="D1506" s="94">
        <v>10580000</v>
      </c>
      <c r="E1506" s="95">
        <v>41484</v>
      </c>
      <c r="F1506" s="96" t="s">
        <v>2674</v>
      </c>
    </row>
    <row r="1507" spans="1:6">
      <c r="A1507" s="94">
        <v>10660000</v>
      </c>
      <c r="B1507" s="94">
        <v>10530000</v>
      </c>
      <c r="C1507" s="94">
        <v>10660000</v>
      </c>
      <c r="D1507" s="94">
        <v>10580000</v>
      </c>
      <c r="E1507" s="95">
        <v>41483</v>
      </c>
      <c r="F1507" s="96" t="s">
        <v>2675</v>
      </c>
    </row>
    <row r="1508" spans="1:6">
      <c r="A1508" s="94">
        <v>10340000</v>
      </c>
      <c r="B1508" s="94">
        <v>10340000</v>
      </c>
      <c r="C1508" s="94">
        <v>10510000</v>
      </c>
      <c r="D1508" s="94">
        <v>10510000</v>
      </c>
      <c r="E1508" s="95">
        <v>41482</v>
      </c>
      <c r="F1508" s="96" t="s">
        <v>2676</v>
      </c>
    </row>
    <row r="1509" spans="1:6">
      <c r="A1509" s="94">
        <v>10300000</v>
      </c>
      <c r="B1509" s="94">
        <v>10290000</v>
      </c>
      <c r="C1509" s="94">
        <v>10370000</v>
      </c>
      <c r="D1509" s="94">
        <v>10290000</v>
      </c>
      <c r="E1509" s="95">
        <v>41480</v>
      </c>
      <c r="F1509" s="96" t="s">
        <v>2677</v>
      </c>
    </row>
    <row r="1510" spans="1:6">
      <c r="A1510" s="94">
        <v>10240000</v>
      </c>
      <c r="B1510" s="94">
        <v>10240000</v>
      </c>
      <c r="C1510" s="94">
        <v>10430000</v>
      </c>
      <c r="D1510" s="94">
        <v>10370000</v>
      </c>
      <c r="E1510" s="95">
        <v>41479</v>
      </c>
      <c r="F1510" s="96" t="s">
        <v>2678</v>
      </c>
    </row>
    <row r="1511" spans="1:6">
      <c r="A1511" s="94">
        <v>10340000</v>
      </c>
      <c r="B1511" s="94">
        <v>10280000</v>
      </c>
      <c r="C1511" s="94">
        <v>10400000</v>
      </c>
      <c r="D1511" s="94">
        <v>10400000</v>
      </c>
      <c r="E1511" s="95">
        <v>41477</v>
      </c>
      <c r="F1511" s="96" t="s">
        <v>2679</v>
      </c>
    </row>
    <row r="1512" spans="1:6">
      <c r="A1512" s="94">
        <v>10300000</v>
      </c>
      <c r="B1512" s="94">
        <v>10220000</v>
      </c>
      <c r="C1512" s="94">
        <v>10350000</v>
      </c>
      <c r="D1512" s="94">
        <v>10270000</v>
      </c>
      <c r="E1512" s="95">
        <v>41478</v>
      </c>
      <c r="F1512" s="96" t="s">
        <v>2680</v>
      </c>
    </row>
    <row r="1513" spans="1:6">
      <c r="A1513" s="94">
        <v>9980000</v>
      </c>
      <c r="B1513" s="94">
        <v>9980000</v>
      </c>
      <c r="C1513" s="94">
        <v>10230000</v>
      </c>
      <c r="D1513" s="94">
        <v>10230000</v>
      </c>
      <c r="E1513" s="95">
        <v>41476</v>
      </c>
      <c r="F1513" s="96" t="s">
        <v>2681</v>
      </c>
    </row>
    <row r="1514" spans="1:6">
      <c r="A1514" s="94">
        <v>10310000</v>
      </c>
      <c r="B1514" s="94">
        <v>10120000</v>
      </c>
      <c r="C1514" s="94">
        <v>10370000</v>
      </c>
      <c r="D1514" s="94">
        <v>10120000</v>
      </c>
      <c r="E1514" s="95">
        <v>41475</v>
      </c>
      <c r="F1514" s="96" t="s">
        <v>2682</v>
      </c>
    </row>
    <row r="1515" spans="1:6">
      <c r="A1515" s="94">
        <v>10580000</v>
      </c>
      <c r="B1515" s="94">
        <v>10490000</v>
      </c>
      <c r="C1515" s="94">
        <v>10580000</v>
      </c>
      <c r="D1515" s="94">
        <v>10530000</v>
      </c>
      <c r="E1515" s="95">
        <v>41473</v>
      </c>
      <c r="F1515" s="96" t="s">
        <v>2683</v>
      </c>
    </row>
    <row r="1516" spans="1:6">
      <c r="A1516" s="94">
        <v>10810000</v>
      </c>
      <c r="B1516" s="94">
        <v>10680000</v>
      </c>
      <c r="C1516" s="94">
        <v>10810000</v>
      </c>
      <c r="D1516" s="94">
        <v>10715000</v>
      </c>
      <c r="E1516" s="95">
        <v>41472</v>
      </c>
      <c r="F1516" s="96" t="s">
        <v>2684</v>
      </c>
    </row>
    <row r="1517" spans="1:6">
      <c r="A1517" s="94">
        <v>10810000</v>
      </c>
      <c r="B1517" s="94">
        <v>10800000</v>
      </c>
      <c r="C1517" s="94">
        <v>10890000</v>
      </c>
      <c r="D1517" s="94">
        <v>10860000</v>
      </c>
      <c r="E1517" s="95">
        <v>41471</v>
      </c>
      <c r="F1517" s="96" t="s">
        <v>2685</v>
      </c>
    </row>
    <row r="1518" spans="1:6">
      <c r="A1518" s="94">
        <v>10930000</v>
      </c>
      <c r="B1518" s="94">
        <v>10840000</v>
      </c>
      <c r="C1518" s="94">
        <v>10930000</v>
      </c>
      <c r="D1518" s="94">
        <v>10850000</v>
      </c>
      <c r="E1518" s="95">
        <v>41470</v>
      </c>
      <c r="F1518" s="96" t="s">
        <v>2686</v>
      </c>
    </row>
    <row r="1519" spans="1:6">
      <c r="A1519" s="94">
        <v>10850000</v>
      </c>
      <c r="B1519" s="94">
        <v>10810000</v>
      </c>
      <c r="C1519" s="94">
        <v>10940000</v>
      </c>
      <c r="D1519" s="94">
        <v>10935000</v>
      </c>
      <c r="E1519" s="95">
        <v>41469</v>
      </c>
      <c r="F1519" s="96" t="s">
        <v>2687</v>
      </c>
    </row>
    <row r="1520" spans="1:6">
      <c r="A1520" s="94">
        <v>11040000</v>
      </c>
      <c r="B1520" s="94">
        <v>10870000</v>
      </c>
      <c r="C1520" s="94">
        <v>11040000</v>
      </c>
      <c r="D1520" s="94">
        <v>10870000</v>
      </c>
      <c r="E1520" s="95">
        <v>41468</v>
      </c>
      <c r="F1520" s="96" t="s">
        <v>2688</v>
      </c>
    </row>
    <row r="1521" spans="1:6">
      <c r="A1521" s="94">
        <v>11160000</v>
      </c>
      <c r="B1521" s="94">
        <v>11050000</v>
      </c>
      <c r="C1521" s="94">
        <v>11160000</v>
      </c>
      <c r="D1521" s="94">
        <v>11050000</v>
      </c>
      <c r="E1521" s="95">
        <v>41466</v>
      </c>
      <c r="F1521" s="96" t="s">
        <v>2689</v>
      </c>
    </row>
    <row r="1522" spans="1:6">
      <c r="A1522" s="94">
        <v>10810000</v>
      </c>
      <c r="B1522" s="94">
        <v>10800000</v>
      </c>
      <c r="C1522" s="94">
        <v>10880000</v>
      </c>
      <c r="D1522" s="94">
        <v>10870000</v>
      </c>
      <c r="E1522" s="95">
        <v>41465</v>
      </c>
      <c r="F1522" s="96" t="s">
        <v>2690</v>
      </c>
    </row>
    <row r="1523" spans="1:6">
      <c r="A1523" s="94">
        <v>11020000</v>
      </c>
      <c r="B1523" s="94">
        <v>10850000</v>
      </c>
      <c r="C1523" s="94">
        <v>11020000</v>
      </c>
      <c r="D1523" s="94">
        <v>10865000</v>
      </c>
      <c r="E1523" s="95">
        <v>41464</v>
      </c>
      <c r="F1523" s="96" t="s">
        <v>2691</v>
      </c>
    </row>
    <row r="1524" spans="1:6">
      <c r="A1524" s="94">
        <v>11020000</v>
      </c>
      <c r="B1524" s="94">
        <v>10950000</v>
      </c>
      <c r="C1524" s="94">
        <v>11050000</v>
      </c>
      <c r="D1524" s="94">
        <v>10970000</v>
      </c>
      <c r="E1524" s="95">
        <v>41463</v>
      </c>
      <c r="F1524" s="96" t="s">
        <v>2692</v>
      </c>
    </row>
    <row r="1525" spans="1:6">
      <c r="A1525" s="94">
        <v>10900000</v>
      </c>
      <c r="B1525" s="94">
        <v>10825000</v>
      </c>
      <c r="C1525" s="94">
        <v>11060000</v>
      </c>
      <c r="D1525" s="94">
        <v>11030000</v>
      </c>
      <c r="E1525" s="95">
        <v>41462</v>
      </c>
      <c r="F1525" s="96" t="s">
        <v>2693</v>
      </c>
    </row>
    <row r="1526" spans="1:6">
      <c r="A1526" s="94">
        <v>11100000</v>
      </c>
      <c r="B1526" s="94">
        <v>10920000</v>
      </c>
      <c r="C1526" s="94">
        <v>11150000</v>
      </c>
      <c r="D1526" s="94">
        <v>10930000</v>
      </c>
      <c r="E1526" s="95">
        <v>41461</v>
      </c>
      <c r="F1526" s="96" t="s">
        <v>2694</v>
      </c>
    </row>
    <row r="1527" spans="1:6">
      <c r="A1527" s="94">
        <v>11370000</v>
      </c>
      <c r="B1527" s="94">
        <v>11350000</v>
      </c>
      <c r="C1527" s="94">
        <v>11380000</v>
      </c>
      <c r="D1527" s="94">
        <v>11360000</v>
      </c>
      <c r="E1527" s="95">
        <v>41459</v>
      </c>
      <c r="F1527" s="96" t="s">
        <v>2695</v>
      </c>
    </row>
    <row r="1528" spans="1:6">
      <c r="A1528" s="94">
        <v>11370000</v>
      </c>
      <c r="B1528" s="94">
        <v>11250000</v>
      </c>
      <c r="C1528" s="94">
        <v>11420000</v>
      </c>
      <c r="D1528" s="94">
        <v>11400000</v>
      </c>
      <c r="E1528" s="95">
        <v>41458</v>
      </c>
      <c r="F1528" s="96" t="s">
        <v>2696</v>
      </c>
    </row>
    <row r="1529" spans="1:6">
      <c r="A1529" s="94">
        <v>11500000</v>
      </c>
      <c r="B1529" s="94">
        <v>11430000</v>
      </c>
      <c r="C1529" s="94">
        <v>11530000</v>
      </c>
      <c r="D1529" s="94">
        <v>11450000</v>
      </c>
      <c r="E1529" s="95">
        <v>41457</v>
      </c>
      <c r="F1529" s="96" t="s">
        <v>2697</v>
      </c>
    </row>
    <row r="1530" spans="1:6">
      <c r="A1530" s="94">
        <v>11380000</v>
      </c>
      <c r="B1530" s="94">
        <v>11320000</v>
      </c>
      <c r="C1530" s="94">
        <v>11480000</v>
      </c>
      <c r="D1530" s="94">
        <v>11410000</v>
      </c>
      <c r="E1530" s="95">
        <v>41456</v>
      </c>
      <c r="F1530" s="96" t="s">
        <v>2698</v>
      </c>
    </row>
    <row r="1531" spans="1:6">
      <c r="A1531" s="94">
        <v>11010000</v>
      </c>
      <c r="B1531" s="94">
        <v>10960000</v>
      </c>
      <c r="C1531" s="94">
        <v>11120000</v>
      </c>
      <c r="D1531" s="94">
        <v>11110000</v>
      </c>
      <c r="E1531" s="95">
        <v>41455</v>
      </c>
      <c r="F1531" s="96" t="s">
        <v>2699</v>
      </c>
    </row>
    <row r="1532" spans="1:6">
      <c r="A1532" s="94">
        <v>11020000</v>
      </c>
      <c r="B1532" s="94">
        <v>10860000</v>
      </c>
      <c r="C1532" s="94">
        <v>11070000</v>
      </c>
      <c r="D1532" s="94">
        <v>10900000</v>
      </c>
      <c r="E1532" s="95">
        <v>41454</v>
      </c>
      <c r="F1532" s="96" t="s">
        <v>2700</v>
      </c>
    </row>
    <row r="1533" spans="1:6">
      <c r="A1533" s="94">
        <v>11000000</v>
      </c>
      <c r="B1533" s="94">
        <v>10920000</v>
      </c>
      <c r="C1533" s="94">
        <v>11110000</v>
      </c>
      <c r="D1533" s="94">
        <v>10950000</v>
      </c>
      <c r="E1533" s="95">
        <v>41452</v>
      </c>
      <c r="F1533" s="96" t="s">
        <v>2701</v>
      </c>
    </row>
    <row r="1534" spans="1:6">
      <c r="A1534" s="94">
        <v>10680000</v>
      </c>
      <c r="B1534" s="94">
        <v>10660000</v>
      </c>
      <c r="C1534" s="94">
        <v>10930000</v>
      </c>
      <c r="D1534" s="94">
        <v>10830000</v>
      </c>
      <c r="E1534" s="95">
        <v>41451</v>
      </c>
      <c r="F1534" s="96" t="s">
        <v>2702</v>
      </c>
    </row>
    <row r="1535" spans="1:6">
      <c r="A1535" s="94">
        <v>10620000</v>
      </c>
      <c r="B1535" s="94">
        <v>10580000</v>
      </c>
      <c r="C1535" s="94">
        <v>11120000</v>
      </c>
      <c r="D1535" s="94">
        <v>10900000</v>
      </c>
      <c r="E1535" s="95">
        <v>41450</v>
      </c>
      <c r="F1535" s="96" t="s">
        <v>2703</v>
      </c>
    </row>
    <row r="1536" spans="1:6">
      <c r="A1536" s="94">
        <v>10980000</v>
      </c>
      <c r="B1536" s="94">
        <v>10980000</v>
      </c>
      <c r="C1536" s="94">
        <v>10980000</v>
      </c>
      <c r="D1536" s="94">
        <v>10980000</v>
      </c>
      <c r="E1536" s="95">
        <v>41449</v>
      </c>
      <c r="F1536" s="96" t="s">
        <v>2704</v>
      </c>
    </row>
    <row r="1537" spans="1:6">
      <c r="A1537" s="94">
        <v>10880000</v>
      </c>
      <c r="B1537" s="94">
        <v>10380000</v>
      </c>
      <c r="C1537" s="94">
        <v>11300000</v>
      </c>
      <c r="D1537" s="94">
        <v>10970000</v>
      </c>
      <c r="E1537" s="95">
        <v>41448</v>
      </c>
      <c r="F1537" s="96" t="s">
        <v>2705</v>
      </c>
    </row>
    <row r="1538" spans="1:6">
      <c r="A1538" s="94">
        <v>11640000</v>
      </c>
      <c r="B1538" s="94">
        <v>11080000</v>
      </c>
      <c r="C1538" s="94">
        <v>11640000</v>
      </c>
      <c r="D1538" s="94">
        <v>11200000</v>
      </c>
      <c r="E1538" s="95">
        <v>41447</v>
      </c>
      <c r="F1538" s="96" t="s">
        <v>2706</v>
      </c>
    </row>
    <row r="1539" spans="1:6">
      <c r="A1539" s="94">
        <v>11800000</v>
      </c>
      <c r="B1539" s="94">
        <v>11600000</v>
      </c>
      <c r="C1539" s="94">
        <v>11810000</v>
      </c>
      <c r="D1539" s="94">
        <v>11710000</v>
      </c>
      <c r="E1539" s="95">
        <v>41445</v>
      </c>
      <c r="F1539" s="96" t="s">
        <v>2707</v>
      </c>
    </row>
    <row r="1540" spans="1:6">
      <c r="A1540" s="94">
        <v>12230000</v>
      </c>
      <c r="B1540" s="94">
        <v>12030000</v>
      </c>
      <c r="C1540" s="94">
        <v>12250000</v>
      </c>
      <c r="D1540" s="94">
        <v>12050000</v>
      </c>
      <c r="E1540" s="95">
        <v>41444</v>
      </c>
      <c r="F1540" s="96" t="s">
        <v>2708</v>
      </c>
    </row>
    <row r="1541" spans="1:6">
      <c r="A1541" s="94">
        <v>12680000</v>
      </c>
      <c r="B1541" s="94">
        <v>12350000</v>
      </c>
      <c r="C1541" s="94">
        <v>12680000</v>
      </c>
      <c r="D1541" s="94">
        <v>12350000</v>
      </c>
      <c r="E1541" s="95">
        <v>41443</v>
      </c>
      <c r="F1541" s="96" t="s">
        <v>2709</v>
      </c>
    </row>
    <row r="1542" spans="1:6">
      <c r="A1542" s="94">
        <v>12380000</v>
      </c>
      <c r="B1542" s="94">
        <v>12280000</v>
      </c>
      <c r="C1542" s="94">
        <v>12570000</v>
      </c>
      <c r="D1542" s="94">
        <v>12550000</v>
      </c>
      <c r="E1542" s="95">
        <v>41442</v>
      </c>
      <c r="F1542" s="96" t="s">
        <v>2710</v>
      </c>
    </row>
    <row r="1543" spans="1:6">
      <c r="A1543" s="94">
        <v>12500000</v>
      </c>
      <c r="B1543" s="94">
        <v>12380000</v>
      </c>
      <c r="C1543" s="94">
        <v>12680000</v>
      </c>
      <c r="D1543" s="94">
        <v>12600000</v>
      </c>
      <c r="E1543" s="95">
        <v>41441</v>
      </c>
      <c r="F1543" s="96" t="s">
        <v>2711</v>
      </c>
    </row>
    <row r="1544" spans="1:6">
      <c r="A1544" s="94">
        <v>12650000</v>
      </c>
      <c r="B1544" s="94">
        <v>12000000</v>
      </c>
      <c r="C1544" s="94">
        <v>12680000</v>
      </c>
      <c r="D1544" s="94">
        <v>12120000</v>
      </c>
      <c r="E1544" s="95">
        <v>41440</v>
      </c>
      <c r="F1544" s="96" t="s">
        <v>2712</v>
      </c>
    </row>
    <row r="1545" spans="1:6">
      <c r="A1545" s="94">
        <v>13100000</v>
      </c>
      <c r="B1545" s="94">
        <v>13050000</v>
      </c>
      <c r="C1545" s="94">
        <v>13120000</v>
      </c>
      <c r="D1545" s="94">
        <v>13080000</v>
      </c>
      <c r="E1545" s="95">
        <v>41438</v>
      </c>
      <c r="F1545" s="96" t="s">
        <v>2713</v>
      </c>
    </row>
    <row r="1546" spans="1:6">
      <c r="A1546" s="94">
        <v>12660000</v>
      </c>
      <c r="B1546" s="94">
        <v>12660000</v>
      </c>
      <c r="C1546" s="94">
        <v>13050000</v>
      </c>
      <c r="D1546" s="94">
        <v>12990000</v>
      </c>
      <c r="E1546" s="95">
        <v>41437</v>
      </c>
      <c r="F1546" s="96" t="s">
        <v>2714</v>
      </c>
    </row>
    <row r="1547" spans="1:6">
      <c r="A1547" s="94">
        <v>12660000</v>
      </c>
      <c r="B1547" s="94">
        <v>12450000</v>
      </c>
      <c r="C1547" s="94">
        <v>12660000</v>
      </c>
      <c r="D1547" s="94">
        <v>12630000</v>
      </c>
      <c r="E1547" s="95">
        <v>41436</v>
      </c>
      <c r="F1547" s="96" t="s">
        <v>2715</v>
      </c>
    </row>
    <row r="1548" spans="1:6">
      <c r="A1548" s="94">
        <v>12840000</v>
      </c>
      <c r="B1548" s="94">
        <v>12780000</v>
      </c>
      <c r="C1548" s="94">
        <v>12880000</v>
      </c>
      <c r="D1548" s="94">
        <v>12800000</v>
      </c>
      <c r="E1548" s="95">
        <v>41435</v>
      </c>
      <c r="F1548" s="96" t="s">
        <v>2716</v>
      </c>
    </row>
    <row r="1549" spans="1:6">
      <c r="A1549" s="94">
        <v>13040000</v>
      </c>
      <c r="B1549" s="94">
        <v>12890000</v>
      </c>
      <c r="C1549" s="94">
        <v>13040000</v>
      </c>
      <c r="D1549" s="94">
        <v>12900000</v>
      </c>
      <c r="E1549" s="95">
        <v>41434</v>
      </c>
      <c r="F1549" s="96" t="s">
        <v>2717</v>
      </c>
    </row>
    <row r="1550" spans="1:6">
      <c r="A1550" s="94">
        <v>13030000</v>
      </c>
      <c r="B1550" s="94">
        <v>13030000</v>
      </c>
      <c r="C1550" s="94">
        <v>13080000</v>
      </c>
      <c r="D1550" s="94">
        <v>13050000</v>
      </c>
      <c r="E1550" s="95">
        <v>41433</v>
      </c>
      <c r="F1550" s="96" t="s">
        <v>2718</v>
      </c>
    </row>
    <row r="1551" spans="1:6">
      <c r="A1551" s="94">
        <v>12960000</v>
      </c>
      <c r="B1551" s="94">
        <v>12960000</v>
      </c>
      <c r="C1551" s="94">
        <v>13050000</v>
      </c>
      <c r="D1551" s="94">
        <v>13050000</v>
      </c>
      <c r="E1551" s="95">
        <v>41428</v>
      </c>
      <c r="F1551" s="96" t="s">
        <v>2719</v>
      </c>
    </row>
    <row r="1552" spans="1:6">
      <c r="A1552" s="94">
        <v>13110000</v>
      </c>
      <c r="B1552" s="94">
        <v>12950000</v>
      </c>
      <c r="C1552" s="94">
        <v>13140000</v>
      </c>
      <c r="D1552" s="94">
        <v>12950000</v>
      </c>
      <c r="E1552" s="95">
        <v>41427</v>
      </c>
      <c r="F1552" s="96" t="s">
        <v>2720</v>
      </c>
    </row>
    <row r="1553" spans="1:6">
      <c r="A1553" s="94">
        <v>13110000</v>
      </c>
      <c r="B1553" s="94">
        <v>13110000</v>
      </c>
      <c r="C1553" s="94">
        <v>13230000</v>
      </c>
      <c r="D1553" s="94">
        <v>13120000</v>
      </c>
      <c r="E1553" s="95">
        <v>41426</v>
      </c>
      <c r="F1553" s="96" t="s">
        <v>2721</v>
      </c>
    </row>
    <row r="1554" spans="1:6">
      <c r="A1554" s="94">
        <v>13210000</v>
      </c>
      <c r="B1554" s="94">
        <v>13210000</v>
      </c>
      <c r="C1554" s="94">
        <v>13210000</v>
      </c>
      <c r="D1554" s="94">
        <v>13210000</v>
      </c>
      <c r="E1554" s="95">
        <v>41425</v>
      </c>
      <c r="F1554" s="96" t="s">
        <v>2722</v>
      </c>
    </row>
    <row r="1555" spans="1:6">
      <c r="A1555" s="94">
        <v>13150000</v>
      </c>
      <c r="B1555" s="94">
        <v>13080000</v>
      </c>
      <c r="C1555" s="94">
        <v>13200000</v>
      </c>
      <c r="D1555" s="94">
        <v>13190000</v>
      </c>
      <c r="E1555" s="95">
        <v>41424</v>
      </c>
      <c r="F1555" s="96" t="s">
        <v>2723</v>
      </c>
    </row>
    <row r="1556" spans="1:6">
      <c r="A1556" s="94">
        <v>13330000</v>
      </c>
      <c r="B1556" s="94">
        <v>13170000</v>
      </c>
      <c r="C1556" s="94">
        <v>13340000</v>
      </c>
      <c r="D1556" s="94">
        <v>13180000</v>
      </c>
      <c r="E1556" s="95">
        <v>41423</v>
      </c>
      <c r="F1556" s="96" t="s">
        <v>2724</v>
      </c>
    </row>
    <row r="1557" spans="1:6">
      <c r="A1557" s="94">
        <v>13440000</v>
      </c>
      <c r="B1557" s="94">
        <v>13340000</v>
      </c>
      <c r="C1557" s="94">
        <v>13440000</v>
      </c>
      <c r="D1557" s="94">
        <v>13400000</v>
      </c>
      <c r="E1557" s="95">
        <v>41422</v>
      </c>
      <c r="F1557" s="96" t="s">
        <v>2725</v>
      </c>
    </row>
    <row r="1558" spans="1:6">
      <c r="A1558" s="94">
        <v>13330000</v>
      </c>
      <c r="B1558" s="94">
        <v>13200000</v>
      </c>
      <c r="C1558" s="94">
        <v>13380000</v>
      </c>
      <c r="D1558" s="94">
        <v>13215000</v>
      </c>
      <c r="E1558" s="95">
        <v>41421</v>
      </c>
      <c r="F1558" s="96" t="s">
        <v>2726</v>
      </c>
    </row>
    <row r="1559" spans="1:6">
      <c r="A1559" s="94">
        <v>13300000</v>
      </c>
      <c r="B1559" s="94">
        <v>13250000</v>
      </c>
      <c r="C1559" s="94">
        <v>13540000</v>
      </c>
      <c r="D1559" s="94">
        <v>13280000</v>
      </c>
      <c r="E1559" s="95">
        <v>41420</v>
      </c>
      <c r="F1559" s="96" t="s">
        <v>2727</v>
      </c>
    </row>
    <row r="1560" spans="1:6">
      <c r="A1560" s="94">
        <v>12980000</v>
      </c>
      <c r="B1560" s="94">
        <v>12970000</v>
      </c>
      <c r="C1560" s="94">
        <v>13240000</v>
      </c>
      <c r="D1560" s="94">
        <v>13240000</v>
      </c>
      <c r="E1560" s="95">
        <v>41419</v>
      </c>
      <c r="F1560" s="96" t="s">
        <v>2728</v>
      </c>
    </row>
    <row r="1561" spans="1:6">
      <c r="A1561" s="94">
        <v>12260000</v>
      </c>
      <c r="B1561" s="94">
        <v>12200000</v>
      </c>
      <c r="C1561" s="94">
        <v>12570000</v>
      </c>
      <c r="D1561" s="94">
        <v>12560000</v>
      </c>
      <c r="E1561" s="95">
        <v>41415</v>
      </c>
      <c r="F1561" s="96" t="s">
        <v>2729</v>
      </c>
    </row>
    <row r="1562" spans="1:6">
      <c r="A1562" s="94">
        <v>12950000</v>
      </c>
      <c r="B1562" s="94">
        <v>12910000</v>
      </c>
      <c r="C1562" s="94">
        <v>13080000</v>
      </c>
      <c r="D1562" s="94">
        <v>12930000</v>
      </c>
      <c r="E1562" s="95">
        <v>41417</v>
      </c>
      <c r="F1562" s="96" t="s">
        <v>2730</v>
      </c>
    </row>
    <row r="1563" spans="1:6">
      <c r="A1563" s="94">
        <v>11720000</v>
      </c>
      <c r="B1563" s="94">
        <v>11570000</v>
      </c>
      <c r="C1563" s="94">
        <v>12040000</v>
      </c>
      <c r="D1563" s="94">
        <v>12000000</v>
      </c>
      <c r="E1563" s="95">
        <v>41414</v>
      </c>
      <c r="F1563" s="96" t="s">
        <v>2731</v>
      </c>
    </row>
    <row r="1564" spans="1:6">
      <c r="A1564" s="94">
        <v>12810000</v>
      </c>
      <c r="B1564" s="94">
        <v>12780000</v>
      </c>
      <c r="C1564" s="94">
        <v>13270000</v>
      </c>
      <c r="D1564" s="94">
        <v>13250000</v>
      </c>
      <c r="E1564" s="95">
        <v>41416</v>
      </c>
      <c r="F1564" s="96" t="s">
        <v>2732</v>
      </c>
    </row>
    <row r="1565" spans="1:6">
      <c r="A1565" s="94">
        <v>12240000</v>
      </c>
      <c r="B1565" s="94">
        <v>11960000</v>
      </c>
      <c r="C1565" s="94">
        <v>12260000</v>
      </c>
      <c r="D1565" s="94">
        <v>11970000</v>
      </c>
      <c r="E1565" s="95">
        <v>41413</v>
      </c>
      <c r="F1565" s="96" t="s">
        <v>2733</v>
      </c>
    </row>
    <row r="1566" spans="1:6">
      <c r="A1566" s="94">
        <v>12630000</v>
      </c>
      <c r="B1566" s="94">
        <v>12440000</v>
      </c>
      <c r="C1566" s="94">
        <v>12630000</v>
      </c>
      <c r="D1566" s="94">
        <v>12470000</v>
      </c>
      <c r="E1566" s="95">
        <v>41412</v>
      </c>
      <c r="F1566" s="96" t="s">
        <v>2734</v>
      </c>
    </row>
    <row r="1567" spans="1:6">
      <c r="A1567" s="94">
        <v>12840000</v>
      </c>
      <c r="B1567" s="94">
        <v>12720000</v>
      </c>
      <c r="C1567" s="94">
        <v>12850000</v>
      </c>
      <c r="D1567" s="94">
        <v>12780000</v>
      </c>
      <c r="E1567" s="95">
        <v>41410</v>
      </c>
      <c r="F1567" s="96" t="s">
        <v>2735</v>
      </c>
    </row>
    <row r="1568" spans="1:6">
      <c r="A1568" s="94">
        <v>12910000</v>
      </c>
      <c r="B1568" s="94">
        <v>12830000</v>
      </c>
      <c r="C1568" s="94">
        <v>12940000</v>
      </c>
      <c r="D1568" s="94">
        <v>12830000</v>
      </c>
      <c r="E1568" s="95">
        <v>41409</v>
      </c>
      <c r="F1568" s="96" t="s">
        <v>2736</v>
      </c>
    </row>
    <row r="1569" spans="1:6">
      <c r="A1569" s="94">
        <v>13110000</v>
      </c>
      <c r="B1569" s="94">
        <v>13000000</v>
      </c>
      <c r="C1569" s="94">
        <v>13150000</v>
      </c>
      <c r="D1569" s="94">
        <v>13040000</v>
      </c>
      <c r="E1569" s="95">
        <v>41408</v>
      </c>
      <c r="F1569" s="96" t="s">
        <v>2737</v>
      </c>
    </row>
    <row r="1570" spans="1:6">
      <c r="A1570" s="94">
        <v>12930000</v>
      </c>
      <c r="B1570" s="94">
        <v>12930000</v>
      </c>
      <c r="C1570" s="94">
        <v>13040000</v>
      </c>
      <c r="D1570" s="94">
        <v>12975000</v>
      </c>
      <c r="E1570" s="95">
        <v>41407</v>
      </c>
      <c r="F1570" s="96" t="s">
        <v>2738</v>
      </c>
    </row>
    <row r="1571" spans="1:6">
      <c r="A1571" s="94">
        <v>12870000</v>
      </c>
      <c r="B1571" s="94">
        <v>12870000</v>
      </c>
      <c r="C1571" s="94">
        <v>13020000</v>
      </c>
      <c r="D1571" s="94">
        <v>13000000</v>
      </c>
      <c r="E1571" s="95">
        <v>41406</v>
      </c>
      <c r="F1571" s="96" t="s">
        <v>2739</v>
      </c>
    </row>
    <row r="1572" spans="1:6">
      <c r="A1572" s="94">
        <v>13030000</v>
      </c>
      <c r="B1572" s="94">
        <v>12820000</v>
      </c>
      <c r="C1572" s="94">
        <v>13110000</v>
      </c>
      <c r="D1572" s="94">
        <v>12820000</v>
      </c>
      <c r="E1572" s="95">
        <v>41405</v>
      </c>
      <c r="F1572" s="96" t="s">
        <v>2740</v>
      </c>
    </row>
    <row r="1573" spans="1:6">
      <c r="A1573" s="94">
        <v>13180000</v>
      </c>
      <c r="B1573" s="94">
        <v>13120000</v>
      </c>
      <c r="C1573" s="94">
        <v>13180000</v>
      </c>
      <c r="D1573" s="94">
        <v>13140000</v>
      </c>
      <c r="E1573" s="95">
        <v>41403</v>
      </c>
      <c r="F1573" s="96" t="s">
        <v>2741</v>
      </c>
    </row>
    <row r="1574" spans="1:6">
      <c r="A1574" s="94">
        <v>13300000</v>
      </c>
      <c r="B1574" s="94">
        <v>13030000</v>
      </c>
      <c r="C1574" s="94">
        <v>13300000</v>
      </c>
      <c r="D1574" s="94">
        <v>13150000</v>
      </c>
      <c r="E1574" s="95">
        <v>41402</v>
      </c>
      <c r="F1574" s="96" t="s">
        <v>2742</v>
      </c>
    </row>
    <row r="1575" spans="1:6">
      <c r="A1575" s="94">
        <v>13350000</v>
      </c>
      <c r="B1575" s="94">
        <v>13290000</v>
      </c>
      <c r="C1575" s="94">
        <v>13370000</v>
      </c>
      <c r="D1575" s="94">
        <v>13290000</v>
      </c>
      <c r="E1575" s="95">
        <v>41401</v>
      </c>
      <c r="F1575" s="96" t="s">
        <v>2743</v>
      </c>
    </row>
    <row r="1576" spans="1:6">
      <c r="A1576" s="94">
        <v>13540000</v>
      </c>
      <c r="B1576" s="94">
        <v>13430000</v>
      </c>
      <c r="C1576" s="94">
        <v>13540000</v>
      </c>
      <c r="D1576" s="94">
        <v>13440000</v>
      </c>
      <c r="E1576" s="95">
        <v>41400</v>
      </c>
      <c r="F1576" s="96" t="s">
        <v>2744</v>
      </c>
    </row>
    <row r="1577" spans="1:6">
      <c r="A1577" s="94">
        <v>13480000</v>
      </c>
      <c r="B1577" s="94">
        <v>13450000</v>
      </c>
      <c r="C1577" s="94">
        <v>13580000</v>
      </c>
      <c r="D1577" s="94">
        <v>13580000</v>
      </c>
      <c r="E1577" s="95">
        <v>41399</v>
      </c>
      <c r="F1577" s="96" t="s">
        <v>2745</v>
      </c>
    </row>
    <row r="1578" spans="1:6">
      <c r="A1578" s="94">
        <v>13450000</v>
      </c>
      <c r="B1578" s="94">
        <v>13420000</v>
      </c>
      <c r="C1578" s="94">
        <v>13470000</v>
      </c>
      <c r="D1578" s="94">
        <v>13425000</v>
      </c>
      <c r="E1578" s="95">
        <v>41398</v>
      </c>
      <c r="F1578" s="96" t="s">
        <v>2746</v>
      </c>
    </row>
    <row r="1579" spans="1:6">
      <c r="A1579" s="94">
        <v>13430000</v>
      </c>
      <c r="B1579" s="94">
        <v>13370000</v>
      </c>
      <c r="C1579" s="94">
        <v>13470000</v>
      </c>
      <c r="D1579" s="94">
        <v>13460000</v>
      </c>
      <c r="E1579" s="95">
        <v>41396</v>
      </c>
      <c r="F1579" s="96" t="s">
        <v>2747</v>
      </c>
    </row>
    <row r="1580" spans="1:6">
      <c r="A1580" s="94">
        <v>13570000</v>
      </c>
      <c r="B1580" s="94">
        <v>13450000</v>
      </c>
      <c r="C1580" s="94">
        <v>13570000</v>
      </c>
      <c r="D1580" s="94">
        <v>13450000</v>
      </c>
      <c r="E1580" s="95">
        <v>41395</v>
      </c>
      <c r="F1580" s="96" t="s">
        <v>2748</v>
      </c>
    </row>
    <row r="1581" spans="1:6">
      <c r="A1581" s="94">
        <v>13650000</v>
      </c>
      <c r="B1581" s="94">
        <v>13560000</v>
      </c>
      <c r="C1581" s="94">
        <v>13680000</v>
      </c>
      <c r="D1581" s="94">
        <v>13580000</v>
      </c>
      <c r="E1581" s="95">
        <v>41394</v>
      </c>
      <c r="F1581" s="96" t="s">
        <v>2749</v>
      </c>
    </row>
    <row r="1582" spans="1:6">
      <c r="A1582" s="94">
        <v>13700000</v>
      </c>
      <c r="B1582" s="94">
        <v>13640000</v>
      </c>
      <c r="C1582" s="94">
        <v>13780000</v>
      </c>
      <c r="D1582" s="94">
        <v>13680000</v>
      </c>
      <c r="E1582" s="95">
        <v>41393</v>
      </c>
      <c r="F1582" s="96" t="s">
        <v>2750</v>
      </c>
    </row>
    <row r="1583" spans="1:6">
      <c r="A1583" s="94">
        <v>13530000</v>
      </c>
      <c r="B1583" s="94">
        <v>13450000</v>
      </c>
      <c r="C1583" s="94">
        <v>13690000</v>
      </c>
      <c r="D1583" s="94">
        <v>13620000</v>
      </c>
      <c r="E1583" s="95">
        <v>41392</v>
      </c>
      <c r="F1583" s="96" t="s">
        <v>2751</v>
      </c>
    </row>
    <row r="1584" spans="1:6">
      <c r="A1584" s="94">
        <v>13650000</v>
      </c>
      <c r="B1584" s="94">
        <v>13500000</v>
      </c>
      <c r="C1584" s="94">
        <v>13670000</v>
      </c>
      <c r="D1584" s="94">
        <v>13550000</v>
      </c>
      <c r="E1584" s="95">
        <v>41391</v>
      </c>
      <c r="F1584" s="96" t="s">
        <v>2752</v>
      </c>
    </row>
    <row r="1585" spans="1:6">
      <c r="A1585" s="94">
        <v>13780000</v>
      </c>
      <c r="B1585" s="94">
        <v>13690000</v>
      </c>
      <c r="C1585" s="94">
        <v>13850000</v>
      </c>
      <c r="D1585" s="94">
        <v>13750000</v>
      </c>
      <c r="E1585" s="95">
        <v>41389</v>
      </c>
      <c r="F1585" s="96" t="s">
        <v>2753</v>
      </c>
    </row>
    <row r="1586" spans="1:6">
      <c r="A1586" s="94">
        <v>13510000</v>
      </c>
      <c r="B1586" s="94">
        <v>13480000</v>
      </c>
      <c r="C1586" s="94">
        <v>13720000</v>
      </c>
      <c r="D1586" s="94">
        <v>13710000</v>
      </c>
      <c r="E1586" s="95">
        <v>41388</v>
      </c>
      <c r="F1586" s="96" t="s">
        <v>2754</v>
      </c>
    </row>
    <row r="1587" spans="1:6">
      <c r="A1587" s="94">
        <v>13310000</v>
      </c>
      <c r="B1587" s="94">
        <v>13260000</v>
      </c>
      <c r="C1587" s="94">
        <v>13400000</v>
      </c>
      <c r="D1587" s="94">
        <v>13330000</v>
      </c>
      <c r="E1587" s="95">
        <v>41387</v>
      </c>
      <c r="F1587" s="96" t="s">
        <v>2755</v>
      </c>
    </row>
    <row r="1588" spans="1:6">
      <c r="A1588" s="94">
        <v>13260000</v>
      </c>
      <c r="B1588" s="94">
        <v>13220000</v>
      </c>
      <c r="C1588" s="94">
        <v>13500000</v>
      </c>
      <c r="D1588" s="94">
        <v>13390000</v>
      </c>
      <c r="E1588" s="95">
        <v>41386</v>
      </c>
      <c r="F1588" s="96" t="s">
        <v>2756</v>
      </c>
    </row>
    <row r="1589" spans="1:6">
      <c r="A1589" s="94">
        <v>13000000</v>
      </c>
      <c r="B1589" s="94">
        <v>12960000</v>
      </c>
      <c r="C1589" s="94">
        <v>13170000</v>
      </c>
      <c r="D1589" s="94">
        <v>13130000</v>
      </c>
      <c r="E1589" s="95">
        <v>41385</v>
      </c>
      <c r="F1589" s="96" t="s">
        <v>2757</v>
      </c>
    </row>
    <row r="1590" spans="1:6">
      <c r="A1590" s="94">
        <v>13140000</v>
      </c>
      <c r="B1590" s="94">
        <v>12920000</v>
      </c>
      <c r="C1590" s="94">
        <v>13150000</v>
      </c>
      <c r="D1590" s="94">
        <v>12950000</v>
      </c>
      <c r="E1590" s="95">
        <v>41384</v>
      </c>
      <c r="F1590" s="96" t="s">
        <v>2758</v>
      </c>
    </row>
    <row r="1591" spans="1:6">
      <c r="A1591" s="94">
        <v>13120000</v>
      </c>
      <c r="B1591" s="94">
        <v>13090000</v>
      </c>
      <c r="C1591" s="94">
        <v>13130000</v>
      </c>
      <c r="D1591" s="94">
        <v>13110000</v>
      </c>
      <c r="E1591" s="95">
        <v>41382</v>
      </c>
      <c r="F1591" s="96" t="s">
        <v>2759</v>
      </c>
    </row>
    <row r="1592" spans="1:6">
      <c r="A1592" s="94">
        <v>13110000</v>
      </c>
      <c r="B1592" s="94">
        <v>13080000</v>
      </c>
      <c r="C1592" s="94">
        <v>13140000</v>
      </c>
      <c r="D1592" s="94">
        <v>13140000</v>
      </c>
      <c r="E1592" s="95">
        <v>41381</v>
      </c>
      <c r="F1592" s="96" t="s">
        <v>2760</v>
      </c>
    </row>
    <row r="1593" spans="1:6">
      <c r="A1593" s="94">
        <v>13120000</v>
      </c>
      <c r="B1593" s="94">
        <v>13070000</v>
      </c>
      <c r="C1593" s="94">
        <v>13180000</v>
      </c>
      <c r="D1593" s="94">
        <v>13160000</v>
      </c>
      <c r="E1593" s="95">
        <v>41380</v>
      </c>
      <c r="F1593" s="96" t="s">
        <v>2761</v>
      </c>
    </row>
    <row r="1594" spans="1:6">
      <c r="A1594" s="94">
        <v>13380000</v>
      </c>
      <c r="B1594" s="94">
        <v>13100000</v>
      </c>
      <c r="C1594" s="94">
        <v>13390000</v>
      </c>
      <c r="D1594" s="94">
        <v>13100000</v>
      </c>
      <c r="E1594" s="95">
        <v>41379</v>
      </c>
      <c r="F1594" s="96" t="s">
        <v>2762</v>
      </c>
    </row>
    <row r="1595" spans="1:6">
      <c r="A1595" s="94">
        <v>13320000</v>
      </c>
      <c r="B1595" s="94">
        <v>13320000</v>
      </c>
      <c r="C1595" s="94">
        <v>13550000</v>
      </c>
      <c r="D1595" s="94">
        <v>13550000</v>
      </c>
      <c r="E1595" s="95">
        <v>41377</v>
      </c>
      <c r="F1595" s="96" t="s">
        <v>2763</v>
      </c>
    </row>
    <row r="1596" spans="1:6">
      <c r="A1596" s="94">
        <v>13890000</v>
      </c>
      <c r="B1596" s="94">
        <v>13820000</v>
      </c>
      <c r="C1596" s="94">
        <v>13900000</v>
      </c>
      <c r="D1596" s="94">
        <v>13900000</v>
      </c>
      <c r="E1596" s="95">
        <v>41375</v>
      </c>
      <c r="F1596" s="96" t="s">
        <v>2764</v>
      </c>
    </row>
    <row r="1597" spans="1:6">
      <c r="A1597" s="94">
        <v>14180000</v>
      </c>
      <c r="B1597" s="94">
        <v>14000000</v>
      </c>
      <c r="C1597" s="94">
        <v>14220000</v>
      </c>
      <c r="D1597" s="94">
        <v>14000000</v>
      </c>
      <c r="E1597" s="95">
        <v>41374</v>
      </c>
      <c r="F1597" s="96" t="s">
        <v>2765</v>
      </c>
    </row>
    <row r="1598" spans="1:6">
      <c r="A1598" s="94">
        <v>14180000</v>
      </c>
      <c r="B1598" s="94">
        <v>14140000</v>
      </c>
      <c r="C1598" s="94">
        <v>14270000</v>
      </c>
      <c r="D1598" s="94">
        <v>14170000</v>
      </c>
      <c r="E1598" s="95">
        <v>41373</v>
      </c>
      <c r="F1598" s="96" t="s">
        <v>2766</v>
      </c>
    </row>
    <row r="1599" spans="1:6">
      <c r="A1599" s="94">
        <v>14350000</v>
      </c>
      <c r="B1599" s="94">
        <v>14070000</v>
      </c>
      <c r="C1599" s="94">
        <v>14350000</v>
      </c>
      <c r="D1599" s="94">
        <v>14070000</v>
      </c>
      <c r="E1599" s="95">
        <v>41372</v>
      </c>
      <c r="F1599" s="96" t="s">
        <v>2767</v>
      </c>
    </row>
    <row r="1600" spans="1:6">
      <c r="A1600" s="94">
        <v>14350000</v>
      </c>
      <c r="B1600" s="94">
        <v>14170000</v>
      </c>
      <c r="C1600" s="94">
        <v>14410000</v>
      </c>
      <c r="D1600" s="94">
        <v>14410000</v>
      </c>
      <c r="E1600" s="95">
        <v>41371</v>
      </c>
      <c r="F1600" s="96" t="s">
        <v>2768</v>
      </c>
    </row>
    <row r="1601" spans="1:6">
      <c r="A1601" s="94">
        <v>13920000</v>
      </c>
      <c r="B1601" s="94">
        <v>13750000</v>
      </c>
      <c r="C1601" s="94">
        <v>13960000</v>
      </c>
      <c r="D1601" s="94">
        <v>13750000</v>
      </c>
      <c r="E1601" s="95">
        <v>41370</v>
      </c>
      <c r="F1601" s="96" t="s">
        <v>2769</v>
      </c>
    </row>
    <row r="1602" spans="1:6">
      <c r="A1602" s="94">
        <v>13470000</v>
      </c>
      <c r="B1602" s="94">
        <v>13450000</v>
      </c>
      <c r="C1602" s="94">
        <v>13470000</v>
      </c>
      <c r="D1602" s="94">
        <v>13460000</v>
      </c>
      <c r="E1602" s="95">
        <v>41368</v>
      </c>
      <c r="F1602" s="96" t="s">
        <v>2770</v>
      </c>
    </row>
    <row r="1603" spans="1:6">
      <c r="A1603" s="94">
        <v>13390000</v>
      </c>
      <c r="B1603" s="94">
        <v>13390000</v>
      </c>
      <c r="C1603" s="94">
        <v>13530000</v>
      </c>
      <c r="D1603" s="94">
        <v>13530000</v>
      </c>
      <c r="E1603" s="95">
        <v>41367</v>
      </c>
      <c r="F1603" s="96" t="s">
        <v>2771</v>
      </c>
    </row>
    <row r="1604" spans="1:6">
      <c r="A1604" s="94">
        <v>13580000</v>
      </c>
      <c r="B1604" s="94">
        <v>13530000</v>
      </c>
      <c r="C1604" s="94">
        <v>13580000</v>
      </c>
      <c r="D1604" s="94">
        <v>13550000</v>
      </c>
      <c r="E1604" s="95">
        <v>41364</v>
      </c>
      <c r="F1604" s="96" t="s">
        <v>2772</v>
      </c>
    </row>
    <row r="1605" spans="1:6">
      <c r="A1605" s="94">
        <v>13750000</v>
      </c>
      <c r="B1605" s="94">
        <v>13650000</v>
      </c>
      <c r="C1605" s="94">
        <v>13750000</v>
      </c>
      <c r="D1605" s="94">
        <v>13650000</v>
      </c>
      <c r="E1605" s="95">
        <v>41363</v>
      </c>
      <c r="F1605" s="96" t="s">
        <v>2773</v>
      </c>
    </row>
    <row r="1606" spans="1:6">
      <c r="A1606" s="94">
        <v>13750000</v>
      </c>
      <c r="B1606" s="94">
        <v>13750000</v>
      </c>
      <c r="C1606" s="94">
        <v>13800000</v>
      </c>
      <c r="D1606" s="94">
        <v>13800000</v>
      </c>
      <c r="E1606" s="95">
        <v>41361</v>
      </c>
      <c r="F1606" s="96" t="s">
        <v>2774</v>
      </c>
    </row>
    <row r="1607" spans="1:6">
      <c r="A1607" s="94">
        <v>13700000</v>
      </c>
      <c r="B1607" s="94">
        <v>13700000</v>
      </c>
      <c r="C1607" s="94">
        <v>13700000</v>
      </c>
      <c r="D1607" s="94">
        <v>13700000</v>
      </c>
      <c r="E1607" s="95">
        <v>41360</v>
      </c>
      <c r="F1607" s="96" t="s">
        <v>2775</v>
      </c>
    </row>
    <row r="1608" spans="1:6">
      <c r="A1608" s="94">
        <v>13510000</v>
      </c>
      <c r="B1608" s="94">
        <v>13370000</v>
      </c>
      <c r="C1608" s="94">
        <v>13530000</v>
      </c>
      <c r="D1608" s="94">
        <v>13520000</v>
      </c>
      <c r="E1608" s="95">
        <v>41351</v>
      </c>
      <c r="F1608" s="96" t="s">
        <v>2776</v>
      </c>
    </row>
    <row r="1609" spans="1:6">
      <c r="A1609" s="94">
        <v>13180000</v>
      </c>
      <c r="B1609" s="94">
        <v>13180000</v>
      </c>
      <c r="C1609" s="94">
        <v>13600000</v>
      </c>
      <c r="D1609" s="94">
        <v>13460000</v>
      </c>
      <c r="E1609" s="95">
        <v>41350</v>
      </c>
      <c r="F1609" s="96" t="s">
        <v>2777</v>
      </c>
    </row>
    <row r="1610" spans="1:6">
      <c r="A1610" s="94">
        <v>13340000</v>
      </c>
      <c r="B1610" s="94">
        <v>12950000</v>
      </c>
      <c r="C1610" s="94">
        <v>13350000</v>
      </c>
      <c r="D1610" s="94">
        <v>13050000</v>
      </c>
      <c r="E1610" s="95">
        <v>41349</v>
      </c>
      <c r="F1610" s="96" t="s">
        <v>2778</v>
      </c>
    </row>
    <row r="1611" spans="1:6">
      <c r="A1611" s="94">
        <v>13560000</v>
      </c>
      <c r="B1611" s="94">
        <v>13440000</v>
      </c>
      <c r="C1611" s="94">
        <v>13600000</v>
      </c>
      <c r="D1611" s="94">
        <v>13440000</v>
      </c>
      <c r="E1611" s="95">
        <v>41347</v>
      </c>
      <c r="F1611" s="96" t="s">
        <v>2779</v>
      </c>
    </row>
    <row r="1612" spans="1:6">
      <c r="A1612" s="94">
        <v>13600000</v>
      </c>
      <c r="B1612" s="94">
        <v>13560000</v>
      </c>
      <c r="C1612" s="94">
        <v>13780000</v>
      </c>
      <c r="D1612" s="94">
        <v>13710000</v>
      </c>
      <c r="E1612" s="95">
        <v>41346</v>
      </c>
      <c r="F1612" s="96" t="s">
        <v>2780</v>
      </c>
    </row>
    <row r="1613" spans="1:6">
      <c r="A1613" s="94">
        <v>13820000</v>
      </c>
      <c r="B1613" s="94">
        <v>13740000</v>
      </c>
      <c r="C1613" s="94">
        <v>13840000</v>
      </c>
      <c r="D1613" s="94">
        <v>13770000</v>
      </c>
      <c r="E1613" s="95">
        <v>41345</v>
      </c>
      <c r="F1613" s="96" t="s">
        <v>2781</v>
      </c>
    </row>
    <row r="1614" spans="1:6">
      <c r="A1614" s="94">
        <v>13930000</v>
      </c>
      <c r="B1614" s="94">
        <v>13770000</v>
      </c>
      <c r="C1614" s="94">
        <v>14050000</v>
      </c>
      <c r="D1614" s="94">
        <v>13850000</v>
      </c>
      <c r="E1614" s="95">
        <v>41344</v>
      </c>
      <c r="F1614" s="96" t="s">
        <v>2782</v>
      </c>
    </row>
    <row r="1615" spans="1:6">
      <c r="A1615" s="94">
        <v>13540000</v>
      </c>
      <c r="B1615" s="94">
        <v>13540000</v>
      </c>
      <c r="C1615" s="94">
        <v>13830000</v>
      </c>
      <c r="D1615" s="94">
        <v>13820000</v>
      </c>
      <c r="E1615" s="95">
        <v>41343</v>
      </c>
      <c r="F1615" s="96" t="s">
        <v>2783</v>
      </c>
    </row>
    <row r="1616" spans="1:6">
      <c r="A1616" s="94">
        <v>13900000</v>
      </c>
      <c r="B1616" s="94">
        <v>13700000</v>
      </c>
      <c r="C1616" s="94">
        <v>13940000</v>
      </c>
      <c r="D1616" s="94">
        <v>13730000</v>
      </c>
      <c r="E1616" s="95">
        <v>41342</v>
      </c>
      <c r="F1616" s="96" t="s">
        <v>2784</v>
      </c>
    </row>
    <row r="1617" spans="1:6">
      <c r="A1617" s="94">
        <v>14350000</v>
      </c>
      <c r="B1617" s="94">
        <v>13950000</v>
      </c>
      <c r="C1617" s="94">
        <v>14350000</v>
      </c>
      <c r="D1617" s="94">
        <v>14050000</v>
      </c>
      <c r="E1617" s="95">
        <v>41340</v>
      </c>
      <c r="F1617" s="96" t="s">
        <v>2785</v>
      </c>
    </row>
    <row r="1618" spans="1:6">
      <c r="A1618" s="94">
        <v>13850000</v>
      </c>
      <c r="B1618" s="94">
        <v>13780000</v>
      </c>
      <c r="C1618" s="94">
        <v>14210000</v>
      </c>
      <c r="D1618" s="94">
        <v>14180000</v>
      </c>
      <c r="E1618" s="95">
        <v>41339</v>
      </c>
      <c r="F1618" s="96" t="s">
        <v>2786</v>
      </c>
    </row>
    <row r="1619" spans="1:6">
      <c r="A1619" s="94">
        <v>13360000</v>
      </c>
      <c r="B1619" s="94">
        <v>13250000</v>
      </c>
      <c r="C1619" s="94">
        <v>13750000</v>
      </c>
      <c r="D1619" s="94">
        <v>13620000</v>
      </c>
      <c r="E1619" s="95">
        <v>41338</v>
      </c>
      <c r="F1619" s="96" t="s">
        <v>2787</v>
      </c>
    </row>
    <row r="1620" spans="1:6">
      <c r="A1620" s="94">
        <v>13300000</v>
      </c>
      <c r="B1620" s="94">
        <v>12800000</v>
      </c>
      <c r="C1620" s="94">
        <v>13300000</v>
      </c>
      <c r="D1620" s="94">
        <v>13160000</v>
      </c>
      <c r="E1620" s="95">
        <v>41337</v>
      </c>
      <c r="F1620" s="96" t="s">
        <v>2788</v>
      </c>
    </row>
    <row r="1621" spans="1:6">
      <c r="A1621" s="94">
        <v>13800000</v>
      </c>
      <c r="B1621" s="94">
        <v>13580000</v>
      </c>
      <c r="C1621" s="94">
        <v>13900000</v>
      </c>
      <c r="D1621" s="94">
        <v>13800000</v>
      </c>
      <c r="E1621" s="95">
        <v>41336</v>
      </c>
      <c r="F1621" s="96" t="s">
        <v>2789</v>
      </c>
    </row>
    <row r="1622" spans="1:6">
      <c r="A1622" s="94">
        <v>14350000</v>
      </c>
      <c r="B1622" s="94">
        <v>13950000</v>
      </c>
      <c r="C1622" s="94">
        <v>14360000</v>
      </c>
      <c r="D1622" s="94">
        <v>13950000</v>
      </c>
      <c r="E1622" s="95">
        <v>41335</v>
      </c>
      <c r="F1622" s="96" t="s">
        <v>2790</v>
      </c>
    </row>
    <row r="1623" spans="1:6">
      <c r="A1623" s="94">
        <v>14450000</v>
      </c>
      <c r="B1623" s="94">
        <v>14440000</v>
      </c>
      <c r="C1623" s="94">
        <v>14560000</v>
      </c>
      <c r="D1623" s="94">
        <v>14450000</v>
      </c>
      <c r="E1623" s="95">
        <v>41333</v>
      </c>
      <c r="F1623" s="96" t="s">
        <v>2791</v>
      </c>
    </row>
    <row r="1624" spans="1:6">
      <c r="A1624" s="94">
        <v>15000000</v>
      </c>
      <c r="B1624" s="94">
        <v>14450000</v>
      </c>
      <c r="C1624" s="94">
        <v>15000000</v>
      </c>
      <c r="D1624" s="94">
        <v>14620000</v>
      </c>
      <c r="E1624" s="95">
        <v>41332</v>
      </c>
      <c r="F1624" s="96" t="s">
        <v>2792</v>
      </c>
    </row>
    <row r="1625" spans="1:6">
      <c r="A1625" s="94">
        <v>14590000</v>
      </c>
      <c r="B1625" s="94">
        <v>14570000</v>
      </c>
      <c r="C1625" s="94">
        <v>14950000</v>
      </c>
      <c r="D1625" s="94">
        <v>14900000</v>
      </c>
      <c r="E1625" s="95">
        <v>41331</v>
      </c>
      <c r="F1625" s="96" t="s">
        <v>2793</v>
      </c>
    </row>
    <row r="1626" spans="1:6">
      <c r="A1626" s="94">
        <v>14250000</v>
      </c>
      <c r="B1626" s="94">
        <v>14250000</v>
      </c>
      <c r="C1626" s="94">
        <v>14450000</v>
      </c>
      <c r="D1626" s="94">
        <v>14420000</v>
      </c>
      <c r="E1626" s="95">
        <v>41330</v>
      </c>
      <c r="F1626" s="96" t="s">
        <v>2794</v>
      </c>
    </row>
    <row r="1627" spans="1:6">
      <c r="A1627" s="94">
        <v>14020000</v>
      </c>
      <c r="B1627" s="94">
        <v>13930000</v>
      </c>
      <c r="C1627" s="94">
        <v>14090000</v>
      </c>
      <c r="D1627" s="94">
        <v>14080000</v>
      </c>
      <c r="E1627" s="95">
        <v>41329</v>
      </c>
      <c r="F1627" s="96" t="s">
        <v>2795</v>
      </c>
    </row>
    <row r="1628" spans="1:6">
      <c r="A1628" s="94">
        <v>14170000</v>
      </c>
      <c r="B1628" s="94">
        <v>13970000</v>
      </c>
      <c r="C1628" s="94">
        <v>14200000</v>
      </c>
      <c r="D1628" s="94">
        <v>13980000</v>
      </c>
      <c r="E1628" s="95">
        <v>41328</v>
      </c>
      <c r="F1628" s="96" t="s">
        <v>2796</v>
      </c>
    </row>
    <row r="1629" spans="1:6">
      <c r="A1629" s="94">
        <v>13880000</v>
      </c>
      <c r="B1629" s="94">
        <v>13880000</v>
      </c>
      <c r="C1629" s="94">
        <v>13980000</v>
      </c>
      <c r="D1629" s="94">
        <v>13980000</v>
      </c>
      <c r="E1629" s="95">
        <v>41326</v>
      </c>
      <c r="F1629" s="96" t="s">
        <v>2797</v>
      </c>
    </row>
    <row r="1630" spans="1:6">
      <c r="A1630" s="94">
        <v>14220000</v>
      </c>
      <c r="B1630" s="94">
        <v>14050000</v>
      </c>
      <c r="C1630" s="94">
        <v>14250000</v>
      </c>
      <c r="D1630" s="94">
        <v>14130000</v>
      </c>
      <c r="E1630" s="95">
        <v>41325</v>
      </c>
      <c r="F1630" s="96" t="s">
        <v>2798</v>
      </c>
    </row>
    <row r="1631" spans="1:6">
      <c r="A1631" s="94">
        <v>14450000</v>
      </c>
      <c r="B1631" s="94">
        <v>14290000</v>
      </c>
      <c r="C1631" s="94">
        <v>14490000</v>
      </c>
      <c r="D1631" s="94">
        <v>14290000</v>
      </c>
      <c r="E1631" s="95">
        <v>41324</v>
      </c>
      <c r="F1631" s="96" t="s">
        <v>2799</v>
      </c>
    </row>
    <row r="1632" spans="1:6">
      <c r="A1632" s="94">
        <v>14150000</v>
      </c>
      <c r="B1632" s="94">
        <v>14130000</v>
      </c>
      <c r="C1632" s="94">
        <v>14330000</v>
      </c>
      <c r="D1632" s="94">
        <v>14260000</v>
      </c>
      <c r="E1632" s="95">
        <v>41323</v>
      </c>
      <c r="F1632" s="96" t="s">
        <v>2800</v>
      </c>
    </row>
    <row r="1633" spans="1:6">
      <c r="A1633" s="94">
        <v>14350000</v>
      </c>
      <c r="B1633" s="94">
        <v>14110000</v>
      </c>
      <c r="C1633" s="94">
        <v>14380000</v>
      </c>
      <c r="D1633" s="94">
        <v>14110000</v>
      </c>
      <c r="E1633" s="95">
        <v>41322</v>
      </c>
      <c r="F1633" s="96" t="s">
        <v>2801</v>
      </c>
    </row>
    <row r="1634" spans="1:6">
      <c r="A1634" s="94">
        <v>14300000</v>
      </c>
      <c r="B1634" s="94">
        <v>14160000</v>
      </c>
      <c r="C1634" s="94">
        <v>14430000</v>
      </c>
      <c r="D1634" s="94">
        <v>14370000</v>
      </c>
      <c r="E1634" s="95">
        <v>41321</v>
      </c>
      <c r="F1634" s="96" t="s">
        <v>2802</v>
      </c>
    </row>
    <row r="1635" spans="1:6">
      <c r="A1635" s="94">
        <v>14400000</v>
      </c>
      <c r="B1635" s="94">
        <v>14400000</v>
      </c>
      <c r="C1635" s="94">
        <v>14570000</v>
      </c>
      <c r="D1635" s="94">
        <v>14550000</v>
      </c>
      <c r="E1635" s="95">
        <v>41319</v>
      </c>
      <c r="F1635" s="96" t="s">
        <v>2803</v>
      </c>
    </row>
    <row r="1636" spans="1:6">
      <c r="A1636" s="94">
        <v>13700000</v>
      </c>
      <c r="B1636" s="94">
        <v>13600000</v>
      </c>
      <c r="C1636" s="94">
        <v>14250000</v>
      </c>
      <c r="D1636" s="94">
        <v>14150000</v>
      </c>
      <c r="E1636" s="95">
        <v>41318</v>
      </c>
      <c r="F1636" s="96" t="s">
        <v>2804</v>
      </c>
    </row>
    <row r="1637" spans="1:6">
      <c r="A1637" s="94">
        <v>14550000</v>
      </c>
      <c r="B1637" s="94">
        <v>14100000</v>
      </c>
      <c r="C1637" s="94">
        <v>14570000</v>
      </c>
      <c r="D1637" s="94">
        <v>14100000</v>
      </c>
      <c r="E1637" s="95">
        <v>41317</v>
      </c>
      <c r="F1637" s="96" t="s">
        <v>2805</v>
      </c>
    </row>
    <row r="1638" spans="1:6">
      <c r="A1638" s="94">
        <v>14800000</v>
      </c>
      <c r="B1638" s="94">
        <v>14300000</v>
      </c>
      <c r="C1638" s="94">
        <v>14800000</v>
      </c>
      <c r="D1638" s="94">
        <v>14350000</v>
      </c>
      <c r="E1638" s="95">
        <v>41316</v>
      </c>
      <c r="F1638" s="96" t="s">
        <v>2806</v>
      </c>
    </row>
    <row r="1639" spans="1:6">
      <c r="A1639" s="94">
        <v>14830000</v>
      </c>
      <c r="B1639" s="94">
        <v>14830000</v>
      </c>
      <c r="C1639" s="94">
        <v>14970000</v>
      </c>
      <c r="D1639" s="94">
        <v>14900000</v>
      </c>
      <c r="E1639" s="95">
        <v>41314</v>
      </c>
      <c r="F1639" s="96" t="s">
        <v>2807</v>
      </c>
    </row>
    <row r="1640" spans="1:6">
      <c r="A1640" s="94">
        <v>14980000</v>
      </c>
      <c r="B1640" s="94">
        <v>14700000</v>
      </c>
      <c r="C1640" s="94">
        <v>15330000</v>
      </c>
      <c r="D1640" s="94">
        <v>14900000</v>
      </c>
      <c r="E1640" s="95">
        <v>41312</v>
      </c>
      <c r="F1640" s="96" t="s">
        <v>2808</v>
      </c>
    </row>
    <row r="1641" spans="1:6">
      <c r="A1641" s="94">
        <v>14700000</v>
      </c>
      <c r="B1641" s="94">
        <v>14130000</v>
      </c>
      <c r="C1641" s="94">
        <v>14800000</v>
      </c>
      <c r="D1641" s="94">
        <v>14730000</v>
      </c>
      <c r="E1641" s="95">
        <v>41311</v>
      </c>
      <c r="F1641" s="96" t="s">
        <v>2809</v>
      </c>
    </row>
    <row r="1642" spans="1:6">
      <c r="A1642" s="94">
        <v>15650000</v>
      </c>
      <c r="B1642" s="94">
        <v>14900000</v>
      </c>
      <c r="C1642" s="94">
        <v>15690000</v>
      </c>
      <c r="D1642" s="94">
        <v>14900000</v>
      </c>
      <c r="E1642" s="95">
        <v>41310</v>
      </c>
      <c r="F1642" s="96" t="s">
        <v>2810</v>
      </c>
    </row>
    <row r="1643" spans="1:6">
      <c r="A1643" s="94">
        <v>15270000</v>
      </c>
      <c r="B1643" s="94">
        <v>15180000</v>
      </c>
      <c r="C1643" s="94">
        <v>15520000</v>
      </c>
      <c r="D1643" s="94">
        <v>15450000</v>
      </c>
      <c r="E1643" s="95">
        <v>41309</v>
      </c>
      <c r="F1643" s="96" t="s">
        <v>2811</v>
      </c>
    </row>
    <row r="1644" spans="1:6">
      <c r="A1644" s="94">
        <v>15100000</v>
      </c>
      <c r="B1644" s="94">
        <v>14900000</v>
      </c>
      <c r="C1644" s="94">
        <v>15300000</v>
      </c>
      <c r="D1644" s="94">
        <v>15300000</v>
      </c>
      <c r="E1644" s="95">
        <v>41308</v>
      </c>
      <c r="F1644" s="96" t="s">
        <v>2812</v>
      </c>
    </row>
    <row r="1645" spans="1:6">
      <c r="A1645" s="94">
        <v>15620000</v>
      </c>
      <c r="B1645" s="94">
        <v>14850000</v>
      </c>
      <c r="C1645" s="94">
        <v>15620000</v>
      </c>
      <c r="D1645" s="94">
        <v>15300000</v>
      </c>
      <c r="E1645" s="95">
        <v>41307</v>
      </c>
      <c r="F1645" s="96" t="s">
        <v>2813</v>
      </c>
    </row>
    <row r="1646" spans="1:6">
      <c r="A1646" s="94">
        <v>15250000</v>
      </c>
      <c r="B1646" s="94">
        <v>15250000</v>
      </c>
      <c r="C1646" s="94">
        <v>15600000</v>
      </c>
      <c r="D1646" s="94">
        <v>15600000</v>
      </c>
      <c r="E1646" s="95">
        <v>41305</v>
      </c>
      <c r="F1646" s="96" t="s">
        <v>2814</v>
      </c>
    </row>
    <row r="1647" spans="1:6">
      <c r="A1647" s="94">
        <v>14700000</v>
      </c>
      <c r="B1647" s="94">
        <v>14700000</v>
      </c>
      <c r="C1647" s="94">
        <v>15000000</v>
      </c>
      <c r="D1647" s="94">
        <v>14980000</v>
      </c>
      <c r="E1647" s="95">
        <v>41304</v>
      </c>
      <c r="F1647" s="96" t="s">
        <v>2815</v>
      </c>
    </row>
    <row r="1648" spans="1:6">
      <c r="A1648" s="94">
        <v>14620000</v>
      </c>
      <c r="B1648" s="94">
        <v>14550000</v>
      </c>
      <c r="C1648" s="94">
        <v>14680000</v>
      </c>
      <c r="D1648" s="94">
        <v>14670000</v>
      </c>
      <c r="E1648" s="95">
        <v>41302</v>
      </c>
      <c r="F1648" s="96" t="s">
        <v>2816</v>
      </c>
    </row>
    <row r="1649" spans="1:6">
      <c r="A1649" s="94">
        <v>14580000</v>
      </c>
      <c r="B1649" s="94">
        <v>14470000</v>
      </c>
      <c r="C1649" s="94">
        <v>14730000</v>
      </c>
      <c r="D1649" s="94">
        <v>14470000</v>
      </c>
      <c r="E1649" s="95">
        <v>41301</v>
      </c>
      <c r="F1649" s="96" t="s">
        <v>2817</v>
      </c>
    </row>
    <row r="1650" spans="1:6">
      <c r="A1650" s="94">
        <v>13970000</v>
      </c>
      <c r="B1650" s="94">
        <v>13950000</v>
      </c>
      <c r="C1650" s="94">
        <v>14350000</v>
      </c>
      <c r="D1650" s="94">
        <v>14340000</v>
      </c>
      <c r="E1650" s="95">
        <v>41300</v>
      </c>
      <c r="F1650" s="96" t="s">
        <v>2818</v>
      </c>
    </row>
    <row r="1651" spans="1:6">
      <c r="A1651" s="94">
        <v>14000000</v>
      </c>
      <c r="B1651" s="94">
        <v>13900000</v>
      </c>
      <c r="C1651" s="94">
        <v>14030000</v>
      </c>
      <c r="D1651" s="94">
        <v>13920000</v>
      </c>
      <c r="E1651" s="95">
        <v>41298</v>
      </c>
      <c r="F1651" s="96" t="s">
        <v>2819</v>
      </c>
    </row>
    <row r="1652" spans="1:6">
      <c r="A1652" s="94">
        <v>14220000</v>
      </c>
      <c r="B1652" s="94">
        <v>14150000</v>
      </c>
      <c r="C1652" s="94">
        <v>14290000</v>
      </c>
      <c r="D1652" s="94">
        <v>14180000</v>
      </c>
      <c r="E1652" s="95">
        <v>41297</v>
      </c>
      <c r="F1652" s="96" t="s">
        <v>2820</v>
      </c>
    </row>
    <row r="1653" spans="1:6">
      <c r="A1653" s="94">
        <v>14600000</v>
      </c>
      <c r="B1653" s="94">
        <v>14100000</v>
      </c>
      <c r="C1653" s="94">
        <v>14600000</v>
      </c>
      <c r="D1653" s="94">
        <v>14340000</v>
      </c>
      <c r="E1653" s="95">
        <v>41296</v>
      </c>
      <c r="F1653" s="96" t="s">
        <v>2821</v>
      </c>
    </row>
    <row r="1654" spans="1:6">
      <c r="A1654" s="94">
        <v>14100000</v>
      </c>
      <c r="B1654" s="94">
        <v>14070000</v>
      </c>
      <c r="C1654" s="94">
        <v>14350000</v>
      </c>
      <c r="D1654" s="94">
        <v>14290000</v>
      </c>
      <c r="E1654" s="95">
        <v>41295</v>
      </c>
      <c r="F1654" s="96" t="s">
        <v>2822</v>
      </c>
    </row>
    <row r="1655" spans="1:6">
      <c r="A1655" s="94">
        <v>13620000</v>
      </c>
      <c r="B1655" s="94">
        <v>13600000</v>
      </c>
      <c r="C1655" s="94">
        <v>13950000</v>
      </c>
      <c r="D1655" s="94">
        <v>13860000</v>
      </c>
      <c r="E1655" s="95">
        <v>41294</v>
      </c>
      <c r="F1655" s="96" t="s">
        <v>2823</v>
      </c>
    </row>
    <row r="1656" spans="1:6">
      <c r="A1656" s="94">
        <v>13280000</v>
      </c>
      <c r="B1656" s="94">
        <v>13280000</v>
      </c>
      <c r="C1656" s="94">
        <v>13600000</v>
      </c>
      <c r="D1656" s="94">
        <v>13500000</v>
      </c>
      <c r="E1656" s="95">
        <v>41293</v>
      </c>
      <c r="F1656" s="96" t="s">
        <v>2824</v>
      </c>
    </row>
    <row r="1657" spans="1:6">
      <c r="A1657" s="94">
        <v>13180000</v>
      </c>
      <c r="B1657" s="94">
        <v>13180000</v>
      </c>
      <c r="C1657" s="94">
        <v>13200000</v>
      </c>
      <c r="D1657" s="94">
        <v>13190000</v>
      </c>
      <c r="E1657" s="95">
        <v>41291</v>
      </c>
      <c r="F1657" s="96" t="s">
        <v>2825</v>
      </c>
    </row>
    <row r="1658" spans="1:6">
      <c r="A1658" s="94">
        <v>13250000</v>
      </c>
      <c r="B1658" s="94">
        <v>13170000</v>
      </c>
      <c r="C1658" s="94">
        <v>13250000</v>
      </c>
      <c r="D1658" s="94">
        <v>13200000</v>
      </c>
      <c r="E1658" s="95">
        <v>41290</v>
      </c>
      <c r="F1658" s="96" t="s">
        <v>2826</v>
      </c>
    </row>
    <row r="1659" spans="1:6">
      <c r="A1659" s="94">
        <v>13030000</v>
      </c>
      <c r="B1659" s="94">
        <v>13030000</v>
      </c>
      <c r="C1659" s="94">
        <v>13280000</v>
      </c>
      <c r="D1659" s="94">
        <v>13270000</v>
      </c>
      <c r="E1659" s="95">
        <v>41289</v>
      </c>
      <c r="F1659" s="96" t="s">
        <v>2827</v>
      </c>
    </row>
    <row r="1660" spans="1:6">
      <c r="A1660" s="94">
        <v>13000000</v>
      </c>
      <c r="B1660" s="94">
        <v>12990000</v>
      </c>
      <c r="C1660" s="94">
        <v>13040000</v>
      </c>
      <c r="D1660" s="94">
        <v>13040000</v>
      </c>
      <c r="E1660" s="95">
        <v>41288</v>
      </c>
      <c r="F1660" s="96" t="s">
        <v>2828</v>
      </c>
    </row>
    <row r="1661" spans="1:6">
      <c r="A1661" s="94">
        <v>13020000</v>
      </c>
      <c r="B1661" s="94">
        <v>12970000</v>
      </c>
      <c r="C1661" s="94">
        <v>13050000</v>
      </c>
      <c r="D1661" s="94">
        <v>12980000</v>
      </c>
      <c r="E1661" s="95">
        <v>41287</v>
      </c>
      <c r="F1661" s="96" t="s">
        <v>2829</v>
      </c>
    </row>
    <row r="1662" spans="1:6">
      <c r="A1662" s="94">
        <v>12950000</v>
      </c>
      <c r="B1662" s="94">
        <v>12930000</v>
      </c>
      <c r="C1662" s="94">
        <v>12980000</v>
      </c>
      <c r="D1662" s="94">
        <v>12970000</v>
      </c>
      <c r="E1662" s="95">
        <v>41284</v>
      </c>
      <c r="F1662" s="96" t="s">
        <v>2830</v>
      </c>
    </row>
    <row r="1663" spans="1:6">
      <c r="A1663" s="94">
        <v>13030000</v>
      </c>
      <c r="B1663" s="94">
        <v>12890000</v>
      </c>
      <c r="C1663" s="94">
        <v>13050000</v>
      </c>
      <c r="D1663" s="94">
        <v>12920000</v>
      </c>
      <c r="E1663" s="95">
        <v>41283</v>
      </c>
      <c r="F1663" s="96" t="s">
        <v>2831</v>
      </c>
    </row>
    <row r="1664" spans="1:6">
      <c r="A1664" s="94">
        <v>12670000</v>
      </c>
      <c r="B1664" s="94">
        <v>12670000</v>
      </c>
      <c r="C1664" s="94">
        <v>12900000</v>
      </c>
      <c r="D1664" s="94">
        <v>12900000</v>
      </c>
      <c r="E1664" s="95">
        <v>41282</v>
      </c>
      <c r="F1664" s="96" t="s">
        <v>2832</v>
      </c>
    </row>
    <row r="1665" spans="1:6">
      <c r="A1665" s="94">
        <v>12760000</v>
      </c>
      <c r="B1665" s="94">
        <v>12720000</v>
      </c>
      <c r="C1665" s="94">
        <v>12780000</v>
      </c>
      <c r="D1665" s="94">
        <v>12740000</v>
      </c>
      <c r="E1665" s="95">
        <v>41281</v>
      </c>
      <c r="F1665" s="96" t="s">
        <v>2833</v>
      </c>
    </row>
    <row r="1666" spans="1:6">
      <c r="A1666" s="94">
        <v>12770000</v>
      </c>
      <c r="B1666" s="94">
        <v>12720000</v>
      </c>
      <c r="C1666" s="94">
        <v>12770000</v>
      </c>
      <c r="D1666" s="94">
        <v>12750000</v>
      </c>
      <c r="E1666" s="95">
        <v>41280</v>
      </c>
      <c r="F1666" s="96" t="s">
        <v>2834</v>
      </c>
    </row>
    <row r="1667" spans="1:6">
      <c r="A1667" s="94">
        <v>12760000</v>
      </c>
      <c r="B1667" s="94">
        <v>12760000</v>
      </c>
      <c r="C1667" s="94">
        <v>12760000</v>
      </c>
      <c r="D1667" s="94">
        <v>12760000</v>
      </c>
      <c r="E1667" s="95">
        <v>41279</v>
      </c>
      <c r="F1667" s="96" t="s">
        <v>2835</v>
      </c>
    </row>
    <row r="1668" spans="1:6">
      <c r="A1668" s="94">
        <v>12880000</v>
      </c>
      <c r="B1668" s="94">
        <v>12800000</v>
      </c>
      <c r="C1668" s="94">
        <v>12900000</v>
      </c>
      <c r="D1668" s="94">
        <v>12900000</v>
      </c>
      <c r="E1668" s="95">
        <v>41276</v>
      </c>
      <c r="F1668" s="96" t="s">
        <v>2836</v>
      </c>
    </row>
    <row r="1669" spans="1:6">
      <c r="A1669" s="94">
        <v>12690000</v>
      </c>
      <c r="B1669" s="94">
        <v>12650000</v>
      </c>
      <c r="C1669" s="94">
        <v>12710000</v>
      </c>
      <c r="D1669" s="94">
        <v>12700000</v>
      </c>
      <c r="E1669" s="95">
        <v>41275</v>
      </c>
      <c r="F1669" s="96" t="s">
        <v>2837</v>
      </c>
    </row>
    <row r="1670" spans="1:6">
      <c r="A1670" s="94">
        <v>12820000</v>
      </c>
      <c r="B1670" s="94">
        <v>12670000</v>
      </c>
      <c r="C1670" s="94">
        <v>12850000</v>
      </c>
      <c r="D1670" s="94">
        <v>12700000</v>
      </c>
      <c r="E1670" s="95">
        <v>41274</v>
      </c>
      <c r="F1670" s="96" t="s">
        <v>2838</v>
      </c>
    </row>
    <row r="1671" spans="1:6">
      <c r="A1671" s="94">
        <v>12300000</v>
      </c>
      <c r="B1671" s="94">
        <v>12250000</v>
      </c>
      <c r="C1671" s="94">
        <v>12600000</v>
      </c>
      <c r="D1671" s="94">
        <v>12600000</v>
      </c>
      <c r="E1671" s="95">
        <v>41273</v>
      </c>
      <c r="F1671" s="96" t="s">
        <v>2839</v>
      </c>
    </row>
    <row r="1672" spans="1:6">
      <c r="A1672" s="94">
        <v>12600000</v>
      </c>
      <c r="B1672" s="94">
        <v>12460000</v>
      </c>
      <c r="C1672" s="94">
        <v>12600000</v>
      </c>
      <c r="D1672" s="94">
        <v>12460000</v>
      </c>
      <c r="E1672" s="95">
        <v>41272</v>
      </c>
      <c r="F1672" s="96" t="s">
        <v>2840</v>
      </c>
    </row>
    <row r="1673" spans="1:6">
      <c r="A1673" s="94">
        <v>12850000</v>
      </c>
      <c r="B1673" s="94">
        <v>12830000</v>
      </c>
      <c r="C1673" s="94">
        <v>12880000</v>
      </c>
      <c r="D1673" s="94">
        <v>12870000</v>
      </c>
      <c r="E1673" s="95">
        <v>41270</v>
      </c>
      <c r="F1673" s="96" t="s">
        <v>2841</v>
      </c>
    </row>
    <row r="1674" spans="1:6">
      <c r="A1674" s="94">
        <v>12780000</v>
      </c>
      <c r="B1674" s="94">
        <v>12780000</v>
      </c>
      <c r="C1674" s="94">
        <v>12850000</v>
      </c>
      <c r="D1674" s="94">
        <v>12800000</v>
      </c>
      <c r="E1674" s="95">
        <v>41269</v>
      </c>
      <c r="F1674" s="96" t="s">
        <v>2842</v>
      </c>
    </row>
    <row r="1675" spans="1:6">
      <c r="A1675" s="94">
        <v>13590000</v>
      </c>
      <c r="B1675" s="94">
        <v>12930000</v>
      </c>
      <c r="C1675" s="94">
        <v>13600000</v>
      </c>
      <c r="D1675" s="94">
        <v>12930000</v>
      </c>
      <c r="E1675" s="95">
        <v>41268</v>
      </c>
      <c r="F1675" s="96" t="s">
        <v>2843</v>
      </c>
    </row>
    <row r="1676" spans="1:6">
      <c r="A1676" s="94">
        <v>13100000</v>
      </c>
      <c r="B1676" s="94">
        <v>13000000</v>
      </c>
      <c r="C1676" s="94">
        <v>13650000</v>
      </c>
      <c r="D1676" s="94">
        <v>13460000</v>
      </c>
      <c r="E1676" s="95">
        <v>41267</v>
      </c>
      <c r="F1676" s="96" t="s">
        <v>2844</v>
      </c>
    </row>
    <row r="1677" spans="1:6">
      <c r="A1677" s="94">
        <v>12500000</v>
      </c>
      <c r="B1677" s="94">
        <v>12490000</v>
      </c>
      <c r="C1677" s="94">
        <v>12830000</v>
      </c>
      <c r="D1677" s="94">
        <v>12830000</v>
      </c>
      <c r="E1677" s="95">
        <v>41266</v>
      </c>
      <c r="F1677" s="96" t="s">
        <v>2845</v>
      </c>
    </row>
    <row r="1678" spans="1:6">
      <c r="A1678" s="94">
        <v>12380000</v>
      </c>
      <c r="B1678" s="94">
        <v>12330000</v>
      </c>
      <c r="C1678" s="94">
        <v>12440000</v>
      </c>
      <c r="D1678" s="94">
        <v>12430000</v>
      </c>
      <c r="E1678" s="95">
        <v>41265</v>
      </c>
      <c r="F1678" s="96" t="s">
        <v>2846</v>
      </c>
    </row>
    <row r="1679" spans="1:6">
      <c r="A1679" s="94">
        <v>12210000</v>
      </c>
      <c r="B1679" s="94">
        <v>12210000</v>
      </c>
      <c r="C1679" s="94">
        <v>12310000</v>
      </c>
      <c r="D1679" s="94">
        <v>12290000</v>
      </c>
      <c r="E1679" s="95">
        <v>41263</v>
      </c>
      <c r="F1679" s="96" t="s">
        <v>2847</v>
      </c>
    </row>
    <row r="1680" spans="1:6">
      <c r="A1680" s="94">
        <v>12400000</v>
      </c>
      <c r="B1680" s="94">
        <v>12190000</v>
      </c>
      <c r="C1680" s="94">
        <v>12400000</v>
      </c>
      <c r="D1680" s="94">
        <v>12200000</v>
      </c>
      <c r="E1680" s="95">
        <v>41262</v>
      </c>
      <c r="F1680" s="96" t="s">
        <v>2848</v>
      </c>
    </row>
    <row r="1681" spans="1:6">
      <c r="A1681" s="94">
        <v>12130000</v>
      </c>
      <c r="B1681" s="94">
        <v>12130000</v>
      </c>
      <c r="C1681" s="94">
        <v>12500000</v>
      </c>
      <c r="D1681" s="94">
        <v>12500000</v>
      </c>
      <c r="E1681" s="95">
        <v>41261</v>
      </c>
      <c r="F1681" s="96" t="s">
        <v>2849</v>
      </c>
    </row>
    <row r="1682" spans="1:6">
      <c r="A1682" s="94">
        <v>11990000</v>
      </c>
      <c r="B1682" s="94">
        <v>11970000</v>
      </c>
      <c r="C1682" s="94">
        <v>12050000</v>
      </c>
      <c r="D1682" s="94">
        <v>12050000</v>
      </c>
      <c r="E1682" s="95">
        <v>41260</v>
      </c>
      <c r="F1682" s="96" t="s">
        <v>2850</v>
      </c>
    </row>
    <row r="1683" spans="1:6">
      <c r="A1683" s="94">
        <v>11960000</v>
      </c>
      <c r="B1683" s="94">
        <v>11930000</v>
      </c>
      <c r="C1683" s="94">
        <v>11960000</v>
      </c>
      <c r="D1683" s="94">
        <v>11950000</v>
      </c>
      <c r="E1683" s="95">
        <v>41259</v>
      </c>
      <c r="F1683" s="96" t="s">
        <v>2851</v>
      </c>
    </row>
    <row r="1684" spans="1:6">
      <c r="A1684" s="94">
        <v>11920000</v>
      </c>
      <c r="B1684" s="94">
        <v>11880000</v>
      </c>
      <c r="C1684" s="94">
        <v>12000000</v>
      </c>
      <c r="D1684" s="94">
        <v>11900000</v>
      </c>
      <c r="E1684" s="95">
        <v>41258</v>
      </c>
      <c r="F1684" s="96" t="s">
        <v>2852</v>
      </c>
    </row>
    <row r="1685" spans="1:6">
      <c r="A1685" s="94">
        <v>12050000</v>
      </c>
      <c r="B1685" s="94">
        <v>12010000</v>
      </c>
      <c r="C1685" s="94">
        <v>12130000</v>
      </c>
      <c r="D1685" s="94">
        <v>12080000</v>
      </c>
      <c r="E1685" s="95">
        <v>41256</v>
      </c>
      <c r="F1685" s="96" t="s">
        <v>2853</v>
      </c>
    </row>
    <row r="1686" spans="1:6">
      <c r="A1686" s="94">
        <v>12020000</v>
      </c>
      <c r="B1686" s="94">
        <v>12010000</v>
      </c>
      <c r="C1686" s="94">
        <v>12140000</v>
      </c>
      <c r="D1686" s="94">
        <v>12140000</v>
      </c>
      <c r="E1686" s="95">
        <v>41255</v>
      </c>
      <c r="F1686" s="96" t="s">
        <v>2854</v>
      </c>
    </row>
    <row r="1687" spans="1:6">
      <c r="A1687" s="94">
        <v>12040000</v>
      </c>
      <c r="B1687" s="94">
        <v>11940000</v>
      </c>
      <c r="C1687" s="94">
        <v>12060000</v>
      </c>
      <c r="D1687" s="94">
        <v>11980000</v>
      </c>
      <c r="E1687" s="95">
        <v>41254</v>
      </c>
      <c r="F1687" s="96" t="s">
        <v>2855</v>
      </c>
    </row>
    <row r="1688" spans="1:6">
      <c r="A1688" s="94">
        <v>11810000</v>
      </c>
      <c r="B1688" s="94">
        <v>11810000</v>
      </c>
      <c r="C1688" s="94">
        <v>12050000</v>
      </c>
      <c r="D1688" s="94">
        <v>12050000</v>
      </c>
      <c r="E1688" s="95">
        <v>41253</v>
      </c>
      <c r="F1688" s="96" t="s">
        <v>2856</v>
      </c>
    </row>
    <row r="1689" spans="1:6">
      <c r="A1689" s="94">
        <v>11700000</v>
      </c>
      <c r="B1689" s="94">
        <v>11670000</v>
      </c>
      <c r="C1689" s="94">
        <v>11870000</v>
      </c>
      <c r="D1689" s="94">
        <v>11850000</v>
      </c>
      <c r="E1689" s="95">
        <v>41252</v>
      </c>
      <c r="F1689" s="96" t="s">
        <v>2857</v>
      </c>
    </row>
    <row r="1690" spans="1:6">
      <c r="A1690" s="94">
        <v>12080000</v>
      </c>
      <c r="B1690" s="94">
        <v>11780000</v>
      </c>
      <c r="C1690" s="94">
        <v>12080000</v>
      </c>
      <c r="D1690" s="94">
        <v>11800000</v>
      </c>
      <c r="E1690" s="95">
        <v>41251</v>
      </c>
      <c r="F1690" s="96" t="s">
        <v>2858</v>
      </c>
    </row>
    <row r="1691" spans="1:6">
      <c r="A1691" s="94">
        <v>12100000</v>
      </c>
      <c r="B1691" s="94">
        <v>12010000</v>
      </c>
      <c r="C1691" s="94">
        <v>12100000</v>
      </c>
      <c r="D1691" s="94">
        <v>12020000</v>
      </c>
      <c r="E1691" s="95">
        <v>41249</v>
      </c>
      <c r="F1691" s="96" t="s">
        <v>2859</v>
      </c>
    </row>
    <row r="1692" spans="1:6">
      <c r="A1692" s="94">
        <v>11800000</v>
      </c>
      <c r="B1692" s="94">
        <v>11800000</v>
      </c>
      <c r="C1692" s="94">
        <v>11930000</v>
      </c>
      <c r="D1692" s="94">
        <v>11930000</v>
      </c>
      <c r="E1692" s="95">
        <v>41248</v>
      </c>
      <c r="F1692" s="96" t="s">
        <v>2860</v>
      </c>
    </row>
    <row r="1693" spans="1:6">
      <c r="A1693" s="94">
        <v>11780000</v>
      </c>
      <c r="B1693" s="94">
        <v>11720000</v>
      </c>
      <c r="C1693" s="94">
        <v>11800000</v>
      </c>
      <c r="D1693" s="94">
        <v>11720000</v>
      </c>
      <c r="E1693" s="95">
        <v>41247</v>
      </c>
      <c r="F1693" s="96" t="s">
        <v>2861</v>
      </c>
    </row>
    <row r="1694" spans="1:6">
      <c r="A1694" s="94">
        <v>11830000</v>
      </c>
      <c r="B1694" s="94">
        <v>11790000</v>
      </c>
      <c r="C1694" s="94">
        <v>11840000</v>
      </c>
      <c r="D1694" s="94">
        <v>11820000</v>
      </c>
      <c r="E1694" s="95">
        <v>41246</v>
      </c>
      <c r="F1694" s="96" t="s">
        <v>2862</v>
      </c>
    </row>
    <row r="1695" spans="1:6">
      <c r="A1695" s="94">
        <v>11850000</v>
      </c>
      <c r="B1695" s="94">
        <v>11770000</v>
      </c>
      <c r="C1695" s="94">
        <v>11860000</v>
      </c>
      <c r="D1695" s="94">
        <v>11770000</v>
      </c>
      <c r="E1695" s="95">
        <v>41245</v>
      </c>
      <c r="F1695" s="96" t="s">
        <v>2863</v>
      </c>
    </row>
    <row r="1696" spans="1:6">
      <c r="A1696" s="94">
        <v>11750000</v>
      </c>
      <c r="B1696" s="94">
        <v>11750000</v>
      </c>
      <c r="C1696" s="94">
        <v>12000000</v>
      </c>
      <c r="D1696" s="94">
        <v>11950000</v>
      </c>
      <c r="E1696" s="95">
        <v>41244</v>
      </c>
      <c r="F1696" s="96" t="s">
        <v>2864</v>
      </c>
    </row>
    <row r="1697" spans="1:6">
      <c r="A1697" s="94">
        <v>11440000</v>
      </c>
      <c r="B1697" s="94">
        <v>11430000</v>
      </c>
      <c r="C1697" s="94">
        <v>11530000</v>
      </c>
      <c r="D1697" s="94">
        <v>11510000</v>
      </c>
      <c r="E1697" s="95">
        <v>41242</v>
      </c>
      <c r="F1697" s="96" t="s">
        <v>2865</v>
      </c>
    </row>
    <row r="1698" spans="1:6">
      <c r="A1698" s="94">
        <v>11500000</v>
      </c>
      <c r="B1698" s="94">
        <v>11400000</v>
      </c>
      <c r="C1698" s="94">
        <v>11600000</v>
      </c>
      <c r="D1698" s="94">
        <v>11410000</v>
      </c>
      <c r="E1698" s="95">
        <v>41241</v>
      </c>
      <c r="F1698" s="96" t="s">
        <v>2866</v>
      </c>
    </row>
    <row r="1699" spans="1:6">
      <c r="A1699" s="94">
        <v>11350000</v>
      </c>
      <c r="B1699" s="94">
        <v>11300000</v>
      </c>
      <c r="C1699" s="94">
        <v>11500000</v>
      </c>
      <c r="D1699" s="94">
        <v>11430000</v>
      </c>
      <c r="E1699" s="95">
        <v>41240</v>
      </c>
      <c r="F1699" s="96" t="s">
        <v>2867</v>
      </c>
    </row>
    <row r="1700" spans="1:6">
      <c r="A1700" s="94">
        <v>11700000</v>
      </c>
      <c r="B1700" s="94">
        <v>11570000</v>
      </c>
      <c r="C1700" s="94">
        <v>11700000</v>
      </c>
      <c r="D1700" s="94">
        <v>11600000</v>
      </c>
      <c r="E1700" s="95">
        <v>41239</v>
      </c>
      <c r="F1700" s="96" t="s">
        <v>2868</v>
      </c>
    </row>
    <row r="1701" spans="1:6">
      <c r="A1701" s="94">
        <v>11550000</v>
      </c>
      <c r="B1701" s="94">
        <v>11500000</v>
      </c>
      <c r="C1701" s="94">
        <v>11550000</v>
      </c>
      <c r="D1701" s="94">
        <v>11550000</v>
      </c>
      <c r="E1701" s="95">
        <v>41235</v>
      </c>
      <c r="F1701" s="96" t="s">
        <v>2869</v>
      </c>
    </row>
    <row r="1702" spans="1:6">
      <c r="A1702" s="94">
        <v>10820000</v>
      </c>
      <c r="B1702" s="94">
        <v>10820000</v>
      </c>
      <c r="C1702" s="94">
        <v>11700000</v>
      </c>
      <c r="D1702" s="94">
        <v>11280000</v>
      </c>
      <c r="E1702" s="95">
        <v>41234</v>
      </c>
      <c r="F1702" s="96" t="s">
        <v>2870</v>
      </c>
    </row>
    <row r="1703" spans="1:6">
      <c r="A1703" s="94">
        <v>10700000</v>
      </c>
      <c r="B1703" s="94">
        <v>10490000</v>
      </c>
      <c r="C1703" s="94">
        <v>10980000</v>
      </c>
      <c r="D1703" s="94">
        <v>10770000</v>
      </c>
      <c r="E1703" s="95">
        <v>41233</v>
      </c>
      <c r="F1703" s="96" t="s">
        <v>2871</v>
      </c>
    </row>
    <row r="1704" spans="1:6">
      <c r="A1704" s="94">
        <v>11160000</v>
      </c>
      <c r="B1704" s="94">
        <v>10930000</v>
      </c>
      <c r="C1704" s="94">
        <v>11160000</v>
      </c>
      <c r="D1704" s="94">
        <v>10940000</v>
      </c>
      <c r="E1704" s="95">
        <v>41232</v>
      </c>
      <c r="F1704" s="96" t="s">
        <v>2872</v>
      </c>
    </row>
    <row r="1705" spans="1:6">
      <c r="A1705" s="94">
        <v>11180000</v>
      </c>
      <c r="B1705" s="94">
        <v>10920000</v>
      </c>
      <c r="C1705" s="94">
        <v>11180000</v>
      </c>
      <c r="D1705" s="94">
        <v>11080000</v>
      </c>
      <c r="E1705" s="95">
        <v>41231</v>
      </c>
      <c r="F1705" s="96" t="s">
        <v>2873</v>
      </c>
    </row>
    <row r="1706" spans="1:6">
      <c r="A1706" s="94">
        <v>11580000</v>
      </c>
      <c r="B1706" s="94">
        <v>11300000</v>
      </c>
      <c r="C1706" s="94">
        <v>11650000</v>
      </c>
      <c r="D1706" s="94">
        <v>11300000</v>
      </c>
      <c r="E1706" s="95">
        <v>41230</v>
      </c>
      <c r="F1706" s="96" t="s">
        <v>2874</v>
      </c>
    </row>
    <row r="1707" spans="1:6">
      <c r="A1707" s="94">
        <v>11630000</v>
      </c>
      <c r="B1707" s="94">
        <v>11630000</v>
      </c>
      <c r="C1707" s="94">
        <v>11630000</v>
      </c>
      <c r="D1707" s="94">
        <v>11630000</v>
      </c>
      <c r="E1707" s="95">
        <v>41228</v>
      </c>
      <c r="F1707" s="96" t="s">
        <v>2875</v>
      </c>
    </row>
    <row r="1708" spans="1:6">
      <c r="A1708" s="94">
        <v>11700000</v>
      </c>
      <c r="B1708" s="94">
        <v>11620000</v>
      </c>
      <c r="C1708" s="94">
        <v>11900000</v>
      </c>
      <c r="D1708" s="94">
        <v>11720000</v>
      </c>
      <c r="E1708" s="95">
        <v>41227</v>
      </c>
      <c r="F1708" s="96" t="s">
        <v>2876</v>
      </c>
    </row>
    <row r="1709" spans="1:6">
      <c r="A1709" s="94">
        <v>12000000</v>
      </c>
      <c r="B1709" s="94">
        <v>11600000</v>
      </c>
      <c r="C1709" s="94">
        <v>12000000</v>
      </c>
      <c r="D1709" s="94">
        <v>11600000</v>
      </c>
      <c r="E1709" s="95">
        <v>41226</v>
      </c>
      <c r="F1709" s="96" t="s">
        <v>2877</v>
      </c>
    </row>
    <row r="1710" spans="1:6">
      <c r="A1710" s="94">
        <v>12150000</v>
      </c>
      <c r="B1710" s="94">
        <v>12100000</v>
      </c>
      <c r="C1710" s="94">
        <v>12200000</v>
      </c>
      <c r="D1710" s="94">
        <v>12100000</v>
      </c>
      <c r="E1710" s="95">
        <v>41225</v>
      </c>
      <c r="F1710" s="96" t="s">
        <v>2878</v>
      </c>
    </row>
    <row r="1711" spans="1:6">
      <c r="A1711" s="94">
        <v>12230000</v>
      </c>
      <c r="B1711" s="94">
        <v>12100000</v>
      </c>
      <c r="C1711" s="94">
        <v>12280000</v>
      </c>
      <c r="D1711" s="94">
        <v>12210000</v>
      </c>
      <c r="E1711" s="95">
        <v>41224</v>
      </c>
      <c r="F1711" s="96" t="s">
        <v>2879</v>
      </c>
    </row>
    <row r="1712" spans="1:6">
      <c r="A1712" s="94">
        <v>12300000</v>
      </c>
      <c r="B1712" s="94">
        <v>12200000</v>
      </c>
      <c r="C1712" s="94">
        <v>12370000</v>
      </c>
      <c r="D1712" s="94">
        <v>12320000</v>
      </c>
      <c r="E1712" s="95">
        <v>41223</v>
      </c>
      <c r="F1712" s="96" t="s">
        <v>2880</v>
      </c>
    </row>
    <row r="1713" spans="1:6">
      <c r="A1713" s="94">
        <v>12250000</v>
      </c>
      <c r="B1713" s="94">
        <v>12170000</v>
      </c>
      <c r="C1713" s="94">
        <v>12250000</v>
      </c>
      <c r="D1713" s="94">
        <v>12170000</v>
      </c>
      <c r="E1713" s="95">
        <v>41221</v>
      </c>
      <c r="F1713" s="96" t="s">
        <v>2881</v>
      </c>
    </row>
    <row r="1714" spans="1:6">
      <c r="A1714" s="94">
        <v>12880000</v>
      </c>
      <c r="B1714" s="94">
        <v>12350000</v>
      </c>
      <c r="C1714" s="94">
        <v>12900000</v>
      </c>
      <c r="D1714" s="94">
        <v>12420000</v>
      </c>
      <c r="E1714" s="95">
        <v>41220</v>
      </c>
      <c r="F1714" s="96" t="s">
        <v>2882</v>
      </c>
    </row>
    <row r="1715" spans="1:6">
      <c r="A1715" s="94">
        <v>12200000</v>
      </c>
      <c r="B1715" s="94">
        <v>12200000</v>
      </c>
      <c r="C1715" s="94">
        <v>12600000</v>
      </c>
      <c r="D1715" s="94">
        <v>12450000</v>
      </c>
      <c r="E1715" s="95">
        <v>41219</v>
      </c>
      <c r="F1715" s="96" t="s">
        <v>2883</v>
      </c>
    </row>
    <row r="1716" spans="1:6">
      <c r="A1716" s="94">
        <v>11390000</v>
      </c>
      <c r="B1716" s="94">
        <v>11220000</v>
      </c>
      <c r="C1716" s="94">
        <v>12280000</v>
      </c>
      <c r="D1716" s="94">
        <v>11930000</v>
      </c>
      <c r="E1716" s="95">
        <v>41218</v>
      </c>
      <c r="F1716" s="96" t="s">
        <v>2884</v>
      </c>
    </row>
    <row r="1717" spans="1:6">
      <c r="A1717" s="94">
        <v>12300000</v>
      </c>
      <c r="B1717" s="94">
        <v>11450000</v>
      </c>
      <c r="C1717" s="94">
        <v>12300000</v>
      </c>
      <c r="D1717" s="94">
        <v>11450000</v>
      </c>
      <c r="E1717" s="95">
        <v>41217</v>
      </c>
      <c r="F1717" s="96" t="s">
        <v>2885</v>
      </c>
    </row>
    <row r="1718" spans="1:6">
      <c r="A1718" s="94">
        <v>12650000</v>
      </c>
      <c r="B1718" s="94">
        <v>12650000</v>
      </c>
      <c r="C1718" s="94">
        <v>12700000</v>
      </c>
      <c r="D1718" s="94">
        <v>12650000</v>
      </c>
      <c r="E1718" s="95">
        <v>41214</v>
      </c>
      <c r="F1718" s="96" t="s">
        <v>2886</v>
      </c>
    </row>
    <row r="1719" spans="1:6">
      <c r="A1719" s="94">
        <v>12620000</v>
      </c>
      <c r="B1719" s="94">
        <v>12520000</v>
      </c>
      <c r="C1719" s="94">
        <v>12730000</v>
      </c>
      <c r="D1719" s="94">
        <v>12670000</v>
      </c>
      <c r="E1719" s="95">
        <v>41213</v>
      </c>
      <c r="F1719" s="96" t="s">
        <v>2887</v>
      </c>
    </row>
    <row r="1720" spans="1:6">
      <c r="A1720" s="94">
        <v>12700000</v>
      </c>
      <c r="B1720" s="94">
        <v>12700000</v>
      </c>
      <c r="C1720" s="94">
        <v>12880000</v>
      </c>
      <c r="D1720" s="94">
        <v>12770000</v>
      </c>
      <c r="E1720" s="95">
        <v>41212</v>
      </c>
      <c r="F1720" s="96" t="s">
        <v>2888</v>
      </c>
    </row>
    <row r="1721" spans="1:6">
      <c r="A1721" s="94">
        <v>13150000</v>
      </c>
      <c r="B1721" s="94">
        <v>12980000</v>
      </c>
      <c r="C1721" s="94">
        <v>13200000</v>
      </c>
      <c r="D1721" s="94">
        <v>13050000</v>
      </c>
      <c r="E1721" s="95">
        <v>41211</v>
      </c>
      <c r="F1721" s="96" t="s">
        <v>2889</v>
      </c>
    </row>
    <row r="1722" spans="1:6">
      <c r="A1722" s="94">
        <v>12700000</v>
      </c>
      <c r="B1722" s="94">
        <v>12500000</v>
      </c>
      <c r="C1722" s="94">
        <v>12950000</v>
      </c>
      <c r="D1722" s="94">
        <v>12950000</v>
      </c>
      <c r="E1722" s="95">
        <v>41210</v>
      </c>
      <c r="F1722" s="96" t="s">
        <v>2890</v>
      </c>
    </row>
    <row r="1723" spans="1:6">
      <c r="A1723" s="94">
        <v>12800000</v>
      </c>
      <c r="B1723" s="94">
        <v>12600000</v>
      </c>
      <c r="C1723" s="94">
        <v>12850000</v>
      </c>
      <c r="D1723" s="94">
        <v>12730000</v>
      </c>
      <c r="E1723" s="95">
        <v>41209</v>
      </c>
      <c r="F1723" s="96" t="s">
        <v>2891</v>
      </c>
    </row>
    <row r="1724" spans="1:6">
      <c r="A1724" s="94">
        <v>13100000</v>
      </c>
      <c r="B1724" s="94">
        <v>13000000</v>
      </c>
      <c r="C1724" s="94">
        <v>13150000</v>
      </c>
      <c r="D1724" s="94">
        <v>13050000</v>
      </c>
      <c r="E1724" s="95">
        <v>41207</v>
      </c>
      <c r="F1724" s="96" t="s">
        <v>2892</v>
      </c>
    </row>
    <row r="1725" spans="1:6">
      <c r="A1725" s="94">
        <v>12800000</v>
      </c>
      <c r="B1725" s="94">
        <v>12800000</v>
      </c>
      <c r="C1725" s="94">
        <v>13400000</v>
      </c>
      <c r="D1725" s="94">
        <v>13000000</v>
      </c>
      <c r="E1725" s="95">
        <v>41206</v>
      </c>
      <c r="F1725" s="96" t="s">
        <v>2893</v>
      </c>
    </row>
    <row r="1726" spans="1:6">
      <c r="A1726" s="94">
        <v>12500000</v>
      </c>
      <c r="B1726" s="94">
        <v>12100000</v>
      </c>
      <c r="C1726" s="94">
        <v>12600000</v>
      </c>
      <c r="D1726" s="94">
        <v>12500000</v>
      </c>
      <c r="E1726" s="95">
        <v>41205</v>
      </c>
      <c r="F1726" s="96" t="s">
        <v>2894</v>
      </c>
    </row>
    <row r="1727" spans="1:6">
      <c r="A1727" s="94">
        <v>13850000</v>
      </c>
      <c r="B1727" s="94">
        <v>12940000</v>
      </c>
      <c r="C1727" s="94">
        <v>13850000</v>
      </c>
      <c r="D1727" s="94">
        <v>13200000</v>
      </c>
      <c r="E1727" s="95">
        <v>41204</v>
      </c>
      <c r="F1727" s="96" t="s">
        <v>2895</v>
      </c>
    </row>
    <row r="1728" spans="1:6">
      <c r="A1728" s="94">
        <v>13800000</v>
      </c>
      <c r="B1728" s="94">
        <v>13800000</v>
      </c>
      <c r="C1728" s="94">
        <v>14050000</v>
      </c>
      <c r="D1728" s="94">
        <v>13860000</v>
      </c>
      <c r="E1728" s="95">
        <v>41203</v>
      </c>
      <c r="F1728" s="96" t="s">
        <v>2896</v>
      </c>
    </row>
    <row r="1729" spans="1:6">
      <c r="A1729" s="94">
        <v>15150000</v>
      </c>
      <c r="B1729" s="94">
        <v>14950000</v>
      </c>
      <c r="C1729" s="94">
        <v>15150000</v>
      </c>
      <c r="D1729" s="94">
        <v>14980000</v>
      </c>
      <c r="E1729" s="95">
        <v>41199</v>
      </c>
      <c r="F1729" s="96" t="s">
        <v>2897</v>
      </c>
    </row>
    <row r="1730" spans="1:6">
      <c r="A1730" s="94">
        <v>14050000</v>
      </c>
      <c r="B1730" s="94">
        <v>14050000</v>
      </c>
      <c r="C1730" s="94">
        <v>14230000</v>
      </c>
      <c r="D1730" s="94">
        <v>14200000</v>
      </c>
      <c r="E1730" s="95">
        <v>41198</v>
      </c>
      <c r="F1730" s="96" t="s">
        <v>2898</v>
      </c>
    </row>
    <row r="1731" spans="1:6">
      <c r="A1731" s="94">
        <v>12880000</v>
      </c>
      <c r="B1731" s="94">
        <v>12880000</v>
      </c>
      <c r="C1731" s="94">
        <v>13100000</v>
      </c>
      <c r="D1731" s="94">
        <v>13100000</v>
      </c>
      <c r="E1731" s="95">
        <v>41195</v>
      </c>
      <c r="F1731" s="96" t="s">
        <v>2899</v>
      </c>
    </row>
    <row r="1732" spans="1:6">
      <c r="A1732" s="94">
        <v>12850000</v>
      </c>
      <c r="B1732" s="94">
        <v>12830000</v>
      </c>
      <c r="C1732" s="94">
        <v>12900000</v>
      </c>
      <c r="D1732" s="94">
        <v>12830000</v>
      </c>
      <c r="E1732" s="95">
        <v>41193</v>
      </c>
      <c r="F1732" s="96" t="s">
        <v>2900</v>
      </c>
    </row>
    <row r="1733" spans="1:6">
      <c r="A1733" s="94">
        <v>12700000</v>
      </c>
      <c r="B1733" s="94">
        <v>12550000</v>
      </c>
      <c r="C1733" s="94">
        <v>12850000</v>
      </c>
      <c r="D1733" s="94">
        <v>12800000</v>
      </c>
      <c r="E1733" s="95">
        <v>41192</v>
      </c>
      <c r="F1733" s="96" t="s">
        <v>2901</v>
      </c>
    </row>
    <row r="1734" spans="1:6">
      <c r="A1734" s="94">
        <v>14400000</v>
      </c>
      <c r="B1734" s="94">
        <v>12000000</v>
      </c>
      <c r="C1734" s="94">
        <v>14400000</v>
      </c>
      <c r="D1734" s="94">
        <v>13500000</v>
      </c>
      <c r="E1734" s="95">
        <v>41184</v>
      </c>
      <c r="F1734" s="96" t="s">
        <v>2902</v>
      </c>
    </row>
    <row r="1735" spans="1:6">
      <c r="A1735" s="94">
        <v>12550000</v>
      </c>
      <c r="B1735" s="94">
        <v>12540000</v>
      </c>
      <c r="C1735" s="94">
        <v>13450000</v>
      </c>
      <c r="D1735" s="94">
        <v>13450000</v>
      </c>
      <c r="E1735" s="95">
        <v>41183</v>
      </c>
      <c r="F1735" s="96" t="s">
        <v>2903</v>
      </c>
    </row>
    <row r="1736" spans="1:6">
      <c r="A1736" s="94">
        <v>11700000</v>
      </c>
      <c r="B1736" s="94">
        <v>11400000</v>
      </c>
      <c r="C1736" s="94">
        <v>11710000</v>
      </c>
      <c r="D1736" s="94">
        <v>11670000</v>
      </c>
      <c r="E1736" s="95">
        <v>41182</v>
      </c>
      <c r="F1736" s="96" t="s">
        <v>2904</v>
      </c>
    </row>
    <row r="1737" spans="1:6">
      <c r="A1737" s="94">
        <v>10940000</v>
      </c>
      <c r="B1737" s="94">
        <v>10940000</v>
      </c>
      <c r="C1737" s="94">
        <v>11480000</v>
      </c>
      <c r="D1737" s="94">
        <v>11320000</v>
      </c>
      <c r="E1737" s="95">
        <v>41181</v>
      </c>
      <c r="F1737" s="96" t="s">
        <v>2905</v>
      </c>
    </row>
    <row r="1738" spans="1:6">
      <c r="A1738" s="94">
        <v>10800000</v>
      </c>
      <c r="B1738" s="94">
        <v>10700000</v>
      </c>
      <c r="C1738" s="94">
        <v>10870000</v>
      </c>
      <c r="D1738" s="94">
        <v>10700000</v>
      </c>
      <c r="E1738" s="95">
        <v>41179</v>
      </c>
      <c r="F1738" s="96" t="s">
        <v>2906</v>
      </c>
    </row>
    <row r="1739" spans="1:6">
      <c r="A1739" s="94">
        <v>10520000</v>
      </c>
      <c r="B1739" s="94">
        <v>10380000</v>
      </c>
      <c r="C1739" s="94">
        <v>10630000</v>
      </c>
      <c r="D1739" s="94">
        <v>10490000</v>
      </c>
      <c r="E1739" s="95">
        <v>41178</v>
      </c>
      <c r="F1739" s="96" t="s">
        <v>2907</v>
      </c>
    </row>
    <row r="1740" spans="1:6">
      <c r="A1740" s="94">
        <v>10310000</v>
      </c>
      <c r="B1740" s="94">
        <v>10170000</v>
      </c>
      <c r="C1740" s="94">
        <v>10680000</v>
      </c>
      <c r="D1740" s="94">
        <v>10290000</v>
      </c>
      <c r="E1740" s="95">
        <v>41177</v>
      </c>
      <c r="F1740" s="96" t="s">
        <v>2908</v>
      </c>
    </row>
    <row r="1741" spans="1:6">
      <c r="A1741" s="94">
        <v>9700000</v>
      </c>
      <c r="B1741" s="94">
        <v>9690000</v>
      </c>
      <c r="C1741" s="94">
        <v>10130000</v>
      </c>
      <c r="D1741" s="94">
        <v>10110000</v>
      </c>
      <c r="E1741" s="95">
        <v>41176</v>
      </c>
      <c r="F1741" s="96" t="s">
        <v>2909</v>
      </c>
    </row>
    <row r="1742" spans="1:6">
      <c r="A1742" s="94">
        <v>9680000</v>
      </c>
      <c r="B1742" s="94">
        <v>9660000</v>
      </c>
      <c r="C1742" s="94">
        <v>9830000</v>
      </c>
      <c r="D1742" s="94">
        <v>9780000</v>
      </c>
      <c r="E1742" s="95">
        <v>41175</v>
      </c>
      <c r="F1742" s="96" t="s">
        <v>2910</v>
      </c>
    </row>
    <row r="1743" spans="1:6">
      <c r="A1743" s="94">
        <v>9660000</v>
      </c>
      <c r="B1743" s="94">
        <v>9550000</v>
      </c>
      <c r="C1743" s="94">
        <v>9700000</v>
      </c>
      <c r="D1743" s="94">
        <v>9700000</v>
      </c>
      <c r="E1743" s="95">
        <v>41174</v>
      </c>
      <c r="F1743" s="96" t="s">
        <v>2911</v>
      </c>
    </row>
    <row r="1744" spans="1:6">
      <c r="A1744" s="94">
        <v>9460000</v>
      </c>
      <c r="B1744" s="94">
        <v>9460000</v>
      </c>
      <c r="C1744" s="94">
        <v>9520000</v>
      </c>
      <c r="D1744" s="94">
        <v>9500000</v>
      </c>
      <c r="E1744" s="95">
        <v>41172</v>
      </c>
      <c r="F1744" s="96" t="s">
        <v>2912</v>
      </c>
    </row>
    <row r="1745" spans="1:6">
      <c r="A1745" s="94">
        <v>9320000</v>
      </c>
      <c r="B1745" s="94">
        <v>9300000</v>
      </c>
      <c r="C1745" s="94">
        <v>9500000</v>
      </c>
      <c r="D1745" s="94">
        <v>9490000</v>
      </c>
      <c r="E1745" s="95">
        <v>41171</v>
      </c>
      <c r="F1745" s="96" t="s">
        <v>2913</v>
      </c>
    </row>
    <row r="1746" spans="1:6">
      <c r="A1746" s="94">
        <v>9390000</v>
      </c>
      <c r="B1746" s="94">
        <v>9300000</v>
      </c>
      <c r="C1746" s="94">
        <v>9480000</v>
      </c>
      <c r="D1746" s="94">
        <v>9340000</v>
      </c>
      <c r="E1746" s="95">
        <v>41170</v>
      </c>
      <c r="F1746" s="96" t="s">
        <v>2914</v>
      </c>
    </row>
    <row r="1747" spans="1:6">
      <c r="A1747" s="94">
        <v>9660000</v>
      </c>
      <c r="B1747" s="94">
        <v>9520000</v>
      </c>
      <c r="C1747" s="94">
        <v>9690000</v>
      </c>
      <c r="D1747" s="94">
        <v>9540000</v>
      </c>
      <c r="E1747" s="95">
        <v>41169</v>
      </c>
      <c r="F1747" s="96" t="s">
        <v>2915</v>
      </c>
    </row>
    <row r="1748" spans="1:6">
      <c r="A1748" s="94">
        <v>9450000</v>
      </c>
      <c r="B1748" s="94">
        <v>9400000</v>
      </c>
      <c r="C1748" s="94">
        <v>9500000</v>
      </c>
      <c r="D1748" s="94">
        <v>9420000</v>
      </c>
      <c r="E1748" s="95">
        <v>41168</v>
      </c>
      <c r="F1748" s="96" t="s">
        <v>2916</v>
      </c>
    </row>
    <row r="1749" spans="1:6">
      <c r="A1749" s="94">
        <v>9230000</v>
      </c>
      <c r="B1749" s="94">
        <v>9220000</v>
      </c>
      <c r="C1749" s="94">
        <v>9550000</v>
      </c>
      <c r="D1749" s="94">
        <v>9420000</v>
      </c>
      <c r="E1749" s="95">
        <v>41167</v>
      </c>
      <c r="F1749" s="96" t="s">
        <v>2917</v>
      </c>
    </row>
    <row r="1750" spans="1:6">
      <c r="A1750" s="94">
        <v>8970000</v>
      </c>
      <c r="B1750" s="94">
        <v>8930000</v>
      </c>
      <c r="C1750" s="94">
        <v>9230000</v>
      </c>
      <c r="D1750" s="94">
        <v>9140000</v>
      </c>
      <c r="E1750" s="95">
        <v>41165</v>
      </c>
      <c r="F1750" s="96" t="s">
        <v>2918</v>
      </c>
    </row>
    <row r="1751" spans="1:6">
      <c r="A1751" s="94">
        <v>9240000</v>
      </c>
      <c r="B1751" s="94">
        <v>8750000</v>
      </c>
      <c r="C1751" s="94">
        <v>9290000</v>
      </c>
      <c r="D1751" s="94">
        <v>9290000</v>
      </c>
      <c r="E1751" s="95">
        <v>41163</v>
      </c>
      <c r="F1751" s="96" t="s">
        <v>2919</v>
      </c>
    </row>
    <row r="1752" spans="1:6">
      <c r="A1752" s="94">
        <v>9800000</v>
      </c>
      <c r="B1752" s="94">
        <v>9360000</v>
      </c>
      <c r="C1752" s="94">
        <v>9800000</v>
      </c>
      <c r="D1752" s="94">
        <v>9360000</v>
      </c>
      <c r="E1752" s="95">
        <v>41162</v>
      </c>
      <c r="F1752" s="96" t="s">
        <v>2920</v>
      </c>
    </row>
    <row r="1753" spans="1:6">
      <c r="A1753" s="94">
        <v>9220000</v>
      </c>
      <c r="B1753" s="94">
        <v>9220000</v>
      </c>
      <c r="C1753" s="94">
        <v>9450000</v>
      </c>
      <c r="D1753" s="94">
        <v>9450000</v>
      </c>
      <c r="E1753" s="95">
        <v>41161</v>
      </c>
      <c r="F1753" s="96" t="s">
        <v>2921</v>
      </c>
    </row>
    <row r="1754" spans="1:6">
      <c r="A1754" s="94">
        <v>8860000</v>
      </c>
      <c r="B1754" s="94">
        <v>8860000</v>
      </c>
      <c r="C1754" s="94">
        <v>9140000</v>
      </c>
      <c r="D1754" s="94">
        <v>9080000</v>
      </c>
      <c r="E1754" s="95">
        <v>41160</v>
      </c>
      <c r="F1754" s="96" t="s">
        <v>2922</v>
      </c>
    </row>
    <row r="1755" spans="1:6">
      <c r="A1755" s="94">
        <v>8700000</v>
      </c>
      <c r="B1755" s="94">
        <v>8620000</v>
      </c>
      <c r="C1755" s="94">
        <v>8700000</v>
      </c>
      <c r="D1755" s="94">
        <v>8630000</v>
      </c>
      <c r="E1755" s="95">
        <v>41158</v>
      </c>
      <c r="F1755" s="96" t="s">
        <v>2923</v>
      </c>
    </row>
    <row r="1756" spans="1:6">
      <c r="A1756" s="94">
        <v>8420000</v>
      </c>
      <c r="B1756" s="94">
        <v>8400000</v>
      </c>
      <c r="C1756" s="94">
        <v>8560000</v>
      </c>
      <c r="D1756" s="94">
        <v>8550000</v>
      </c>
      <c r="E1756" s="95">
        <v>41157</v>
      </c>
      <c r="F1756" s="96" t="s">
        <v>2924</v>
      </c>
    </row>
    <row r="1757" spans="1:6">
      <c r="A1757" s="94">
        <v>8440000</v>
      </c>
      <c r="B1757" s="94">
        <v>8400000</v>
      </c>
      <c r="C1757" s="94">
        <v>8500000</v>
      </c>
      <c r="D1757" s="94">
        <v>8400000</v>
      </c>
      <c r="E1757" s="95">
        <v>41156</v>
      </c>
      <c r="F1757" s="96" t="s">
        <v>2925</v>
      </c>
    </row>
    <row r="1758" spans="1:6">
      <c r="A1758" s="94">
        <v>8200000</v>
      </c>
      <c r="B1758" s="94">
        <v>8160000</v>
      </c>
      <c r="C1758" s="94">
        <v>8370000</v>
      </c>
      <c r="D1758" s="94">
        <v>8370000</v>
      </c>
      <c r="E1758" s="95">
        <v>41155</v>
      </c>
      <c r="F1758" s="96" t="s">
        <v>2926</v>
      </c>
    </row>
    <row r="1759" spans="1:6">
      <c r="A1759" s="94">
        <v>8390000</v>
      </c>
      <c r="B1759" s="94">
        <v>8330000</v>
      </c>
      <c r="C1759" s="94">
        <v>8390000</v>
      </c>
      <c r="D1759" s="94">
        <v>8330000</v>
      </c>
      <c r="E1759" s="95">
        <v>41154</v>
      </c>
      <c r="F1759" s="96" t="s">
        <v>2927</v>
      </c>
    </row>
    <row r="1760" spans="1:6">
      <c r="A1760" s="94">
        <v>8440000</v>
      </c>
      <c r="B1760" s="94">
        <v>8380000</v>
      </c>
      <c r="C1760" s="94">
        <v>8440000</v>
      </c>
      <c r="D1760" s="94">
        <v>8380000</v>
      </c>
      <c r="E1760" s="95">
        <v>41153</v>
      </c>
      <c r="F1760" s="96" t="s">
        <v>2928</v>
      </c>
    </row>
    <row r="1761" spans="1:6">
      <c r="A1761" s="94">
        <v>8360000</v>
      </c>
      <c r="B1761" s="94">
        <v>8360000</v>
      </c>
      <c r="C1761" s="94">
        <v>8360000</v>
      </c>
      <c r="D1761" s="94">
        <v>8360000</v>
      </c>
      <c r="E1761" s="95">
        <v>41150</v>
      </c>
      <c r="F1761" s="96" t="s">
        <v>2929</v>
      </c>
    </row>
    <row r="1762" spans="1:6">
      <c r="A1762" s="94">
        <v>8390000</v>
      </c>
      <c r="B1762" s="94">
        <v>8350000</v>
      </c>
      <c r="C1762" s="94">
        <v>8390000</v>
      </c>
      <c r="D1762" s="94">
        <v>8350000</v>
      </c>
      <c r="E1762" s="95">
        <v>41149</v>
      </c>
      <c r="F1762" s="96" t="s">
        <v>2930</v>
      </c>
    </row>
    <row r="1763" spans="1:6">
      <c r="A1763" s="94">
        <v>8330000</v>
      </c>
      <c r="B1763" s="94">
        <v>8300000</v>
      </c>
      <c r="C1763" s="94">
        <v>8390000</v>
      </c>
      <c r="D1763" s="94">
        <v>8380000</v>
      </c>
      <c r="E1763" s="95">
        <v>41148</v>
      </c>
      <c r="F1763" s="96" t="s">
        <v>2931</v>
      </c>
    </row>
    <row r="1764" spans="1:6">
      <c r="A1764" s="94">
        <v>8420000</v>
      </c>
      <c r="B1764" s="94">
        <v>8340000</v>
      </c>
      <c r="C1764" s="94">
        <v>8430000</v>
      </c>
      <c r="D1764" s="94">
        <v>8340000</v>
      </c>
      <c r="E1764" s="95">
        <v>41147</v>
      </c>
      <c r="F1764" s="96" t="s">
        <v>2932</v>
      </c>
    </row>
    <row r="1765" spans="1:6">
      <c r="A1765" s="94">
        <v>8350000</v>
      </c>
      <c r="B1765" s="94">
        <v>8350000</v>
      </c>
      <c r="C1765" s="94">
        <v>8520000</v>
      </c>
      <c r="D1765" s="94">
        <v>8430000</v>
      </c>
      <c r="E1765" s="95">
        <v>41146</v>
      </c>
      <c r="F1765" s="96" t="s">
        <v>2933</v>
      </c>
    </row>
    <row r="1766" spans="1:6">
      <c r="A1766" s="94">
        <v>8180000</v>
      </c>
      <c r="B1766" s="94">
        <v>8180000</v>
      </c>
      <c r="C1766" s="94">
        <v>8310000</v>
      </c>
      <c r="D1766" s="94">
        <v>8265000</v>
      </c>
      <c r="E1766" s="95">
        <v>41144</v>
      </c>
      <c r="F1766" s="96" t="s">
        <v>2934</v>
      </c>
    </row>
    <row r="1767" spans="1:6">
      <c r="A1767" s="94">
        <v>7985000</v>
      </c>
      <c r="B1767" s="94">
        <v>7970000</v>
      </c>
      <c r="C1767" s="94">
        <v>8050000</v>
      </c>
      <c r="D1767" s="94">
        <v>8050000</v>
      </c>
      <c r="E1767" s="95">
        <v>41143</v>
      </c>
      <c r="F1767" s="96" t="s">
        <v>2935</v>
      </c>
    </row>
    <row r="1768" spans="1:6">
      <c r="A1768" s="94">
        <v>7870000</v>
      </c>
      <c r="B1768" s="94">
        <v>7870000</v>
      </c>
      <c r="C1768" s="94">
        <v>7960000</v>
      </c>
      <c r="D1768" s="94">
        <v>7960000</v>
      </c>
      <c r="E1768" s="95">
        <v>41142</v>
      </c>
      <c r="F1768" s="96" t="s">
        <v>2936</v>
      </c>
    </row>
    <row r="1769" spans="1:6">
      <c r="A1769" s="94">
        <v>7870000</v>
      </c>
      <c r="B1769" s="94">
        <v>7820000</v>
      </c>
      <c r="C1769" s="94">
        <v>7870000</v>
      </c>
      <c r="D1769" s="94">
        <v>7860000</v>
      </c>
      <c r="E1769" s="95">
        <v>41139</v>
      </c>
      <c r="F1769" s="96" t="s">
        <v>2937</v>
      </c>
    </row>
    <row r="1770" spans="1:6">
      <c r="A1770" s="94">
        <v>7790000</v>
      </c>
      <c r="B1770" s="94">
        <v>7780000</v>
      </c>
      <c r="C1770" s="94">
        <v>7880000</v>
      </c>
      <c r="D1770" s="94">
        <v>7850000</v>
      </c>
      <c r="E1770" s="95">
        <v>41137</v>
      </c>
      <c r="F1770" s="96" t="s">
        <v>2938</v>
      </c>
    </row>
    <row r="1771" spans="1:6">
      <c r="A1771" s="94">
        <v>7830000</v>
      </c>
      <c r="B1771" s="94">
        <v>7740000</v>
      </c>
      <c r="C1771" s="94">
        <v>7830000</v>
      </c>
      <c r="D1771" s="94">
        <v>7770000</v>
      </c>
      <c r="E1771" s="95">
        <v>41136</v>
      </c>
      <c r="F1771" s="96" t="s">
        <v>2939</v>
      </c>
    </row>
    <row r="1772" spans="1:6">
      <c r="A1772" s="94">
        <v>7860000</v>
      </c>
      <c r="B1772" s="94">
        <v>7840000</v>
      </c>
      <c r="C1772" s="94">
        <v>7900000</v>
      </c>
      <c r="D1772" s="94">
        <v>7845000</v>
      </c>
      <c r="E1772" s="95">
        <v>41135</v>
      </c>
      <c r="F1772" s="96" t="s">
        <v>2940</v>
      </c>
    </row>
    <row r="1773" spans="1:6">
      <c r="A1773" s="94">
        <v>7870000</v>
      </c>
      <c r="B1773" s="94">
        <v>7860000</v>
      </c>
      <c r="C1773" s="94">
        <v>7910000</v>
      </c>
      <c r="D1773" s="94">
        <v>7890000</v>
      </c>
      <c r="E1773" s="95">
        <v>41134</v>
      </c>
      <c r="F1773" s="96" t="s">
        <v>2941</v>
      </c>
    </row>
    <row r="1774" spans="1:6">
      <c r="A1774" s="94">
        <v>7910000</v>
      </c>
      <c r="B1774" s="94">
        <v>7840000</v>
      </c>
      <c r="C1774" s="94">
        <v>8000000</v>
      </c>
      <c r="D1774" s="94">
        <v>7920000</v>
      </c>
      <c r="E1774" s="95">
        <v>41133</v>
      </c>
      <c r="F1774" s="96" t="s">
        <v>2942</v>
      </c>
    </row>
    <row r="1775" spans="1:6">
      <c r="A1775" s="94">
        <v>7640000</v>
      </c>
      <c r="B1775" s="94">
        <v>7640000</v>
      </c>
      <c r="C1775" s="94">
        <v>7880000</v>
      </c>
      <c r="D1775" s="94">
        <v>7840000</v>
      </c>
      <c r="E1775" s="95">
        <v>41132</v>
      </c>
      <c r="F1775" s="96" t="s">
        <v>2943</v>
      </c>
    </row>
    <row r="1776" spans="1:6">
      <c r="A1776" s="94">
        <v>7560000</v>
      </c>
      <c r="B1776" s="94">
        <v>7560000</v>
      </c>
      <c r="C1776" s="94">
        <v>7690000</v>
      </c>
      <c r="D1776" s="94">
        <v>7670000</v>
      </c>
      <c r="E1776" s="95">
        <v>41130</v>
      </c>
      <c r="F1776" s="96" t="s">
        <v>2944</v>
      </c>
    </row>
    <row r="1777" spans="1:6">
      <c r="A1777" s="94">
        <v>7810000</v>
      </c>
      <c r="B1777" s="94">
        <v>7630000</v>
      </c>
      <c r="C1777" s="94">
        <v>7820000</v>
      </c>
      <c r="D1777" s="94">
        <v>7630000</v>
      </c>
      <c r="E1777" s="95">
        <v>41129</v>
      </c>
      <c r="F1777" s="96" t="s">
        <v>2945</v>
      </c>
    </row>
    <row r="1778" spans="1:6">
      <c r="A1778" s="94">
        <v>7820000</v>
      </c>
      <c r="B1778" s="94">
        <v>7750000</v>
      </c>
      <c r="C1778" s="94">
        <v>7900000</v>
      </c>
      <c r="D1778" s="94">
        <v>7840000</v>
      </c>
      <c r="E1778" s="95">
        <v>41128</v>
      </c>
      <c r="F1778" s="96" t="s">
        <v>2946</v>
      </c>
    </row>
    <row r="1779" spans="1:6">
      <c r="A1779" s="94">
        <v>7660000</v>
      </c>
      <c r="B1779" s="94">
        <v>7630000</v>
      </c>
      <c r="C1779" s="94">
        <v>7800000</v>
      </c>
      <c r="D1779" s="94">
        <v>7680000</v>
      </c>
      <c r="E1779" s="95">
        <v>41127</v>
      </c>
      <c r="F1779" s="96" t="s">
        <v>2947</v>
      </c>
    </row>
    <row r="1780" spans="1:6">
      <c r="A1780" s="94">
        <v>7360000</v>
      </c>
      <c r="B1780" s="94">
        <v>7360000</v>
      </c>
      <c r="C1780" s="94">
        <v>7510000</v>
      </c>
      <c r="D1780" s="94">
        <v>7490000</v>
      </c>
      <c r="E1780" s="95">
        <v>41126</v>
      </c>
      <c r="F1780" s="96" t="s">
        <v>2948</v>
      </c>
    </row>
    <row r="1781" spans="1:6">
      <c r="A1781" s="94">
        <v>7420000</v>
      </c>
      <c r="B1781" s="94">
        <v>7380000</v>
      </c>
      <c r="C1781" s="94">
        <v>7430000</v>
      </c>
      <c r="D1781" s="94">
        <v>7390000</v>
      </c>
      <c r="E1781" s="95">
        <v>41125</v>
      </c>
      <c r="F1781" s="96" t="s">
        <v>2949</v>
      </c>
    </row>
    <row r="1782" spans="1:6">
      <c r="A1782" s="94">
        <v>7450000</v>
      </c>
      <c r="B1782" s="94">
        <v>7450000</v>
      </c>
      <c r="C1782" s="94">
        <v>7490000</v>
      </c>
      <c r="D1782" s="94">
        <v>7460000</v>
      </c>
      <c r="E1782" s="95">
        <v>41123</v>
      </c>
      <c r="F1782" s="96" t="s">
        <v>2950</v>
      </c>
    </row>
    <row r="1783" spans="1:6">
      <c r="A1783" s="94">
        <v>7390000</v>
      </c>
      <c r="B1783" s="94">
        <v>7390000</v>
      </c>
      <c r="C1783" s="94">
        <v>7490000</v>
      </c>
      <c r="D1783" s="94">
        <v>7430000</v>
      </c>
      <c r="E1783" s="95">
        <v>41122</v>
      </c>
      <c r="F1783" s="96" t="s">
        <v>2951</v>
      </c>
    </row>
    <row r="1784" spans="1:6">
      <c r="A1784" s="94">
        <v>7340000</v>
      </c>
      <c r="B1784" s="94">
        <v>7335000</v>
      </c>
      <c r="C1784" s="94">
        <v>7400000</v>
      </c>
      <c r="D1784" s="94">
        <v>7400000</v>
      </c>
      <c r="E1784" s="95">
        <v>41121</v>
      </c>
      <c r="F1784" s="96" t="s">
        <v>2952</v>
      </c>
    </row>
    <row r="1785" spans="1:6">
      <c r="A1785" s="94">
        <v>7300000</v>
      </c>
      <c r="B1785" s="94">
        <v>7300000</v>
      </c>
      <c r="C1785" s="94">
        <v>7380000</v>
      </c>
      <c r="D1785" s="94">
        <v>7350000</v>
      </c>
      <c r="E1785" s="95">
        <v>41120</v>
      </c>
      <c r="F1785" s="96" t="s">
        <v>2953</v>
      </c>
    </row>
    <row r="1786" spans="1:6">
      <c r="A1786" s="94">
        <v>7320000</v>
      </c>
      <c r="B1786" s="94">
        <v>7230000</v>
      </c>
      <c r="C1786" s="94">
        <v>7340000</v>
      </c>
      <c r="D1786" s="94">
        <v>7280000</v>
      </c>
      <c r="E1786" s="95">
        <v>41119</v>
      </c>
      <c r="F1786" s="96" t="s">
        <v>2954</v>
      </c>
    </row>
    <row r="1787" spans="1:6">
      <c r="A1787" s="94">
        <v>7390000</v>
      </c>
      <c r="B1787" s="94">
        <v>7380000</v>
      </c>
      <c r="C1787" s="94">
        <v>7440000</v>
      </c>
      <c r="D1787" s="94">
        <v>7380000</v>
      </c>
      <c r="E1787" s="95">
        <v>41118</v>
      </c>
      <c r="F1787" s="96" t="s">
        <v>2955</v>
      </c>
    </row>
    <row r="1788" spans="1:6">
      <c r="A1788" s="94">
        <v>7280000</v>
      </c>
      <c r="B1788" s="94">
        <v>7280000</v>
      </c>
      <c r="C1788" s="94">
        <v>7370000</v>
      </c>
      <c r="D1788" s="94">
        <v>7370000</v>
      </c>
      <c r="E1788" s="95">
        <v>41116</v>
      </c>
      <c r="F1788" s="96" t="s">
        <v>2956</v>
      </c>
    </row>
    <row r="1789" spans="1:6">
      <c r="A1789" s="94">
        <v>7120000</v>
      </c>
      <c r="B1789" s="94">
        <v>7120000</v>
      </c>
      <c r="C1789" s="94">
        <v>7180000</v>
      </c>
      <c r="D1789" s="94">
        <v>7180000</v>
      </c>
      <c r="E1789" s="95">
        <v>41115</v>
      </c>
      <c r="F1789" s="96" t="s">
        <v>2957</v>
      </c>
    </row>
    <row r="1790" spans="1:6">
      <c r="A1790" s="94">
        <v>7010000</v>
      </c>
      <c r="B1790" s="94">
        <v>7010000</v>
      </c>
      <c r="C1790" s="94">
        <v>7110000</v>
      </c>
      <c r="D1790" s="94">
        <v>7110000</v>
      </c>
      <c r="E1790" s="95">
        <v>41114</v>
      </c>
      <c r="F1790" s="96" t="s">
        <v>2958</v>
      </c>
    </row>
    <row r="1791" spans="1:6">
      <c r="A1791" s="94">
        <v>6930000</v>
      </c>
      <c r="B1791" s="94">
        <v>6930000</v>
      </c>
      <c r="C1791" s="94">
        <v>7010000</v>
      </c>
      <c r="D1791" s="94">
        <v>6990000</v>
      </c>
      <c r="E1791" s="95">
        <v>41113</v>
      </c>
      <c r="F1791" s="96" t="s">
        <v>2959</v>
      </c>
    </row>
    <row r="1792" spans="1:6">
      <c r="A1792" s="94">
        <v>7040000</v>
      </c>
      <c r="B1792" s="94">
        <v>7010000</v>
      </c>
      <c r="C1792" s="94">
        <v>7040000</v>
      </c>
      <c r="D1792" s="94">
        <v>7020000</v>
      </c>
      <c r="E1792" s="95">
        <v>41111</v>
      </c>
      <c r="F1792" s="96" t="s">
        <v>2960</v>
      </c>
    </row>
    <row r="1793" spans="1:6">
      <c r="A1793" s="94">
        <v>6990000</v>
      </c>
      <c r="B1793" s="94">
        <v>6960000</v>
      </c>
      <c r="C1793" s="94">
        <v>7010000</v>
      </c>
      <c r="D1793" s="94">
        <v>6960000</v>
      </c>
      <c r="E1793" s="95">
        <v>41112</v>
      </c>
      <c r="F1793" s="96" t="s">
        <v>2961</v>
      </c>
    </row>
    <row r="1794" spans="1:6">
      <c r="A1794" s="94">
        <v>7060000</v>
      </c>
      <c r="B1794" s="94">
        <v>7040000</v>
      </c>
      <c r="C1794" s="94">
        <v>7060000</v>
      </c>
      <c r="D1794" s="94">
        <v>7055000</v>
      </c>
      <c r="E1794" s="95">
        <v>41109</v>
      </c>
      <c r="F1794" s="96" t="s">
        <v>2962</v>
      </c>
    </row>
    <row r="1795" spans="1:6">
      <c r="A1795" s="94">
        <v>7040000</v>
      </c>
      <c r="B1795" s="94">
        <v>7040000</v>
      </c>
      <c r="C1795" s="94">
        <v>7080000</v>
      </c>
      <c r="D1795" s="94">
        <v>7080000</v>
      </c>
      <c r="E1795" s="95">
        <v>41108</v>
      </c>
      <c r="F1795" s="96" t="s">
        <v>2963</v>
      </c>
    </row>
    <row r="1796" spans="1:6">
      <c r="A1796" s="94">
        <v>7130000</v>
      </c>
      <c r="B1796" s="94">
        <v>7090000</v>
      </c>
      <c r="C1796" s="94">
        <v>7130000</v>
      </c>
      <c r="D1796" s="94">
        <v>7090000</v>
      </c>
      <c r="E1796" s="95">
        <v>41107</v>
      </c>
      <c r="F1796" s="96" t="s">
        <v>2964</v>
      </c>
    </row>
    <row r="1797" spans="1:6">
      <c r="A1797" s="94">
        <v>6990000</v>
      </c>
      <c r="B1797" s="94">
        <v>6990000</v>
      </c>
      <c r="C1797" s="94">
        <v>7100000</v>
      </c>
      <c r="D1797" s="94">
        <v>7100000</v>
      </c>
      <c r="E1797" s="95">
        <v>41106</v>
      </c>
      <c r="F1797" s="96" t="s">
        <v>2965</v>
      </c>
    </row>
    <row r="1798" spans="1:6">
      <c r="A1798" s="94">
        <v>7080000</v>
      </c>
      <c r="B1798" s="94">
        <v>7050000</v>
      </c>
      <c r="C1798" s="94">
        <v>7095000</v>
      </c>
      <c r="D1798" s="94">
        <v>7050000</v>
      </c>
      <c r="E1798" s="95">
        <v>41105</v>
      </c>
      <c r="F1798" s="96" t="s">
        <v>2966</v>
      </c>
    </row>
    <row r="1799" spans="1:6">
      <c r="A1799" s="94">
        <v>7220000</v>
      </c>
      <c r="B1799" s="94">
        <v>7130000</v>
      </c>
      <c r="C1799" s="94">
        <v>7220000</v>
      </c>
      <c r="D1799" s="94">
        <v>7130000</v>
      </c>
      <c r="E1799" s="95">
        <v>41104</v>
      </c>
      <c r="F1799" s="96" t="s">
        <v>2967</v>
      </c>
    </row>
    <row r="1800" spans="1:6">
      <c r="A1800" s="94">
        <v>7090000</v>
      </c>
      <c r="B1800" s="94">
        <v>7090000</v>
      </c>
      <c r="C1800" s="94">
        <v>7120000</v>
      </c>
      <c r="D1800" s="94">
        <v>7120000</v>
      </c>
      <c r="E1800" s="95">
        <v>41102</v>
      </c>
      <c r="F1800" s="96" t="s">
        <v>2968</v>
      </c>
    </row>
    <row r="1801" spans="1:6">
      <c r="A1801" s="94">
        <v>7150000</v>
      </c>
      <c r="B1801" s="94">
        <v>7110000</v>
      </c>
      <c r="C1801" s="94">
        <v>7170000</v>
      </c>
      <c r="D1801" s="94">
        <v>7110000</v>
      </c>
      <c r="E1801" s="95">
        <v>41101</v>
      </c>
      <c r="F1801" s="96" t="s">
        <v>2969</v>
      </c>
    </row>
    <row r="1802" spans="1:6">
      <c r="A1802" s="94">
        <v>7200000</v>
      </c>
      <c r="B1802" s="94">
        <v>7190000</v>
      </c>
      <c r="C1802" s="94">
        <v>7280000</v>
      </c>
      <c r="D1802" s="94">
        <v>7240000</v>
      </c>
      <c r="E1802" s="95">
        <v>41100</v>
      </c>
      <c r="F1802" s="96" t="s">
        <v>2970</v>
      </c>
    </row>
    <row r="1803" spans="1:6">
      <c r="A1803" s="94">
        <v>7040000</v>
      </c>
      <c r="B1803" s="94">
        <v>6990000</v>
      </c>
      <c r="C1803" s="94">
        <v>7120000</v>
      </c>
      <c r="D1803" s="94">
        <v>7100000</v>
      </c>
      <c r="E1803" s="95">
        <v>41099</v>
      </c>
      <c r="F1803" s="96" t="s">
        <v>2971</v>
      </c>
    </row>
    <row r="1804" spans="1:6">
      <c r="A1804" s="94">
        <v>7150000</v>
      </c>
      <c r="B1804" s="94">
        <v>7120000</v>
      </c>
      <c r="C1804" s="94">
        <v>7200000</v>
      </c>
      <c r="D1804" s="94">
        <v>7120000</v>
      </c>
      <c r="E1804" s="95">
        <v>41098</v>
      </c>
      <c r="F1804" s="96" t="s">
        <v>2972</v>
      </c>
    </row>
    <row r="1805" spans="1:6">
      <c r="A1805" s="94">
        <v>7300000</v>
      </c>
      <c r="B1805" s="94">
        <v>7230000</v>
      </c>
      <c r="C1805" s="94">
        <v>7310000</v>
      </c>
      <c r="D1805" s="94">
        <v>7290000</v>
      </c>
      <c r="E1805" s="95">
        <v>41097</v>
      </c>
      <c r="F1805" s="96" t="s">
        <v>2973</v>
      </c>
    </row>
    <row r="1806" spans="1:6">
      <c r="A1806" s="94">
        <v>7550000</v>
      </c>
      <c r="B1806" s="94">
        <v>7440000</v>
      </c>
      <c r="C1806" s="94">
        <v>7550000</v>
      </c>
      <c r="D1806" s="94">
        <v>7450000</v>
      </c>
      <c r="E1806" s="95">
        <v>41094</v>
      </c>
      <c r="F1806" s="96" t="s">
        <v>2974</v>
      </c>
    </row>
    <row r="1807" spans="1:6">
      <c r="A1807" s="94">
        <v>7285000</v>
      </c>
      <c r="B1807" s="94">
        <v>7285000</v>
      </c>
      <c r="C1807" s="94">
        <v>7550000</v>
      </c>
      <c r="D1807" s="94">
        <v>7530000</v>
      </c>
      <c r="E1807" s="95">
        <v>41093</v>
      </c>
      <c r="F1807" s="96" t="s">
        <v>2975</v>
      </c>
    </row>
    <row r="1808" spans="1:6">
      <c r="A1808" s="94">
        <v>7340000</v>
      </c>
      <c r="B1808" s="94">
        <v>7220000</v>
      </c>
      <c r="C1808" s="94">
        <v>7370000</v>
      </c>
      <c r="D1808" s="94">
        <v>7280000</v>
      </c>
      <c r="E1808" s="95">
        <v>41092</v>
      </c>
      <c r="F1808" s="96" t="s">
        <v>2976</v>
      </c>
    </row>
    <row r="1809" spans="1:6">
      <c r="A1809" s="94">
        <v>7620000</v>
      </c>
      <c r="B1809" s="94">
        <v>7390000</v>
      </c>
      <c r="C1809" s="94">
        <v>7630000</v>
      </c>
      <c r="D1809" s="94">
        <v>7410000</v>
      </c>
      <c r="E1809" s="95">
        <v>41091</v>
      </c>
      <c r="F1809" s="96" t="s">
        <v>2977</v>
      </c>
    </row>
    <row r="1810" spans="1:6">
      <c r="A1810" s="94">
        <v>7540000</v>
      </c>
      <c r="B1810" s="94">
        <v>7500000</v>
      </c>
      <c r="C1810" s="94">
        <v>7870000</v>
      </c>
      <c r="D1810" s="94">
        <v>7630000</v>
      </c>
      <c r="E1810" s="95">
        <v>41090</v>
      </c>
      <c r="F1810" s="96" t="s">
        <v>2978</v>
      </c>
    </row>
    <row r="1811" spans="1:6">
      <c r="A1811" s="94">
        <v>7700000</v>
      </c>
      <c r="B1811" s="94">
        <v>7700000</v>
      </c>
      <c r="C1811" s="94">
        <v>7700000</v>
      </c>
      <c r="D1811" s="94">
        <v>7700000</v>
      </c>
      <c r="E1811" s="95">
        <v>41089</v>
      </c>
      <c r="F1811" s="96" t="s">
        <v>2979</v>
      </c>
    </row>
    <row r="1812" spans="1:6">
      <c r="A1812" s="94">
        <v>7760000</v>
      </c>
      <c r="B1812" s="94">
        <v>7760000</v>
      </c>
      <c r="C1812" s="94">
        <v>7760000</v>
      </c>
      <c r="D1812" s="94">
        <v>7760000</v>
      </c>
      <c r="E1812" s="95">
        <v>41088</v>
      </c>
      <c r="F1812" s="96" t="s">
        <v>2980</v>
      </c>
    </row>
    <row r="1813" spans="1:6">
      <c r="A1813" s="94">
        <v>7290000</v>
      </c>
      <c r="B1813" s="94">
        <v>7290000</v>
      </c>
      <c r="C1813" s="94">
        <v>7290000</v>
      </c>
      <c r="D1813" s="94">
        <v>7290000</v>
      </c>
      <c r="E1813" s="95">
        <v>41087</v>
      </c>
      <c r="F1813" s="96" t="s">
        <v>2981</v>
      </c>
    </row>
    <row r="1814" spans="1:6">
      <c r="A1814" s="94">
        <v>7190000</v>
      </c>
      <c r="B1814" s="94">
        <v>7190000</v>
      </c>
      <c r="C1814" s="94">
        <v>7190000</v>
      </c>
      <c r="D1814" s="94">
        <v>7190000</v>
      </c>
      <c r="E1814" s="95">
        <v>41086</v>
      </c>
      <c r="F1814" s="96" t="s">
        <v>2982</v>
      </c>
    </row>
    <row r="1815" spans="1:6">
      <c r="A1815" s="94">
        <v>7030000</v>
      </c>
      <c r="B1815" s="94">
        <v>7030000</v>
      </c>
      <c r="C1815" s="94">
        <v>7030000</v>
      </c>
      <c r="D1815" s="94">
        <v>7030000</v>
      </c>
      <c r="E1815" s="95">
        <v>41085</v>
      </c>
      <c r="F1815" s="96" t="s">
        <v>2983</v>
      </c>
    </row>
    <row r="1816" spans="1:6">
      <c r="A1816" s="94">
        <v>7050000</v>
      </c>
      <c r="B1816" s="94">
        <v>7050000</v>
      </c>
      <c r="C1816" s="94">
        <v>7050000</v>
      </c>
      <c r="D1816" s="94">
        <v>7050000</v>
      </c>
      <c r="E1816" s="95">
        <v>41084</v>
      </c>
      <c r="F1816" s="96" t="s">
        <v>2984</v>
      </c>
    </row>
    <row r="1817" spans="1:6">
      <c r="A1817" s="94">
        <v>6940000</v>
      </c>
      <c r="B1817" s="94">
        <v>6940000</v>
      </c>
      <c r="C1817" s="94">
        <v>6940000</v>
      </c>
      <c r="D1817" s="94">
        <v>6940000</v>
      </c>
      <c r="E1817" s="95">
        <v>41083</v>
      </c>
      <c r="F1817" s="96" t="s">
        <v>2985</v>
      </c>
    </row>
    <row r="1818" spans="1:6">
      <c r="A1818" s="94">
        <v>6885000</v>
      </c>
      <c r="B1818" s="94">
        <v>6885000</v>
      </c>
      <c r="C1818" s="94">
        <v>6885000</v>
      </c>
      <c r="D1818" s="94">
        <v>6885000</v>
      </c>
      <c r="E1818" s="95">
        <v>41081</v>
      </c>
      <c r="F1818" s="96" t="s">
        <v>2986</v>
      </c>
    </row>
    <row r="1819" spans="1:6">
      <c r="A1819" s="94">
        <v>6915000</v>
      </c>
      <c r="B1819" s="94">
        <v>6915000</v>
      </c>
      <c r="C1819" s="94">
        <v>6915000</v>
      </c>
      <c r="D1819" s="94">
        <v>6915000</v>
      </c>
      <c r="E1819" s="95">
        <v>41080</v>
      </c>
      <c r="F1819" s="96" t="s">
        <v>2987</v>
      </c>
    </row>
    <row r="1820" spans="1:6">
      <c r="A1820" s="94">
        <v>6885000</v>
      </c>
      <c r="B1820" s="94">
        <v>6885000</v>
      </c>
      <c r="C1820" s="94">
        <v>6885000</v>
      </c>
      <c r="D1820" s="94">
        <v>6885000</v>
      </c>
      <c r="E1820" s="95">
        <v>41079</v>
      </c>
      <c r="F1820" s="96" t="s">
        <v>2988</v>
      </c>
    </row>
    <row r="1821" spans="1:6">
      <c r="A1821" s="94">
        <v>6855000</v>
      </c>
      <c r="B1821" s="94">
        <v>6855000</v>
      </c>
      <c r="C1821" s="94">
        <v>6855000</v>
      </c>
      <c r="D1821" s="94">
        <v>6855000</v>
      </c>
      <c r="E1821" s="95">
        <v>41077</v>
      </c>
      <c r="F1821" s="96" t="s">
        <v>2989</v>
      </c>
    </row>
    <row r="1822" spans="1:6">
      <c r="A1822" s="94">
        <v>6810000</v>
      </c>
      <c r="B1822" s="94">
        <v>6810000</v>
      </c>
      <c r="C1822" s="94">
        <v>6810000</v>
      </c>
      <c r="D1822" s="94">
        <v>6810000</v>
      </c>
      <c r="E1822" s="95">
        <v>41076</v>
      </c>
      <c r="F1822" s="96" t="s">
        <v>2990</v>
      </c>
    </row>
    <row r="1823" spans="1:6">
      <c r="A1823" s="94">
        <v>6765000</v>
      </c>
      <c r="B1823" s="94">
        <v>6765000</v>
      </c>
      <c r="C1823" s="94">
        <v>6765000</v>
      </c>
      <c r="D1823" s="94">
        <v>6765000</v>
      </c>
      <c r="E1823" s="95">
        <v>41074</v>
      </c>
      <c r="F1823" s="96" t="s">
        <v>2991</v>
      </c>
    </row>
    <row r="1824" spans="1:6">
      <c r="A1824" s="94">
        <v>6710000</v>
      </c>
      <c r="B1824" s="94">
        <v>6710000</v>
      </c>
      <c r="C1824" s="94">
        <v>6710000</v>
      </c>
      <c r="D1824" s="94">
        <v>6710000</v>
      </c>
      <c r="E1824" s="95">
        <v>41073</v>
      </c>
      <c r="F1824" s="96" t="s">
        <v>2992</v>
      </c>
    </row>
    <row r="1825" spans="1:6">
      <c r="A1825" s="94">
        <v>6765000</v>
      </c>
      <c r="B1825" s="94">
        <v>6765000</v>
      </c>
      <c r="C1825" s="94">
        <v>6765000</v>
      </c>
      <c r="D1825" s="94">
        <v>6765000</v>
      </c>
      <c r="E1825" s="95">
        <v>41072</v>
      </c>
      <c r="F1825" s="96" t="s">
        <v>2993</v>
      </c>
    </row>
    <row r="1826" spans="1:6">
      <c r="A1826" s="94">
        <v>6850000</v>
      </c>
      <c r="B1826" s="94">
        <v>6850000</v>
      </c>
      <c r="C1826" s="94">
        <v>6850000</v>
      </c>
      <c r="D1826" s="94">
        <v>6850000</v>
      </c>
      <c r="E1826" s="95">
        <v>41071</v>
      </c>
      <c r="F1826" s="96" t="s">
        <v>2994</v>
      </c>
    </row>
    <row r="1827" spans="1:6">
      <c r="A1827" s="94">
        <v>6870000</v>
      </c>
      <c r="B1827" s="94">
        <v>6870000</v>
      </c>
      <c r="C1827" s="94">
        <v>6870000</v>
      </c>
      <c r="D1827" s="94">
        <v>6870000</v>
      </c>
      <c r="E1827" s="95">
        <v>41070</v>
      </c>
      <c r="F1827" s="96" t="s">
        <v>2995</v>
      </c>
    </row>
    <row r="1828" spans="1:6">
      <c r="A1828" s="94">
        <v>6810000</v>
      </c>
      <c r="B1828" s="94">
        <v>6810000</v>
      </c>
      <c r="C1828" s="94">
        <v>6810000</v>
      </c>
      <c r="D1828" s="94">
        <v>6810000</v>
      </c>
      <c r="E1828" s="95">
        <v>41069</v>
      </c>
      <c r="F1828" s="96" t="s">
        <v>2996</v>
      </c>
    </row>
    <row r="1829" spans="1:6">
      <c r="A1829" s="94">
        <v>6800000</v>
      </c>
      <c r="B1829" s="94">
        <v>6800000</v>
      </c>
      <c r="C1829" s="94">
        <v>6800000</v>
      </c>
      <c r="D1829" s="94">
        <v>6800000</v>
      </c>
      <c r="E1829" s="95">
        <v>41067</v>
      </c>
      <c r="F1829" s="96" t="s">
        <v>2997</v>
      </c>
    </row>
    <row r="1830" spans="1:6">
      <c r="A1830" s="94">
        <v>6730000</v>
      </c>
      <c r="B1830" s="94">
        <v>6730000</v>
      </c>
      <c r="C1830" s="94">
        <v>6730000</v>
      </c>
      <c r="D1830" s="94">
        <v>6730000</v>
      </c>
      <c r="E1830" s="95">
        <v>41066</v>
      </c>
      <c r="F1830" s="96" t="s">
        <v>2998</v>
      </c>
    </row>
    <row r="1831" spans="1:6">
      <c r="A1831" s="94">
        <v>6690000</v>
      </c>
      <c r="B1831" s="94">
        <v>6690000</v>
      </c>
      <c r="C1831" s="94">
        <v>6690000</v>
      </c>
      <c r="D1831" s="94">
        <v>6690000</v>
      </c>
      <c r="E1831" s="95">
        <v>41065</v>
      </c>
      <c r="F1831" s="96" t="s">
        <v>2999</v>
      </c>
    </row>
    <row r="1832" spans="1:6">
      <c r="A1832" s="94">
        <v>6820000</v>
      </c>
      <c r="B1832" s="94">
        <v>6820000</v>
      </c>
      <c r="C1832" s="94">
        <v>6820000</v>
      </c>
      <c r="D1832" s="94">
        <v>6820000</v>
      </c>
      <c r="E1832" s="95">
        <v>41062</v>
      </c>
      <c r="F1832" s="96" t="s">
        <v>3000</v>
      </c>
    </row>
    <row r="1833" spans="1:6">
      <c r="A1833" s="94">
        <v>6600000</v>
      </c>
      <c r="B1833" s="94">
        <v>6600000</v>
      </c>
      <c r="C1833" s="94">
        <v>6600000</v>
      </c>
      <c r="D1833" s="94">
        <v>6600000</v>
      </c>
      <c r="E1833" s="95">
        <v>41060</v>
      </c>
      <c r="F1833" s="96" t="s">
        <v>3001</v>
      </c>
    </row>
    <row r="1834" spans="1:6">
      <c r="A1834" s="94">
        <v>6580000</v>
      </c>
      <c r="B1834" s="94">
        <v>6580000</v>
      </c>
      <c r="C1834" s="94">
        <v>6580000</v>
      </c>
      <c r="D1834" s="94">
        <v>6580000</v>
      </c>
      <c r="E1834" s="95">
        <v>41059</v>
      </c>
      <c r="F1834" s="96" t="s">
        <v>3002</v>
      </c>
    </row>
    <row r="1835" spans="1:6">
      <c r="A1835" s="94">
        <v>6640000</v>
      </c>
      <c r="B1835" s="94">
        <v>6640000</v>
      </c>
      <c r="C1835" s="94">
        <v>6640000</v>
      </c>
      <c r="D1835" s="94">
        <v>6640000</v>
      </c>
      <c r="E1835" s="95">
        <v>41058</v>
      </c>
      <c r="F1835" s="96" t="s">
        <v>3003</v>
      </c>
    </row>
    <row r="1836" spans="1:6">
      <c r="A1836" s="94">
        <v>6580000</v>
      </c>
      <c r="B1836" s="94">
        <v>6580000</v>
      </c>
      <c r="C1836" s="94">
        <v>6580000</v>
      </c>
      <c r="D1836" s="94">
        <v>6580000</v>
      </c>
      <c r="E1836" s="95">
        <v>41057</v>
      </c>
      <c r="F1836" s="96" t="s">
        <v>3004</v>
      </c>
    </row>
    <row r="1837" spans="1:6">
      <c r="A1837" s="94">
        <v>6500000</v>
      </c>
      <c r="B1837" s="94">
        <v>6500000</v>
      </c>
      <c r="C1837" s="94">
        <v>6500000</v>
      </c>
      <c r="D1837" s="94">
        <v>6500000</v>
      </c>
      <c r="E1837" s="95">
        <v>41056</v>
      </c>
      <c r="F1837" s="96" t="s">
        <v>3005</v>
      </c>
    </row>
    <row r="1838" spans="1:6">
      <c r="A1838" s="94">
        <v>6660000</v>
      </c>
      <c r="B1838" s="94">
        <v>6660000</v>
      </c>
      <c r="C1838" s="94">
        <v>6660000</v>
      </c>
      <c r="D1838" s="94">
        <v>6660000</v>
      </c>
      <c r="E1838" s="95">
        <v>41055</v>
      </c>
      <c r="F1838" s="96" t="s">
        <v>3006</v>
      </c>
    </row>
    <row r="1839" spans="1:6">
      <c r="A1839" s="94">
        <v>6650000</v>
      </c>
      <c r="B1839" s="94">
        <v>6650000</v>
      </c>
      <c r="C1839" s="94">
        <v>6650000</v>
      </c>
      <c r="D1839" s="94">
        <v>6650000</v>
      </c>
      <c r="E1839" s="95">
        <v>41053</v>
      </c>
      <c r="F1839" s="96" t="s">
        <v>3007</v>
      </c>
    </row>
    <row r="1840" spans="1:6">
      <c r="A1840" s="94">
        <v>6500000</v>
      </c>
      <c r="B1840" s="94">
        <v>6500000</v>
      </c>
      <c r="C1840" s="94">
        <v>6500000</v>
      </c>
      <c r="D1840" s="94">
        <v>6500000</v>
      </c>
      <c r="E1840" s="95">
        <v>41049</v>
      </c>
      <c r="F1840" s="96" t="s">
        <v>3008</v>
      </c>
    </row>
    <row r="1841" spans="1:6">
      <c r="A1841" s="94">
        <v>6330000</v>
      </c>
      <c r="B1841" s="94">
        <v>6330000</v>
      </c>
      <c r="C1841" s="94">
        <v>6330000</v>
      </c>
      <c r="D1841" s="94">
        <v>6330000</v>
      </c>
      <c r="E1841" s="95">
        <v>41052</v>
      </c>
      <c r="F1841" s="96" t="s">
        <v>3009</v>
      </c>
    </row>
    <row r="1842" spans="1:6">
      <c r="A1842" s="94">
        <v>6500000</v>
      </c>
      <c r="B1842" s="94">
        <v>6500000</v>
      </c>
      <c r="C1842" s="94">
        <v>6500000</v>
      </c>
      <c r="D1842" s="94">
        <v>6500000</v>
      </c>
      <c r="E1842" s="95">
        <v>41048</v>
      </c>
      <c r="F1842" s="96" t="s">
        <v>3010</v>
      </c>
    </row>
    <row r="1843" spans="1:6">
      <c r="A1843" s="94">
        <v>6350000</v>
      </c>
      <c r="B1843" s="94">
        <v>6350000</v>
      </c>
      <c r="C1843" s="94">
        <v>6350000</v>
      </c>
      <c r="D1843" s="94">
        <v>6350000</v>
      </c>
      <c r="E1843" s="95">
        <v>41051</v>
      </c>
      <c r="F1843" s="96" t="s">
        <v>3011</v>
      </c>
    </row>
    <row r="1844" spans="1:6">
      <c r="A1844" s="94">
        <v>6480000</v>
      </c>
      <c r="B1844" s="94">
        <v>6480000</v>
      </c>
      <c r="C1844" s="94">
        <v>6480000</v>
      </c>
      <c r="D1844" s="94">
        <v>6480000</v>
      </c>
      <c r="E1844" s="95">
        <v>41050</v>
      </c>
      <c r="F1844" s="96" t="s">
        <v>3012</v>
      </c>
    </row>
    <row r="1845" spans="1:6">
      <c r="A1845" s="94">
        <v>6420000</v>
      </c>
      <c r="B1845" s="94">
        <v>6420000</v>
      </c>
      <c r="C1845" s="94">
        <v>6420000</v>
      </c>
      <c r="D1845" s="94">
        <v>6420000</v>
      </c>
      <c r="E1845" s="95">
        <v>41046</v>
      </c>
      <c r="F1845" s="96" t="s">
        <v>3013</v>
      </c>
    </row>
    <row r="1846" spans="1:6">
      <c r="A1846" s="94">
        <v>6280000</v>
      </c>
      <c r="B1846" s="94">
        <v>6280000</v>
      </c>
      <c r="C1846" s="94">
        <v>6280000</v>
      </c>
      <c r="D1846" s="94">
        <v>6280000</v>
      </c>
      <c r="E1846" s="95">
        <v>41045</v>
      </c>
      <c r="F1846" s="96" t="s">
        <v>3014</v>
      </c>
    </row>
    <row r="1847" spans="1:6">
      <c r="A1847" s="94">
        <v>6400000</v>
      </c>
      <c r="B1847" s="94">
        <v>6400000</v>
      </c>
      <c r="C1847" s="94">
        <v>6400000</v>
      </c>
      <c r="D1847" s="94">
        <v>6400000</v>
      </c>
      <c r="E1847" s="95">
        <v>41044</v>
      </c>
      <c r="F1847" s="96" t="s">
        <v>3015</v>
      </c>
    </row>
    <row r="1848" spans="1:6">
      <c r="A1848" s="94">
        <v>6280000</v>
      </c>
      <c r="B1848" s="94">
        <v>6280000</v>
      </c>
      <c r="C1848" s="94">
        <v>6280000</v>
      </c>
      <c r="D1848" s="94">
        <v>6280000</v>
      </c>
      <c r="E1848" s="95">
        <v>41043</v>
      </c>
      <c r="F1848" s="96" t="s">
        <v>3016</v>
      </c>
    </row>
    <row r="1849" spans="1:6">
      <c r="A1849" s="94">
        <v>6080000</v>
      </c>
      <c r="B1849" s="94">
        <v>6080000</v>
      </c>
      <c r="C1849" s="94">
        <v>6080000</v>
      </c>
      <c r="D1849" s="94">
        <v>6080000</v>
      </c>
      <c r="E1849" s="95">
        <v>41042</v>
      </c>
      <c r="F1849" s="96" t="s">
        <v>3017</v>
      </c>
    </row>
    <row r="1850" spans="1:6">
      <c r="A1850" s="94">
        <v>6000000</v>
      </c>
      <c r="B1850" s="94">
        <v>6000000</v>
      </c>
      <c r="C1850" s="94">
        <v>6000000</v>
      </c>
      <c r="D1850" s="94">
        <v>6000000</v>
      </c>
      <c r="E1850" s="95">
        <v>41041</v>
      </c>
      <c r="F1850" s="96" t="s">
        <v>3018</v>
      </c>
    </row>
    <row r="1851" spans="1:6">
      <c r="A1851" s="94">
        <v>6110000</v>
      </c>
      <c r="B1851" s="94">
        <v>6110000</v>
      </c>
      <c r="C1851" s="94">
        <v>6110000</v>
      </c>
      <c r="D1851" s="94">
        <v>6110000</v>
      </c>
      <c r="E1851" s="95">
        <v>41039</v>
      </c>
      <c r="F1851" s="96" t="s">
        <v>3019</v>
      </c>
    </row>
    <row r="1852" spans="1:6">
      <c r="A1852" s="94">
        <v>6300000</v>
      </c>
      <c r="B1852" s="94">
        <v>6300000</v>
      </c>
      <c r="C1852" s="94">
        <v>6300000</v>
      </c>
      <c r="D1852" s="94">
        <v>6300000</v>
      </c>
      <c r="E1852" s="95">
        <v>41038</v>
      </c>
      <c r="F1852" s="96" t="s">
        <v>3020</v>
      </c>
    </row>
    <row r="1853" spans="1:6">
      <c r="A1853" s="94">
        <v>6460000</v>
      </c>
      <c r="B1853" s="94">
        <v>6460000</v>
      </c>
      <c r="C1853" s="94">
        <v>6460000</v>
      </c>
      <c r="D1853" s="94">
        <v>6460000</v>
      </c>
      <c r="E1853" s="95">
        <v>41037</v>
      </c>
      <c r="F1853" s="96" t="s">
        <v>3021</v>
      </c>
    </row>
    <row r="1854" spans="1:6">
      <c r="A1854" s="94">
        <v>6480000</v>
      </c>
      <c r="B1854" s="94">
        <v>6480000</v>
      </c>
      <c r="C1854" s="94">
        <v>6480000</v>
      </c>
      <c r="D1854" s="94">
        <v>6480000</v>
      </c>
      <c r="E1854" s="95">
        <v>41036</v>
      </c>
      <c r="F1854" s="96" t="s">
        <v>3022</v>
      </c>
    </row>
    <row r="1855" spans="1:6">
      <c r="A1855" s="94">
        <v>6480000</v>
      </c>
      <c r="B1855" s="94">
        <v>6480000</v>
      </c>
      <c r="C1855" s="94">
        <v>6480000</v>
      </c>
      <c r="D1855" s="94">
        <v>6480000</v>
      </c>
      <c r="E1855" s="95">
        <v>41035</v>
      </c>
      <c r="F1855" s="96" t="s">
        <v>3023</v>
      </c>
    </row>
    <row r="1856" spans="1:6">
      <c r="A1856" s="94">
        <v>6570000</v>
      </c>
      <c r="B1856" s="94">
        <v>6570000</v>
      </c>
      <c r="C1856" s="94">
        <v>6570000</v>
      </c>
      <c r="D1856" s="94">
        <v>6570000</v>
      </c>
      <c r="E1856" s="95">
        <v>41034</v>
      </c>
      <c r="F1856" s="96" t="s">
        <v>3024</v>
      </c>
    </row>
    <row r="1857" spans="1:6">
      <c r="A1857" s="94">
        <v>6685000</v>
      </c>
      <c r="B1857" s="94">
        <v>6685000</v>
      </c>
      <c r="C1857" s="94">
        <v>6685000</v>
      </c>
      <c r="D1857" s="94">
        <v>6685000</v>
      </c>
      <c r="E1857" s="95">
        <v>41032</v>
      </c>
      <c r="F1857" s="96" t="s">
        <v>3025</v>
      </c>
    </row>
    <row r="1858" spans="1:6">
      <c r="A1858" s="94">
        <v>6700000</v>
      </c>
      <c r="B1858" s="94">
        <v>6700000</v>
      </c>
      <c r="C1858" s="94">
        <v>6700000</v>
      </c>
      <c r="D1858" s="94">
        <v>6700000</v>
      </c>
      <c r="E1858" s="95">
        <v>41031</v>
      </c>
      <c r="F1858" s="96" t="s">
        <v>3026</v>
      </c>
    </row>
    <row r="1859" spans="1:6">
      <c r="A1859" s="94">
        <v>6700000</v>
      </c>
      <c r="B1859" s="94">
        <v>6700000</v>
      </c>
      <c r="C1859" s="94">
        <v>6700000</v>
      </c>
      <c r="D1859" s="94">
        <v>6700000</v>
      </c>
      <c r="E1859" s="95">
        <v>41030</v>
      </c>
      <c r="F1859" s="96" t="s">
        <v>3027</v>
      </c>
    </row>
    <row r="1860" spans="1:6">
      <c r="A1860" s="94">
        <v>6730000</v>
      </c>
      <c r="B1860" s="94">
        <v>6730000</v>
      </c>
      <c r="C1860" s="94">
        <v>6730000</v>
      </c>
      <c r="D1860" s="94">
        <v>6730000</v>
      </c>
      <c r="E1860" s="95">
        <v>41029</v>
      </c>
      <c r="F1860" s="96" t="s">
        <v>3028</v>
      </c>
    </row>
    <row r="1861" spans="1:6">
      <c r="A1861" s="94">
        <v>6810000</v>
      </c>
      <c r="B1861" s="94">
        <v>6810000</v>
      </c>
      <c r="C1861" s="94">
        <v>6810000</v>
      </c>
      <c r="D1861" s="94">
        <v>6810000</v>
      </c>
      <c r="E1861" s="95">
        <v>41028</v>
      </c>
      <c r="F1861" s="96" t="s">
        <v>3029</v>
      </c>
    </row>
    <row r="1862" spans="1:6">
      <c r="A1862" s="94">
        <v>6580000</v>
      </c>
      <c r="B1862" s="94">
        <v>6580000</v>
      </c>
      <c r="C1862" s="94">
        <v>6580000</v>
      </c>
      <c r="D1862" s="94">
        <v>6580000</v>
      </c>
      <c r="E1862" s="95">
        <v>41027</v>
      </c>
      <c r="F1862" s="96" t="s">
        <v>3030</v>
      </c>
    </row>
    <row r="1863" spans="1:6">
      <c r="A1863" s="94">
        <v>6820000</v>
      </c>
      <c r="B1863" s="94">
        <v>6820000</v>
      </c>
      <c r="C1863" s="94">
        <v>6820000</v>
      </c>
      <c r="D1863" s="94">
        <v>6820000</v>
      </c>
      <c r="E1863" s="95">
        <v>41025</v>
      </c>
      <c r="F1863" s="96" t="s">
        <v>3031</v>
      </c>
    </row>
    <row r="1864" spans="1:6">
      <c r="A1864" s="94">
        <v>6810000</v>
      </c>
      <c r="B1864" s="94">
        <v>6810000</v>
      </c>
      <c r="C1864" s="94">
        <v>6810000</v>
      </c>
      <c r="D1864" s="94">
        <v>6810000</v>
      </c>
      <c r="E1864" s="95">
        <v>41023</v>
      </c>
      <c r="F1864" s="96" t="s">
        <v>3032</v>
      </c>
    </row>
    <row r="1865" spans="1:6">
      <c r="A1865" s="94">
        <v>6890000</v>
      </c>
      <c r="B1865" s="94">
        <v>6890000</v>
      </c>
      <c r="C1865" s="94">
        <v>6890000</v>
      </c>
      <c r="D1865" s="94">
        <v>6890000</v>
      </c>
      <c r="E1865" s="95">
        <v>41022</v>
      </c>
      <c r="F1865" s="96" t="s">
        <v>3033</v>
      </c>
    </row>
    <row r="1866" spans="1:6">
      <c r="A1866" s="94">
        <v>6980000</v>
      </c>
      <c r="B1866" s="94">
        <v>6980000</v>
      </c>
      <c r="C1866" s="94">
        <v>6980000</v>
      </c>
      <c r="D1866" s="94">
        <v>6980000</v>
      </c>
      <c r="E1866" s="95">
        <v>41021</v>
      </c>
      <c r="F1866" s="96" t="s">
        <v>3034</v>
      </c>
    </row>
    <row r="1867" spans="1:6">
      <c r="A1867" s="94">
        <v>7000000</v>
      </c>
      <c r="B1867" s="94">
        <v>7000000</v>
      </c>
      <c r="C1867" s="94">
        <v>7000000</v>
      </c>
      <c r="D1867" s="94">
        <v>7000000</v>
      </c>
      <c r="E1867" s="95">
        <v>41020</v>
      </c>
      <c r="F1867" s="96" t="s">
        <v>3035</v>
      </c>
    </row>
    <row r="1868" spans="1:6">
      <c r="A1868" s="94">
        <v>7020000</v>
      </c>
      <c r="B1868" s="94">
        <v>7020000</v>
      </c>
      <c r="C1868" s="94">
        <v>7020000</v>
      </c>
      <c r="D1868" s="94">
        <v>7020000</v>
      </c>
      <c r="E1868" s="95">
        <v>41018</v>
      </c>
      <c r="F1868" s="96" t="s">
        <v>3036</v>
      </c>
    </row>
    <row r="1869" spans="1:6">
      <c r="A1869" s="94">
        <v>7070000</v>
      </c>
      <c r="B1869" s="94">
        <v>7070000</v>
      </c>
      <c r="C1869" s="94">
        <v>7070000</v>
      </c>
      <c r="D1869" s="94">
        <v>7070000</v>
      </c>
      <c r="E1869" s="95">
        <v>41017</v>
      </c>
      <c r="F1869" s="96" t="s">
        <v>3037</v>
      </c>
    </row>
    <row r="1870" spans="1:6">
      <c r="A1870" s="94">
        <v>7010000</v>
      </c>
      <c r="B1870" s="94">
        <v>7010000</v>
      </c>
      <c r="C1870" s="94">
        <v>7010000</v>
      </c>
      <c r="D1870" s="94">
        <v>7010000</v>
      </c>
      <c r="E1870" s="95">
        <v>41016</v>
      </c>
      <c r="F1870" s="96" t="s">
        <v>3038</v>
      </c>
    </row>
    <row r="1871" spans="1:6">
      <c r="A1871" s="94">
        <v>6830000</v>
      </c>
      <c r="B1871" s="94">
        <v>6830000</v>
      </c>
      <c r="C1871" s="94">
        <v>6830000</v>
      </c>
      <c r="D1871" s="94">
        <v>6830000</v>
      </c>
      <c r="E1871" s="95">
        <v>41015</v>
      </c>
      <c r="F1871" s="96" t="s">
        <v>3039</v>
      </c>
    </row>
    <row r="1872" spans="1:6">
      <c r="A1872" s="94">
        <v>6650000</v>
      </c>
      <c r="B1872" s="94">
        <v>6650000</v>
      </c>
      <c r="C1872" s="94">
        <v>6650000</v>
      </c>
      <c r="D1872" s="94">
        <v>6650000</v>
      </c>
      <c r="E1872" s="95">
        <v>41014</v>
      </c>
      <c r="F1872" s="96" t="s">
        <v>3040</v>
      </c>
    </row>
    <row r="1873" spans="1:6">
      <c r="A1873" s="94">
        <v>7260000</v>
      </c>
      <c r="B1873" s="94">
        <v>7260000</v>
      </c>
      <c r="C1873" s="94">
        <v>7260000</v>
      </c>
      <c r="D1873" s="94">
        <v>7260000</v>
      </c>
      <c r="E1873" s="95">
        <v>41013</v>
      </c>
      <c r="F1873" s="96" t="s">
        <v>3041</v>
      </c>
    </row>
    <row r="1874" spans="1:6">
      <c r="A1874" s="94">
        <v>7320000</v>
      </c>
      <c r="B1874" s="94">
        <v>7320000</v>
      </c>
      <c r="C1874" s="94">
        <v>7320000</v>
      </c>
      <c r="D1874" s="94">
        <v>7320000</v>
      </c>
      <c r="E1874" s="95">
        <v>41011</v>
      </c>
      <c r="F1874" s="96" t="s">
        <v>3042</v>
      </c>
    </row>
    <row r="1875" spans="1:6">
      <c r="A1875" s="94">
        <v>7450000</v>
      </c>
      <c r="B1875" s="94">
        <v>7450000</v>
      </c>
      <c r="C1875" s="94">
        <v>7450000</v>
      </c>
      <c r="D1875" s="94">
        <v>7450000</v>
      </c>
      <c r="E1875" s="95">
        <v>41010</v>
      </c>
      <c r="F1875" s="96" t="s">
        <v>3043</v>
      </c>
    </row>
    <row r="1876" spans="1:6">
      <c r="A1876" s="94">
        <v>7210000</v>
      </c>
      <c r="B1876" s="94">
        <v>7210000</v>
      </c>
      <c r="C1876" s="94">
        <v>7210000</v>
      </c>
      <c r="D1876" s="94">
        <v>7210000</v>
      </c>
      <c r="E1876" s="95">
        <v>41009</v>
      </c>
      <c r="F1876" s="96" t="s">
        <v>3044</v>
      </c>
    </row>
    <row r="1877" spans="1:6">
      <c r="A1877" s="94">
        <v>7290000</v>
      </c>
      <c r="B1877" s="94">
        <v>7290000</v>
      </c>
      <c r="C1877" s="94">
        <v>7290000</v>
      </c>
      <c r="D1877" s="94">
        <v>7290000</v>
      </c>
      <c r="E1877" s="95">
        <v>41008</v>
      </c>
      <c r="F1877" s="96" t="s">
        <v>3045</v>
      </c>
    </row>
    <row r="1878" spans="1:6">
      <c r="A1878" s="94">
        <v>7450000</v>
      </c>
      <c r="B1878" s="94">
        <v>7450000</v>
      </c>
      <c r="C1878" s="94">
        <v>7450000</v>
      </c>
      <c r="D1878" s="94">
        <v>7450000</v>
      </c>
      <c r="E1878" s="95">
        <v>41007</v>
      </c>
      <c r="F1878" s="96" t="s">
        <v>3046</v>
      </c>
    </row>
    <row r="1879" spans="1:6">
      <c r="A1879" s="94">
        <v>7470000</v>
      </c>
      <c r="B1879" s="94">
        <v>7470000</v>
      </c>
      <c r="C1879" s="94">
        <v>7470000</v>
      </c>
      <c r="D1879" s="94">
        <v>7470000</v>
      </c>
      <c r="E1879" s="95">
        <v>41006</v>
      </c>
      <c r="F1879" s="96" t="s">
        <v>3047</v>
      </c>
    </row>
    <row r="1880" spans="1:6">
      <c r="A1880" s="94">
        <v>7430000</v>
      </c>
      <c r="B1880" s="94">
        <v>7430000</v>
      </c>
      <c r="C1880" s="94">
        <v>7430000</v>
      </c>
      <c r="D1880" s="94">
        <v>7430000</v>
      </c>
      <c r="E1880" s="95">
        <v>41004</v>
      </c>
      <c r="F1880" s="96" t="s">
        <v>3048</v>
      </c>
    </row>
    <row r="1881" spans="1:6">
      <c r="A1881" s="94">
        <v>7440000</v>
      </c>
      <c r="B1881" s="94">
        <v>7440000</v>
      </c>
      <c r="C1881" s="94">
        <v>7440000</v>
      </c>
      <c r="D1881" s="94">
        <v>7440000</v>
      </c>
      <c r="E1881" s="95">
        <v>41003</v>
      </c>
      <c r="F1881" s="96" t="s">
        <v>3049</v>
      </c>
    </row>
    <row r="1882" spans="1:6">
      <c r="A1882" s="94">
        <v>7630000</v>
      </c>
      <c r="B1882" s="94">
        <v>7630000</v>
      </c>
      <c r="C1882" s="94">
        <v>7630000</v>
      </c>
      <c r="D1882" s="94">
        <v>7630000</v>
      </c>
      <c r="E1882" s="95">
        <v>41002</v>
      </c>
      <c r="F1882" s="96" t="s">
        <v>3050</v>
      </c>
    </row>
    <row r="1883" spans="1:6">
      <c r="A1883" s="94">
        <v>7740000</v>
      </c>
      <c r="B1883" s="94">
        <v>7740000</v>
      </c>
      <c r="C1883" s="94">
        <v>7740000</v>
      </c>
      <c r="D1883" s="94">
        <v>7740000</v>
      </c>
      <c r="E1883" s="95">
        <v>41001</v>
      </c>
      <c r="F1883" s="96" t="s">
        <v>3051</v>
      </c>
    </row>
    <row r="1884" spans="1:6">
      <c r="A1884" s="94">
        <v>7790000</v>
      </c>
      <c r="B1884" s="94">
        <v>7790000</v>
      </c>
      <c r="C1884" s="94">
        <v>7790000</v>
      </c>
      <c r="D1884" s="94">
        <v>7790000</v>
      </c>
      <c r="E1884" s="95">
        <v>40997</v>
      </c>
      <c r="F1884" s="96" t="s">
        <v>3052</v>
      </c>
    </row>
    <row r="1885" spans="1:6">
      <c r="A1885" s="94">
        <v>7810000</v>
      </c>
      <c r="B1885" s="94">
        <v>7810000</v>
      </c>
      <c r="C1885" s="94">
        <v>7810000</v>
      </c>
      <c r="D1885" s="94">
        <v>7810000</v>
      </c>
      <c r="E1885" s="95">
        <v>40996</v>
      </c>
      <c r="F1885" s="96" t="s">
        <v>3053</v>
      </c>
    </row>
    <row r="1886" spans="1:6">
      <c r="A1886" s="94">
        <v>7800000</v>
      </c>
      <c r="B1886" s="94">
        <v>7800000</v>
      </c>
      <c r="C1886" s="94">
        <v>7800000</v>
      </c>
      <c r="D1886" s="94">
        <v>7800000</v>
      </c>
      <c r="E1886" s="95">
        <v>40995</v>
      </c>
      <c r="F1886" s="96" t="s">
        <v>3054</v>
      </c>
    </row>
    <row r="1887" spans="1:6">
      <c r="A1887" s="94">
        <v>7670000</v>
      </c>
      <c r="B1887" s="94">
        <v>7670000</v>
      </c>
      <c r="C1887" s="94">
        <v>7670000</v>
      </c>
      <c r="D1887" s="94">
        <v>7670000</v>
      </c>
      <c r="E1887" s="95">
        <v>40994</v>
      </c>
      <c r="F1887" s="96" t="s">
        <v>3055</v>
      </c>
    </row>
    <row r="1888" spans="1:6">
      <c r="A1888" s="94">
        <v>7640000</v>
      </c>
      <c r="B1888" s="94">
        <v>7640000</v>
      </c>
      <c r="C1888" s="94">
        <v>7640000</v>
      </c>
      <c r="D1888" s="94">
        <v>7640000</v>
      </c>
      <c r="E1888" s="95">
        <v>40993</v>
      </c>
      <c r="F1888" s="96" t="s">
        <v>3056</v>
      </c>
    </row>
    <row r="1889" spans="1:6">
      <c r="A1889" s="94">
        <v>7680000</v>
      </c>
      <c r="B1889" s="94">
        <v>7680000</v>
      </c>
      <c r="C1889" s="94">
        <v>7680000</v>
      </c>
      <c r="D1889" s="94">
        <v>7680000</v>
      </c>
      <c r="E1889" s="95">
        <v>40992</v>
      </c>
      <c r="F1889" s="96" t="s">
        <v>3057</v>
      </c>
    </row>
    <row r="1890" spans="1:6">
      <c r="A1890" s="94">
        <v>7650000</v>
      </c>
      <c r="B1890" s="94">
        <v>7650000</v>
      </c>
      <c r="C1890" s="94">
        <v>7650000</v>
      </c>
      <c r="D1890" s="94">
        <v>7650000</v>
      </c>
      <c r="E1890" s="95">
        <v>40986</v>
      </c>
      <c r="F1890" s="96" t="s">
        <v>3058</v>
      </c>
    </row>
    <row r="1891" spans="1:6">
      <c r="A1891" s="94">
        <v>7760000</v>
      </c>
      <c r="B1891" s="94">
        <v>7760000</v>
      </c>
      <c r="C1891" s="94">
        <v>7760000</v>
      </c>
      <c r="D1891" s="94">
        <v>7760000</v>
      </c>
      <c r="E1891" s="95">
        <v>40985</v>
      </c>
      <c r="F1891" s="96" t="s">
        <v>3059</v>
      </c>
    </row>
    <row r="1892" spans="1:6">
      <c r="A1892" s="94">
        <v>7400000</v>
      </c>
      <c r="B1892" s="94">
        <v>7400000</v>
      </c>
      <c r="C1892" s="94">
        <v>7400000</v>
      </c>
      <c r="D1892" s="94">
        <v>7400000</v>
      </c>
      <c r="E1892" s="95">
        <v>40983</v>
      </c>
      <c r="F1892" s="96" t="s">
        <v>3060</v>
      </c>
    </row>
    <row r="1893" spans="1:6">
      <c r="A1893" s="94">
        <v>7450000</v>
      </c>
      <c r="B1893" s="94">
        <v>7450000</v>
      </c>
      <c r="C1893" s="94">
        <v>7450000</v>
      </c>
      <c r="D1893" s="94">
        <v>7450000</v>
      </c>
      <c r="E1893" s="95">
        <v>40982</v>
      </c>
      <c r="F1893" s="96" t="s">
        <v>3061</v>
      </c>
    </row>
    <row r="1894" spans="1:6">
      <c r="A1894" s="94">
        <v>7650000</v>
      </c>
      <c r="B1894" s="94">
        <v>7650000</v>
      </c>
      <c r="C1894" s="94">
        <v>7650000</v>
      </c>
      <c r="D1894" s="94">
        <v>7650000</v>
      </c>
      <c r="E1894" s="95">
        <v>40981</v>
      </c>
      <c r="F1894" s="96" t="s">
        <v>3062</v>
      </c>
    </row>
    <row r="1895" spans="1:6">
      <c r="A1895" s="94">
        <v>7750000</v>
      </c>
      <c r="B1895" s="94">
        <v>7750000</v>
      </c>
      <c r="C1895" s="94">
        <v>7750000</v>
      </c>
      <c r="D1895" s="94">
        <v>7750000</v>
      </c>
      <c r="E1895" s="95">
        <v>40980</v>
      </c>
      <c r="F1895" s="96" t="s">
        <v>3063</v>
      </c>
    </row>
    <row r="1896" spans="1:6">
      <c r="A1896" s="94">
        <v>7620000</v>
      </c>
      <c r="B1896" s="94">
        <v>7620000</v>
      </c>
      <c r="C1896" s="94">
        <v>7620000</v>
      </c>
      <c r="D1896" s="94">
        <v>7620000</v>
      </c>
      <c r="E1896" s="95">
        <v>40979</v>
      </c>
      <c r="F1896" s="96" t="s">
        <v>3064</v>
      </c>
    </row>
    <row r="1897" spans="1:6">
      <c r="A1897" s="94">
        <v>7750000</v>
      </c>
      <c r="B1897" s="94">
        <v>7750000</v>
      </c>
      <c r="C1897" s="94">
        <v>7750000</v>
      </c>
      <c r="D1897" s="94">
        <v>7750000</v>
      </c>
      <c r="E1897" s="95">
        <v>40978</v>
      </c>
      <c r="F1897" s="96" t="s">
        <v>3065</v>
      </c>
    </row>
    <row r="1898" spans="1:6">
      <c r="A1898" s="94">
        <v>7900000</v>
      </c>
      <c r="B1898" s="94">
        <v>7900000</v>
      </c>
      <c r="C1898" s="94">
        <v>7900000</v>
      </c>
      <c r="D1898" s="94">
        <v>7900000</v>
      </c>
      <c r="E1898" s="95">
        <v>40976</v>
      </c>
      <c r="F1898" s="96" t="s">
        <v>3066</v>
      </c>
    </row>
    <row r="1899" spans="1:6">
      <c r="A1899" s="94">
        <v>7850000</v>
      </c>
      <c r="B1899" s="94">
        <v>7850000</v>
      </c>
      <c r="C1899" s="94">
        <v>7850000</v>
      </c>
      <c r="D1899" s="94">
        <v>7850000</v>
      </c>
      <c r="E1899" s="95">
        <v>40975</v>
      </c>
      <c r="F1899" s="96" t="s">
        <v>3067</v>
      </c>
    </row>
    <row r="1900" spans="1:6">
      <c r="A1900" s="94">
        <v>7900000</v>
      </c>
      <c r="B1900" s="94">
        <v>7900000</v>
      </c>
      <c r="C1900" s="94">
        <v>7900000</v>
      </c>
      <c r="D1900" s="94">
        <v>7900000</v>
      </c>
      <c r="E1900" s="95">
        <v>40974</v>
      </c>
      <c r="F1900" s="96" t="s">
        <v>3068</v>
      </c>
    </row>
    <row r="1901" spans="1:6">
      <c r="A1901" s="94">
        <v>7980000</v>
      </c>
      <c r="B1901" s="94">
        <v>7980000</v>
      </c>
      <c r="C1901" s="94">
        <v>7980000</v>
      </c>
      <c r="D1901" s="94">
        <v>7980000</v>
      </c>
      <c r="E1901" s="95">
        <v>40973</v>
      </c>
      <c r="F1901" s="96" t="s">
        <v>3069</v>
      </c>
    </row>
    <row r="1902" spans="1:6">
      <c r="A1902" s="94">
        <v>8010000</v>
      </c>
      <c r="B1902" s="94">
        <v>8010000</v>
      </c>
      <c r="C1902" s="94">
        <v>8010000</v>
      </c>
      <c r="D1902" s="94">
        <v>8010000</v>
      </c>
      <c r="E1902" s="95">
        <v>40972</v>
      </c>
      <c r="F1902" s="96" t="s">
        <v>3070</v>
      </c>
    </row>
    <row r="1903" spans="1:6">
      <c r="A1903" s="94">
        <v>8100000</v>
      </c>
      <c r="B1903" s="94">
        <v>8100000</v>
      </c>
      <c r="C1903" s="94">
        <v>8100000</v>
      </c>
      <c r="D1903" s="94">
        <v>8100000</v>
      </c>
      <c r="E1903" s="95">
        <v>40971</v>
      </c>
      <c r="F1903" s="96" t="s">
        <v>3071</v>
      </c>
    </row>
    <row r="1904" spans="1:6">
      <c r="A1904" s="94">
        <v>8120000</v>
      </c>
      <c r="B1904" s="94">
        <v>8120000</v>
      </c>
      <c r="C1904" s="94">
        <v>8120000</v>
      </c>
      <c r="D1904" s="94">
        <v>8120000</v>
      </c>
      <c r="E1904" s="95">
        <v>40969</v>
      </c>
      <c r="F1904" s="96" t="s">
        <v>3072</v>
      </c>
    </row>
    <row r="1905" spans="1:6">
      <c r="A1905" s="94">
        <v>8100000</v>
      </c>
      <c r="B1905" s="94">
        <v>8100000</v>
      </c>
      <c r="C1905" s="94">
        <v>8100000</v>
      </c>
      <c r="D1905" s="94">
        <v>8100000</v>
      </c>
      <c r="E1905" s="95">
        <v>40968</v>
      </c>
      <c r="F1905" s="96" t="s">
        <v>3073</v>
      </c>
    </row>
    <row r="1906" spans="1:6">
      <c r="A1906" s="94">
        <v>8000000</v>
      </c>
      <c r="B1906" s="94">
        <v>8000000</v>
      </c>
      <c r="C1906" s="94">
        <v>8000000</v>
      </c>
      <c r="D1906" s="94">
        <v>8000000</v>
      </c>
      <c r="E1906" s="95">
        <v>40967</v>
      </c>
      <c r="F1906" s="96" t="s">
        <v>3074</v>
      </c>
    </row>
    <row r="1907" spans="1:6">
      <c r="A1907" s="94">
        <v>7750000</v>
      </c>
      <c r="B1907" s="94">
        <v>7750000</v>
      </c>
      <c r="C1907" s="94">
        <v>7750000</v>
      </c>
      <c r="D1907" s="94">
        <v>7750000</v>
      </c>
      <c r="E1907" s="95">
        <v>40966</v>
      </c>
      <c r="F1907" s="96" t="s">
        <v>3075</v>
      </c>
    </row>
    <row r="1908" spans="1:6">
      <c r="A1908" s="94">
        <v>8100000</v>
      </c>
      <c r="B1908" s="94">
        <v>8100000</v>
      </c>
      <c r="C1908" s="94">
        <v>8100000</v>
      </c>
      <c r="D1908" s="94">
        <v>8100000</v>
      </c>
      <c r="E1908" s="95">
        <v>40965</v>
      </c>
      <c r="F1908" s="96" t="s">
        <v>3076</v>
      </c>
    </row>
    <row r="1909" spans="1:6">
      <c r="A1909" s="94">
        <v>8250000</v>
      </c>
      <c r="B1909" s="94">
        <v>8250000</v>
      </c>
      <c r="C1909" s="94">
        <v>8250000</v>
      </c>
      <c r="D1909" s="94">
        <v>8250000</v>
      </c>
      <c r="E1909" s="95">
        <v>40964</v>
      </c>
      <c r="F1909" s="96" t="s">
        <v>3077</v>
      </c>
    </row>
    <row r="1910" spans="1:6">
      <c r="A1910" s="94">
        <v>8120000</v>
      </c>
      <c r="B1910" s="94">
        <v>8120000</v>
      </c>
      <c r="C1910" s="94">
        <v>8120000</v>
      </c>
      <c r="D1910" s="94">
        <v>8120000</v>
      </c>
      <c r="E1910" s="95">
        <v>40962</v>
      </c>
      <c r="F1910" s="96" t="s">
        <v>3078</v>
      </c>
    </row>
    <row r="1911" spans="1:6">
      <c r="A1911" s="94">
        <v>8080000</v>
      </c>
      <c r="B1911" s="94">
        <v>8080000</v>
      </c>
      <c r="C1911" s="94">
        <v>8080000</v>
      </c>
      <c r="D1911" s="94">
        <v>8080000</v>
      </c>
      <c r="E1911" s="95">
        <v>40961</v>
      </c>
      <c r="F1911" s="96" t="s">
        <v>3079</v>
      </c>
    </row>
    <row r="1912" spans="1:6">
      <c r="A1912" s="94">
        <v>8160000</v>
      </c>
      <c r="B1912" s="94">
        <v>8160000</v>
      </c>
      <c r="C1912" s="94">
        <v>8160000</v>
      </c>
      <c r="D1912" s="94">
        <v>8160000</v>
      </c>
      <c r="E1912" s="95">
        <v>40960</v>
      </c>
      <c r="F1912" s="96" t="s">
        <v>3080</v>
      </c>
    </row>
    <row r="1913" spans="1:6">
      <c r="A1913" s="94">
        <v>8160000</v>
      </c>
      <c r="B1913" s="94">
        <v>8160000</v>
      </c>
      <c r="C1913" s="94">
        <v>8160000</v>
      </c>
      <c r="D1913" s="94">
        <v>8160000</v>
      </c>
      <c r="E1913" s="95">
        <v>40959</v>
      </c>
      <c r="F1913" s="96" t="s">
        <v>3081</v>
      </c>
    </row>
    <row r="1914" spans="1:6">
      <c r="A1914" s="94">
        <v>8120000</v>
      </c>
      <c r="B1914" s="94">
        <v>8120000</v>
      </c>
      <c r="C1914" s="94">
        <v>8120000</v>
      </c>
      <c r="D1914" s="94">
        <v>8120000</v>
      </c>
      <c r="E1914" s="95">
        <v>40958</v>
      </c>
      <c r="F1914" s="96" t="s">
        <v>3082</v>
      </c>
    </row>
    <row r="1915" spans="1:6">
      <c r="A1915" s="94">
        <v>8140000</v>
      </c>
      <c r="B1915" s="94">
        <v>8140000</v>
      </c>
      <c r="C1915" s="94">
        <v>8140000</v>
      </c>
      <c r="D1915" s="94">
        <v>8140000</v>
      </c>
      <c r="E1915" s="95">
        <v>40957</v>
      </c>
      <c r="F1915" s="96" t="s">
        <v>3083</v>
      </c>
    </row>
    <row r="1916" spans="1:6">
      <c r="A1916" s="94">
        <v>8140000</v>
      </c>
      <c r="B1916" s="94">
        <v>8140000</v>
      </c>
      <c r="C1916" s="94">
        <v>8140000</v>
      </c>
      <c r="D1916" s="94">
        <v>8140000</v>
      </c>
      <c r="E1916" s="95">
        <v>40955</v>
      </c>
      <c r="F1916" s="96" t="s">
        <v>3084</v>
      </c>
    </row>
    <row r="1917" spans="1:6">
      <c r="A1917" s="94">
        <v>8240000</v>
      </c>
      <c r="B1917" s="94">
        <v>8240000</v>
      </c>
      <c r="C1917" s="94">
        <v>8240000</v>
      </c>
      <c r="D1917" s="94">
        <v>8240000</v>
      </c>
      <c r="E1917" s="95">
        <v>40954</v>
      </c>
      <c r="F1917" s="96" t="s">
        <v>3085</v>
      </c>
    </row>
    <row r="1918" spans="1:6">
      <c r="A1918" s="94">
        <v>8100000</v>
      </c>
      <c r="B1918" s="94">
        <v>8100000</v>
      </c>
      <c r="C1918" s="94">
        <v>8100000</v>
      </c>
      <c r="D1918" s="94">
        <v>8100000</v>
      </c>
      <c r="E1918" s="95">
        <v>40953</v>
      </c>
      <c r="F1918" s="96" t="s">
        <v>3086</v>
      </c>
    </row>
    <row r="1919" spans="1:6">
      <c r="A1919" s="94">
        <v>8150000</v>
      </c>
      <c r="B1919" s="94">
        <v>8150000</v>
      </c>
      <c r="C1919" s="94">
        <v>8150000</v>
      </c>
      <c r="D1919" s="94">
        <v>8150000</v>
      </c>
      <c r="E1919" s="95">
        <v>40952</v>
      </c>
      <c r="F1919" s="96" t="s">
        <v>3087</v>
      </c>
    </row>
    <row r="1920" spans="1:6">
      <c r="A1920" s="94">
        <v>8230000</v>
      </c>
      <c r="B1920" s="94">
        <v>8230000</v>
      </c>
      <c r="C1920" s="94">
        <v>8230000</v>
      </c>
      <c r="D1920" s="94">
        <v>8230000</v>
      </c>
      <c r="E1920" s="95">
        <v>40951</v>
      </c>
      <c r="F1920" s="96" t="s">
        <v>3088</v>
      </c>
    </row>
    <row r="1921" spans="1:6">
      <c r="A1921" s="94">
        <v>8280000</v>
      </c>
      <c r="B1921" s="94">
        <v>8280000</v>
      </c>
      <c r="C1921" s="94">
        <v>8280000</v>
      </c>
      <c r="D1921" s="94">
        <v>8280000</v>
      </c>
      <c r="E1921" s="95">
        <v>40948</v>
      </c>
      <c r="F1921" s="96" t="s">
        <v>3089</v>
      </c>
    </row>
    <row r="1922" spans="1:6">
      <c r="A1922" s="94">
        <v>8350000</v>
      </c>
      <c r="B1922" s="94">
        <v>8350000</v>
      </c>
      <c r="C1922" s="94">
        <v>8350000</v>
      </c>
      <c r="D1922" s="94">
        <v>8350000</v>
      </c>
      <c r="E1922" s="95">
        <v>40947</v>
      </c>
      <c r="F1922" s="96" t="s">
        <v>3090</v>
      </c>
    </row>
    <row r="1923" spans="1:6">
      <c r="A1923" s="94">
        <v>8190000</v>
      </c>
      <c r="B1923" s="94">
        <v>8190000</v>
      </c>
      <c r="C1923" s="94">
        <v>8190000</v>
      </c>
      <c r="D1923" s="94">
        <v>8190000</v>
      </c>
      <c r="E1923" s="95">
        <v>40946</v>
      </c>
      <c r="F1923" s="96" t="s">
        <v>3091</v>
      </c>
    </row>
    <row r="1924" spans="1:6">
      <c r="A1924" s="94">
        <v>8150000</v>
      </c>
      <c r="B1924" s="94">
        <v>8150000</v>
      </c>
      <c r="C1924" s="94">
        <v>8150000</v>
      </c>
      <c r="D1924" s="94">
        <v>8150000</v>
      </c>
      <c r="E1924" s="95">
        <v>40945</v>
      </c>
      <c r="F1924" s="96" t="s">
        <v>3092</v>
      </c>
    </row>
    <row r="1925" spans="1:6">
      <c r="A1925" s="94">
        <v>8320000</v>
      </c>
      <c r="B1925" s="94">
        <v>8320000</v>
      </c>
      <c r="C1925" s="94">
        <v>8320000</v>
      </c>
      <c r="D1925" s="94">
        <v>8320000</v>
      </c>
      <c r="E1925" s="95">
        <v>40944</v>
      </c>
      <c r="F1925" s="96" t="s">
        <v>3093</v>
      </c>
    </row>
    <row r="1926" spans="1:6">
      <c r="A1926" s="94">
        <v>8050000</v>
      </c>
      <c r="B1926" s="94">
        <v>8050000</v>
      </c>
      <c r="C1926" s="94">
        <v>8050000</v>
      </c>
      <c r="D1926" s="94">
        <v>8050000</v>
      </c>
      <c r="E1926" s="95">
        <v>40943</v>
      </c>
      <c r="F1926" s="96" t="s">
        <v>3094</v>
      </c>
    </row>
    <row r="1927" spans="1:6">
      <c r="A1927" s="94">
        <v>7550000</v>
      </c>
      <c r="B1927" s="94">
        <v>7550000</v>
      </c>
      <c r="C1927" s="94">
        <v>7550000</v>
      </c>
      <c r="D1927" s="94">
        <v>7550000</v>
      </c>
      <c r="E1927" s="95">
        <v>40941</v>
      </c>
      <c r="F1927" s="96" t="s">
        <v>3095</v>
      </c>
    </row>
    <row r="1928" spans="1:6">
      <c r="A1928" s="94">
        <v>7690000</v>
      </c>
      <c r="B1928" s="94">
        <v>7690000</v>
      </c>
      <c r="C1928" s="94">
        <v>7690000</v>
      </c>
      <c r="D1928" s="94">
        <v>7690000</v>
      </c>
      <c r="E1928" s="95">
        <v>40940</v>
      </c>
      <c r="F1928" s="96" t="s">
        <v>3096</v>
      </c>
    </row>
    <row r="1929" spans="1:6">
      <c r="A1929" s="94">
        <v>7850000</v>
      </c>
      <c r="B1929" s="94">
        <v>7850000</v>
      </c>
      <c r="C1929" s="94">
        <v>7850000</v>
      </c>
      <c r="D1929" s="94">
        <v>7850000</v>
      </c>
      <c r="E1929" s="95">
        <v>40939</v>
      </c>
      <c r="F1929" s="96" t="s">
        <v>3097</v>
      </c>
    </row>
    <row r="1930" spans="1:6">
      <c r="A1930" s="94">
        <v>8400000</v>
      </c>
      <c r="B1930" s="94">
        <v>8400000</v>
      </c>
      <c r="C1930" s="94">
        <v>8400000</v>
      </c>
      <c r="D1930" s="94">
        <v>8400000</v>
      </c>
      <c r="E1930" s="95">
        <v>40938</v>
      </c>
      <c r="F1930" s="96" t="s">
        <v>3098</v>
      </c>
    </row>
    <row r="1931" spans="1:6">
      <c r="A1931" s="94">
        <v>8400000</v>
      </c>
      <c r="B1931" s="94">
        <v>8400000</v>
      </c>
      <c r="C1931" s="94">
        <v>8400000</v>
      </c>
      <c r="D1931" s="94">
        <v>8400000</v>
      </c>
      <c r="E1931" s="95">
        <v>40937</v>
      </c>
      <c r="F1931" s="96" t="s">
        <v>3099</v>
      </c>
    </row>
    <row r="1932" spans="1:6">
      <c r="A1932" s="94">
        <v>7950000</v>
      </c>
      <c r="B1932" s="94">
        <v>7950000</v>
      </c>
      <c r="C1932" s="94">
        <v>7950000</v>
      </c>
      <c r="D1932" s="94">
        <v>7950000</v>
      </c>
      <c r="E1932" s="95">
        <v>40936</v>
      </c>
      <c r="F1932" s="96" t="s">
        <v>3100</v>
      </c>
    </row>
    <row r="1933" spans="1:6">
      <c r="A1933" s="94">
        <v>7800000</v>
      </c>
      <c r="B1933" s="94">
        <v>7800000</v>
      </c>
      <c r="C1933" s="94">
        <v>7800000</v>
      </c>
      <c r="D1933" s="94">
        <v>7800000</v>
      </c>
      <c r="E1933" s="95">
        <v>40934</v>
      </c>
      <c r="F1933" s="96" t="s">
        <v>3101</v>
      </c>
    </row>
    <row r="1934" spans="1:6">
      <c r="A1934" s="94">
        <v>8000000</v>
      </c>
      <c r="B1934" s="94">
        <v>8000000</v>
      </c>
      <c r="C1934" s="94">
        <v>8000000</v>
      </c>
      <c r="D1934" s="94">
        <v>8000000</v>
      </c>
      <c r="E1934" s="95">
        <v>40933</v>
      </c>
      <c r="F1934" s="96" t="s">
        <v>3102</v>
      </c>
    </row>
    <row r="1935" spans="1:6">
      <c r="A1935" s="94">
        <v>10100000</v>
      </c>
      <c r="B1935" s="94">
        <v>10100000</v>
      </c>
      <c r="C1935" s="94">
        <v>10100000</v>
      </c>
      <c r="D1935" s="94">
        <v>10100000</v>
      </c>
      <c r="E1935" s="95">
        <v>40931</v>
      </c>
      <c r="F1935" s="96" t="s">
        <v>3103</v>
      </c>
    </row>
    <row r="1936" spans="1:6">
      <c r="A1936" s="94">
        <v>9150000</v>
      </c>
      <c r="B1936" s="94">
        <v>9150000</v>
      </c>
      <c r="C1936" s="94">
        <v>9150000</v>
      </c>
      <c r="D1936" s="94">
        <v>9150000</v>
      </c>
      <c r="E1936" s="95">
        <v>40929</v>
      </c>
      <c r="F1936" s="96" t="s">
        <v>3104</v>
      </c>
    </row>
    <row r="1937" spans="1:6">
      <c r="A1937" s="94">
        <v>7810000</v>
      </c>
      <c r="B1937" s="94">
        <v>7810000</v>
      </c>
      <c r="C1937" s="94">
        <v>7810000</v>
      </c>
      <c r="D1937" s="94">
        <v>7810000</v>
      </c>
      <c r="E1937" s="95">
        <v>40927</v>
      </c>
      <c r="F1937" s="96" t="s">
        <v>3105</v>
      </c>
    </row>
    <row r="1938" spans="1:6">
      <c r="A1938" s="94">
        <v>7720000</v>
      </c>
      <c r="B1938" s="94">
        <v>7720000</v>
      </c>
      <c r="C1938" s="94">
        <v>7720000</v>
      </c>
      <c r="D1938" s="94">
        <v>7720000</v>
      </c>
      <c r="E1938" s="95">
        <v>40926</v>
      </c>
      <c r="F1938" s="96" t="s">
        <v>3106</v>
      </c>
    </row>
    <row r="1939" spans="1:6">
      <c r="A1939" s="94">
        <v>7530000</v>
      </c>
      <c r="B1939" s="94">
        <v>7530000</v>
      </c>
      <c r="C1939" s="94">
        <v>7530000</v>
      </c>
      <c r="D1939" s="94">
        <v>7530000</v>
      </c>
      <c r="E1939" s="95">
        <v>40925</v>
      </c>
      <c r="F1939" s="96" t="s">
        <v>3107</v>
      </c>
    </row>
    <row r="1940" spans="1:6">
      <c r="A1940" s="94">
        <v>6950000</v>
      </c>
      <c r="B1940" s="94">
        <v>6950000</v>
      </c>
      <c r="C1940" s="94">
        <v>6950000</v>
      </c>
      <c r="D1940" s="94">
        <v>6950000</v>
      </c>
      <c r="E1940" s="95">
        <v>40924</v>
      </c>
      <c r="F1940" s="96" t="s">
        <v>3108</v>
      </c>
    </row>
    <row r="1941" spans="1:6">
      <c r="A1941" s="94">
        <v>6700000</v>
      </c>
      <c r="B1941" s="94">
        <v>6700000</v>
      </c>
      <c r="C1941" s="94">
        <v>6700000</v>
      </c>
      <c r="D1941" s="94">
        <v>6700000</v>
      </c>
      <c r="E1941" s="95">
        <v>40923</v>
      </c>
      <c r="F1941" s="96" t="s">
        <v>3109</v>
      </c>
    </row>
    <row r="1942" spans="1:6">
      <c r="A1942" s="94">
        <v>6670000</v>
      </c>
      <c r="B1942" s="94">
        <v>6670000</v>
      </c>
      <c r="C1942" s="94">
        <v>6670000</v>
      </c>
      <c r="D1942" s="94">
        <v>6670000</v>
      </c>
      <c r="E1942" s="95">
        <v>40920</v>
      </c>
      <c r="F1942" s="96" t="s">
        <v>3110</v>
      </c>
    </row>
    <row r="1943" spans="1:6">
      <c r="A1943" s="94">
        <v>6690000</v>
      </c>
      <c r="B1943" s="94">
        <v>6690000</v>
      </c>
      <c r="C1943" s="94">
        <v>6690000</v>
      </c>
      <c r="D1943" s="94">
        <v>6690000</v>
      </c>
      <c r="E1943" s="95">
        <v>40919</v>
      </c>
      <c r="F1943" s="96" t="s">
        <v>3111</v>
      </c>
    </row>
    <row r="1944" spans="1:6">
      <c r="A1944" s="94">
        <v>6600000</v>
      </c>
      <c r="B1944" s="94">
        <v>6600000</v>
      </c>
      <c r="C1944" s="94">
        <v>6600000</v>
      </c>
      <c r="D1944" s="94">
        <v>6600000</v>
      </c>
      <c r="E1944" s="95">
        <v>40918</v>
      </c>
      <c r="F1944" s="96" t="s">
        <v>3112</v>
      </c>
    </row>
    <row r="1945" spans="1:6">
      <c r="A1945" s="94">
        <v>6350000</v>
      </c>
      <c r="B1945" s="94">
        <v>6350000</v>
      </c>
      <c r="C1945" s="94">
        <v>6350000</v>
      </c>
      <c r="D1945" s="94">
        <v>6350000</v>
      </c>
      <c r="E1945" s="95">
        <v>40917</v>
      </c>
      <c r="F1945" s="96" t="s">
        <v>3113</v>
      </c>
    </row>
    <row r="1946" spans="1:6">
      <c r="A1946" s="94">
        <v>6210000</v>
      </c>
      <c r="B1946" s="94">
        <v>6210000</v>
      </c>
      <c r="C1946" s="94">
        <v>6210000</v>
      </c>
      <c r="D1946" s="94">
        <v>6210000</v>
      </c>
      <c r="E1946" s="95">
        <v>40916</v>
      </c>
      <c r="F1946" s="96" t="s">
        <v>3114</v>
      </c>
    </row>
    <row r="1947" spans="1:6">
      <c r="A1947" s="94">
        <v>6170000</v>
      </c>
      <c r="B1947" s="94">
        <v>6170000</v>
      </c>
      <c r="C1947" s="94">
        <v>6170000</v>
      </c>
      <c r="D1947" s="94">
        <v>6170000</v>
      </c>
      <c r="E1947" s="95">
        <v>40915</v>
      </c>
      <c r="F1947" s="96" t="s">
        <v>3115</v>
      </c>
    </row>
    <row r="1948" spans="1:6">
      <c r="A1948" s="94">
        <v>6170000</v>
      </c>
      <c r="B1948" s="94">
        <v>6170000</v>
      </c>
      <c r="C1948" s="94">
        <v>6170000</v>
      </c>
      <c r="D1948" s="94">
        <v>6170000</v>
      </c>
      <c r="E1948" s="95">
        <v>40913</v>
      </c>
      <c r="F1948" s="96" t="s">
        <v>3116</v>
      </c>
    </row>
    <row r="1949" spans="1:6">
      <c r="A1949" s="94">
        <v>6130000</v>
      </c>
      <c r="B1949" s="94">
        <v>6130000</v>
      </c>
      <c r="C1949" s="94">
        <v>6130000</v>
      </c>
      <c r="D1949" s="94">
        <v>6130000</v>
      </c>
      <c r="E1949" s="95">
        <v>40912</v>
      </c>
      <c r="F1949" s="96" t="s">
        <v>3117</v>
      </c>
    </row>
    <row r="1950" spans="1:6">
      <c r="A1950" s="94">
        <v>6140000</v>
      </c>
      <c r="B1950" s="94">
        <v>6140000</v>
      </c>
      <c r="C1950" s="94">
        <v>6140000</v>
      </c>
      <c r="D1950" s="94">
        <v>6140000</v>
      </c>
      <c r="E1950" s="95">
        <v>40911</v>
      </c>
      <c r="F1950" s="96" t="s">
        <v>3118</v>
      </c>
    </row>
    <row r="1951" spans="1:6">
      <c r="A1951" s="94">
        <v>6210000</v>
      </c>
      <c r="B1951" s="94">
        <v>6210000</v>
      </c>
      <c r="C1951" s="94">
        <v>6210000</v>
      </c>
      <c r="D1951" s="94">
        <v>6210000</v>
      </c>
      <c r="E1951" s="95">
        <v>40910</v>
      </c>
      <c r="F1951" s="96" t="s">
        <v>3119</v>
      </c>
    </row>
    <row r="1952" spans="1:6">
      <c r="A1952" s="94">
        <v>6130000</v>
      </c>
      <c r="B1952" s="94">
        <v>6130000</v>
      </c>
      <c r="C1952" s="94">
        <v>6130000</v>
      </c>
      <c r="D1952" s="94">
        <v>6130000</v>
      </c>
      <c r="E1952" s="95">
        <v>40909</v>
      </c>
      <c r="F1952" s="96" t="s">
        <v>3120</v>
      </c>
    </row>
    <row r="1953" spans="1:6">
      <c r="A1953" s="94">
        <v>6130000</v>
      </c>
      <c r="B1953" s="94">
        <v>6130000</v>
      </c>
      <c r="C1953" s="94">
        <v>6130000</v>
      </c>
      <c r="D1953" s="94">
        <v>6130000</v>
      </c>
      <c r="E1953" s="95">
        <v>40908</v>
      </c>
      <c r="F1953" s="96" t="s">
        <v>3121</v>
      </c>
    </row>
    <row r="1954" spans="1:6">
      <c r="A1954" s="94">
        <v>6020000</v>
      </c>
      <c r="B1954" s="94">
        <v>6020000</v>
      </c>
      <c r="C1954" s="94">
        <v>6020000</v>
      </c>
      <c r="D1954" s="94">
        <v>6020000</v>
      </c>
      <c r="E1954" s="95">
        <v>40906</v>
      </c>
      <c r="F1954" s="96" t="s">
        <v>3122</v>
      </c>
    </row>
    <row r="1955" spans="1:6">
      <c r="A1955" s="94">
        <v>6060000</v>
      </c>
      <c r="B1955" s="94">
        <v>6060000</v>
      </c>
      <c r="C1955" s="94">
        <v>6060000</v>
      </c>
      <c r="D1955" s="94">
        <v>6060000</v>
      </c>
      <c r="E1955" s="95">
        <v>40905</v>
      </c>
      <c r="F1955" s="96" t="s">
        <v>3123</v>
      </c>
    </row>
    <row r="1956" spans="1:6">
      <c r="A1956" s="94">
        <v>6080000</v>
      </c>
      <c r="B1956" s="94">
        <v>6080000</v>
      </c>
      <c r="C1956" s="94">
        <v>6080000</v>
      </c>
      <c r="D1956" s="94">
        <v>6080000</v>
      </c>
      <c r="E1956" s="95">
        <v>40904</v>
      </c>
      <c r="F1956" s="96" t="s">
        <v>3124</v>
      </c>
    </row>
    <row r="1957" spans="1:6">
      <c r="A1957" s="94">
        <v>6150000</v>
      </c>
      <c r="B1957" s="94">
        <v>6150000</v>
      </c>
      <c r="C1957" s="94">
        <v>6150000</v>
      </c>
      <c r="D1957" s="94">
        <v>6150000</v>
      </c>
      <c r="E1957" s="95">
        <v>40903</v>
      </c>
      <c r="F1957" s="96" t="s">
        <v>3125</v>
      </c>
    </row>
    <row r="1958" spans="1:6">
      <c r="A1958" s="94">
        <v>6120000</v>
      </c>
      <c r="B1958" s="94">
        <v>6120000</v>
      </c>
      <c r="C1958" s="94">
        <v>6120000</v>
      </c>
      <c r="D1958" s="94">
        <v>6120000</v>
      </c>
      <c r="E1958" s="95">
        <v>40902</v>
      </c>
      <c r="F1958" s="96" t="s">
        <v>3126</v>
      </c>
    </row>
    <row r="1959" spans="1:6">
      <c r="A1959" s="94">
        <v>6050000</v>
      </c>
      <c r="B1959" s="94">
        <v>6050000</v>
      </c>
      <c r="C1959" s="94">
        <v>6050000</v>
      </c>
      <c r="D1959" s="94">
        <v>6050000</v>
      </c>
      <c r="E1959" s="95">
        <v>40901</v>
      </c>
      <c r="F1959" s="96" t="s">
        <v>3127</v>
      </c>
    </row>
    <row r="1960" spans="1:6">
      <c r="A1960" s="94">
        <v>6020000</v>
      </c>
      <c r="B1960" s="94">
        <v>6020000</v>
      </c>
      <c r="C1960" s="94">
        <v>6020000</v>
      </c>
      <c r="D1960" s="94">
        <v>6020000</v>
      </c>
      <c r="E1960" s="95">
        <v>40899</v>
      </c>
      <c r="F1960" s="96" t="s">
        <v>3128</v>
      </c>
    </row>
    <row r="1961" spans="1:6">
      <c r="A1961" s="94">
        <v>6150000</v>
      </c>
      <c r="B1961" s="94">
        <v>6150000</v>
      </c>
      <c r="C1961" s="94">
        <v>6150000</v>
      </c>
      <c r="D1961" s="94">
        <v>6150000</v>
      </c>
      <c r="E1961" s="95">
        <v>40898</v>
      </c>
      <c r="F1961" s="96" t="s">
        <v>3129</v>
      </c>
    </row>
    <row r="1962" spans="1:6">
      <c r="A1962" s="94">
        <v>6220000</v>
      </c>
      <c r="B1962" s="94">
        <v>6220000</v>
      </c>
      <c r="C1962" s="94">
        <v>6220000</v>
      </c>
      <c r="D1962" s="94">
        <v>6220000</v>
      </c>
      <c r="E1962" s="95">
        <v>40897</v>
      </c>
      <c r="F1962" s="96" t="s">
        <v>3130</v>
      </c>
    </row>
    <row r="1963" spans="1:6">
      <c r="A1963" s="94">
        <v>6100000</v>
      </c>
      <c r="B1963" s="94">
        <v>6100000</v>
      </c>
      <c r="C1963" s="94">
        <v>6100000</v>
      </c>
      <c r="D1963" s="94">
        <v>6100000</v>
      </c>
      <c r="E1963" s="95">
        <v>40896</v>
      </c>
      <c r="F1963" s="96" t="s">
        <v>3131</v>
      </c>
    </row>
    <row r="1964" spans="1:6">
      <c r="A1964" s="94">
        <v>6120000</v>
      </c>
      <c r="B1964" s="94">
        <v>6120000</v>
      </c>
      <c r="C1964" s="94">
        <v>6120000</v>
      </c>
      <c r="D1964" s="94">
        <v>6120000</v>
      </c>
      <c r="E1964" s="95">
        <v>40895</v>
      </c>
      <c r="F1964" s="96" t="s">
        <v>3132</v>
      </c>
    </row>
    <row r="1965" spans="1:6">
      <c r="A1965" s="94">
        <v>5960000</v>
      </c>
      <c r="B1965" s="94">
        <v>5960000</v>
      </c>
      <c r="C1965" s="94">
        <v>5960000</v>
      </c>
      <c r="D1965" s="94">
        <v>5960000</v>
      </c>
      <c r="E1965" s="95">
        <v>40894</v>
      </c>
      <c r="F1965" s="96" t="s">
        <v>3133</v>
      </c>
    </row>
    <row r="1966" spans="1:6">
      <c r="A1966" s="94">
        <v>5850000</v>
      </c>
      <c r="B1966" s="94">
        <v>5850000</v>
      </c>
      <c r="C1966" s="94">
        <v>5850000</v>
      </c>
      <c r="D1966" s="94">
        <v>5850000</v>
      </c>
      <c r="E1966" s="95">
        <v>40892</v>
      </c>
      <c r="F1966" s="96" t="s">
        <v>3134</v>
      </c>
    </row>
    <row r="1967" spans="1:6">
      <c r="A1967" s="94">
        <v>5930000</v>
      </c>
      <c r="B1967" s="94">
        <v>5930000</v>
      </c>
      <c r="C1967" s="94">
        <v>5930000</v>
      </c>
      <c r="D1967" s="94">
        <v>5930000</v>
      </c>
      <c r="E1967" s="95">
        <v>40891</v>
      </c>
      <c r="F1967" s="96" t="s">
        <v>3135</v>
      </c>
    </row>
    <row r="1968" spans="1:6">
      <c r="A1968" s="94">
        <v>5870000</v>
      </c>
      <c r="B1968" s="94">
        <v>5870000</v>
      </c>
      <c r="C1968" s="94">
        <v>5870000</v>
      </c>
      <c r="D1968" s="94">
        <v>5870000</v>
      </c>
      <c r="E1968" s="95">
        <v>40890</v>
      </c>
      <c r="F1968" s="96" t="s">
        <v>3136</v>
      </c>
    </row>
    <row r="1969" spans="1:6">
      <c r="A1969" s="94">
        <v>5800000</v>
      </c>
      <c r="B1969" s="94">
        <v>5800000</v>
      </c>
      <c r="C1969" s="94">
        <v>5800000</v>
      </c>
      <c r="D1969" s="94">
        <v>5800000</v>
      </c>
      <c r="E1969" s="95">
        <v>40889</v>
      </c>
      <c r="F1969" s="96" t="s">
        <v>3137</v>
      </c>
    </row>
    <row r="1970" spans="1:6">
      <c r="A1970" s="94">
        <v>5890000</v>
      </c>
      <c r="B1970" s="94">
        <v>5890000</v>
      </c>
      <c r="C1970" s="94">
        <v>5890000</v>
      </c>
      <c r="D1970" s="94">
        <v>5890000</v>
      </c>
      <c r="E1970" s="95">
        <v>40888</v>
      </c>
      <c r="F1970" s="96" t="s">
        <v>3138</v>
      </c>
    </row>
    <row r="1971" spans="1:6">
      <c r="A1971" s="94">
        <v>5900000</v>
      </c>
      <c r="B1971" s="94">
        <v>5900000</v>
      </c>
      <c r="C1971" s="94">
        <v>5900000</v>
      </c>
      <c r="D1971" s="94">
        <v>5900000</v>
      </c>
      <c r="E1971" s="95">
        <v>40887</v>
      </c>
      <c r="F1971" s="96" t="s">
        <v>3139</v>
      </c>
    </row>
    <row r="1972" spans="1:6">
      <c r="A1972" s="94">
        <v>6000000</v>
      </c>
      <c r="B1972" s="94">
        <v>6000000</v>
      </c>
      <c r="C1972" s="94">
        <v>6000000</v>
      </c>
      <c r="D1972" s="94">
        <v>6000000</v>
      </c>
      <c r="E1972" s="95">
        <v>40885</v>
      </c>
      <c r="F1972" s="96" t="s">
        <v>3140</v>
      </c>
    </row>
    <row r="1973" spans="1:6">
      <c r="A1973" s="94">
        <v>6090000</v>
      </c>
      <c r="B1973" s="94">
        <v>6090000</v>
      </c>
      <c r="C1973" s="94">
        <v>6090000</v>
      </c>
      <c r="D1973" s="94">
        <v>6090000</v>
      </c>
      <c r="E1973" s="95">
        <v>40884</v>
      </c>
      <c r="F1973" s="96" t="s">
        <v>3141</v>
      </c>
    </row>
    <row r="1974" spans="1:6">
      <c r="A1974" s="94">
        <v>6200000</v>
      </c>
      <c r="B1974" s="94">
        <v>6200000</v>
      </c>
      <c r="C1974" s="94">
        <v>6200000</v>
      </c>
      <c r="D1974" s="94">
        <v>6200000</v>
      </c>
      <c r="E1974" s="95">
        <v>40881</v>
      </c>
      <c r="F1974" s="96" t="s">
        <v>3142</v>
      </c>
    </row>
    <row r="1975" spans="1:6">
      <c r="A1975" s="94">
        <v>6250000</v>
      </c>
      <c r="B1975" s="94">
        <v>6250000</v>
      </c>
      <c r="C1975" s="94">
        <v>6250000</v>
      </c>
      <c r="D1975" s="94">
        <v>6250000</v>
      </c>
      <c r="E1975" s="95">
        <v>40880</v>
      </c>
      <c r="F1975" s="96" t="s">
        <v>3143</v>
      </c>
    </row>
    <row r="1976" spans="1:6">
      <c r="A1976" s="94">
        <v>6000000</v>
      </c>
      <c r="B1976" s="94">
        <v>6000000</v>
      </c>
      <c r="C1976" s="94">
        <v>6000000</v>
      </c>
      <c r="D1976" s="94">
        <v>6000000</v>
      </c>
      <c r="E1976" s="95">
        <v>40878</v>
      </c>
      <c r="F1976" s="96" t="s">
        <v>3144</v>
      </c>
    </row>
    <row r="1977" spans="1:6">
      <c r="A1977" s="94">
        <v>5900000</v>
      </c>
      <c r="B1977" s="94">
        <v>5900000</v>
      </c>
      <c r="C1977" s="94">
        <v>5900000</v>
      </c>
      <c r="D1977" s="94">
        <v>5900000</v>
      </c>
      <c r="E1977" s="95">
        <v>40877</v>
      </c>
      <c r="F1977" s="96" t="s">
        <v>3145</v>
      </c>
    </row>
    <row r="1978" spans="1:6">
      <c r="A1978" s="94">
        <v>6050000</v>
      </c>
      <c r="B1978" s="94">
        <v>6050000</v>
      </c>
      <c r="C1978" s="94">
        <v>6050000</v>
      </c>
      <c r="D1978" s="94">
        <v>6050000</v>
      </c>
      <c r="E1978" s="95">
        <v>40876</v>
      </c>
      <c r="F1978" s="96" t="s">
        <v>3146</v>
      </c>
    </row>
    <row r="1979" spans="1:6">
      <c r="A1979" s="94">
        <v>6270000</v>
      </c>
      <c r="B1979" s="94">
        <v>6270000</v>
      </c>
      <c r="C1979" s="94">
        <v>6270000</v>
      </c>
      <c r="D1979" s="94">
        <v>6270000</v>
      </c>
      <c r="E1979" s="95">
        <v>40875</v>
      </c>
      <c r="F1979" s="96" t="s">
        <v>3147</v>
      </c>
    </row>
    <row r="1980" spans="1:6">
      <c r="A1980" s="94">
        <v>6250000</v>
      </c>
      <c r="B1980" s="94">
        <v>6250000</v>
      </c>
      <c r="C1980" s="94">
        <v>6250000</v>
      </c>
      <c r="D1980" s="94">
        <v>6250000</v>
      </c>
      <c r="E1980" s="95">
        <v>40874</v>
      </c>
      <c r="F1980" s="96" t="s">
        <v>3148</v>
      </c>
    </row>
    <row r="1981" spans="1:6">
      <c r="A1981" s="94">
        <v>6200000</v>
      </c>
      <c r="B1981" s="94">
        <v>6200000</v>
      </c>
      <c r="C1981" s="94">
        <v>6200000</v>
      </c>
      <c r="D1981" s="94">
        <v>6200000</v>
      </c>
      <c r="E1981" s="95">
        <v>40873</v>
      </c>
      <c r="F1981" s="96" t="s">
        <v>3149</v>
      </c>
    </row>
    <row r="1982" spans="1:6">
      <c r="A1982" s="94">
        <v>6150000</v>
      </c>
      <c r="B1982" s="94">
        <v>6150000</v>
      </c>
      <c r="C1982" s="94">
        <v>6150000</v>
      </c>
      <c r="D1982" s="94">
        <v>6150000</v>
      </c>
      <c r="E1982" s="95">
        <v>40871</v>
      </c>
      <c r="F1982" s="96" t="s">
        <v>3150</v>
      </c>
    </row>
    <row r="1983" spans="1:6">
      <c r="A1983" s="94">
        <v>6100000</v>
      </c>
      <c r="B1983" s="94">
        <v>6100000</v>
      </c>
      <c r="C1983" s="94">
        <v>6100000</v>
      </c>
      <c r="D1983" s="94">
        <v>6100000</v>
      </c>
      <c r="E1983" s="95">
        <v>40870</v>
      </c>
      <c r="F1983" s="96" t="s">
        <v>3151</v>
      </c>
    </row>
    <row r="1984" spans="1:6">
      <c r="A1984" s="94">
        <v>6000000</v>
      </c>
      <c r="B1984" s="94">
        <v>6000000</v>
      </c>
      <c r="C1984" s="94">
        <v>6000000</v>
      </c>
      <c r="D1984" s="94">
        <v>6000000</v>
      </c>
      <c r="E1984" s="95">
        <v>40869</v>
      </c>
      <c r="F1984" s="96" t="s">
        <v>3152</v>
      </c>
    </row>
    <row r="1985" spans="1:6">
      <c r="A1985" s="94">
        <v>6050000</v>
      </c>
      <c r="B1985" s="94">
        <v>6050000</v>
      </c>
      <c r="C1985" s="94">
        <v>6050000</v>
      </c>
      <c r="D1985" s="94">
        <v>6050000</v>
      </c>
      <c r="E1985" s="95">
        <v>40868</v>
      </c>
      <c r="F1985" s="96" t="s">
        <v>3153</v>
      </c>
    </row>
    <row r="1986" spans="1:6">
      <c r="A1986" s="94">
        <v>6120000</v>
      </c>
      <c r="B1986" s="94">
        <v>6120000</v>
      </c>
      <c r="C1986" s="94">
        <v>6120000</v>
      </c>
      <c r="D1986" s="94">
        <v>6120000</v>
      </c>
      <c r="E1986" s="95">
        <v>40867</v>
      </c>
      <c r="F1986" s="96" t="s">
        <v>3154</v>
      </c>
    </row>
    <row r="1987" spans="1:6">
      <c r="A1987" s="94">
        <v>6160000</v>
      </c>
      <c r="B1987" s="94">
        <v>6160000</v>
      </c>
      <c r="C1987" s="94">
        <v>6160000</v>
      </c>
      <c r="D1987" s="94">
        <v>6160000</v>
      </c>
      <c r="E1987" s="95">
        <v>40866</v>
      </c>
      <c r="F1987" s="96" t="s">
        <v>3155</v>
      </c>
    </row>
    <row r="1988" spans="1:6">
      <c r="A1988" s="94">
        <v>6180000</v>
      </c>
      <c r="B1988" s="94">
        <v>6180000</v>
      </c>
      <c r="C1988" s="94">
        <v>6180000</v>
      </c>
      <c r="D1988" s="94">
        <v>6180000</v>
      </c>
      <c r="E1988" s="95">
        <v>40864</v>
      </c>
      <c r="F1988" s="96" t="s">
        <v>3156</v>
      </c>
    </row>
    <row r="1989" spans="1:6">
      <c r="A1989" s="94">
        <v>6170000</v>
      </c>
      <c r="B1989" s="94">
        <v>6170000</v>
      </c>
      <c r="C1989" s="94">
        <v>6170000</v>
      </c>
      <c r="D1989" s="94">
        <v>6170000</v>
      </c>
      <c r="E1989" s="95">
        <v>40863</v>
      </c>
      <c r="F1989" s="96" t="s">
        <v>3157</v>
      </c>
    </row>
    <row r="1990" spans="1:6">
      <c r="A1990" s="94">
        <v>6180000</v>
      </c>
      <c r="B1990" s="94">
        <v>6180000</v>
      </c>
      <c r="C1990" s="94">
        <v>6180000</v>
      </c>
      <c r="D1990" s="94">
        <v>6180000</v>
      </c>
      <c r="E1990" s="95">
        <v>40861</v>
      </c>
      <c r="F1990" s="96" t="s">
        <v>3158</v>
      </c>
    </row>
    <row r="1991" spans="1:6">
      <c r="A1991" s="94">
        <v>6170000</v>
      </c>
      <c r="B1991" s="94">
        <v>6170000</v>
      </c>
      <c r="C1991" s="94">
        <v>6170000</v>
      </c>
      <c r="D1991" s="94">
        <v>6170000</v>
      </c>
      <c r="E1991" s="95">
        <v>40860</v>
      </c>
      <c r="F1991" s="96" t="s">
        <v>3159</v>
      </c>
    </row>
    <row r="1992" spans="1:6">
      <c r="A1992" s="94">
        <v>6100000</v>
      </c>
      <c r="B1992" s="94">
        <v>6100000</v>
      </c>
      <c r="C1992" s="94">
        <v>6100000</v>
      </c>
      <c r="D1992" s="94">
        <v>6100000</v>
      </c>
      <c r="E1992" s="95">
        <v>40859</v>
      </c>
      <c r="F1992" s="96" t="s">
        <v>3160</v>
      </c>
    </row>
    <row r="1993" spans="1:6">
      <c r="A1993" s="94">
        <v>6100000</v>
      </c>
      <c r="B1993" s="94">
        <v>6100000</v>
      </c>
      <c r="C1993" s="94">
        <v>6100000</v>
      </c>
      <c r="D1993" s="94">
        <v>6100000</v>
      </c>
      <c r="E1993" s="95">
        <v>40857</v>
      </c>
      <c r="F1993" s="96" t="s">
        <v>3161</v>
      </c>
    </row>
    <row r="1994" spans="1:6">
      <c r="A1994" s="94">
        <v>6060000</v>
      </c>
      <c r="B1994" s="94">
        <v>6060000</v>
      </c>
      <c r="C1994" s="94">
        <v>6060000</v>
      </c>
      <c r="D1994" s="94">
        <v>6060000</v>
      </c>
      <c r="E1994" s="95">
        <v>40856</v>
      </c>
      <c r="F1994" s="96" t="s">
        <v>3162</v>
      </c>
    </row>
    <row r="1995" spans="1:6">
      <c r="A1995" s="94">
        <v>5920000</v>
      </c>
      <c r="B1995" s="94">
        <v>5920000</v>
      </c>
      <c r="C1995" s="94">
        <v>5920000</v>
      </c>
      <c r="D1995" s="94">
        <v>5920000</v>
      </c>
      <c r="E1995" s="95">
        <v>40855</v>
      </c>
      <c r="F1995" s="96" t="s">
        <v>3163</v>
      </c>
    </row>
    <row r="1996" spans="1:6">
      <c r="A1996" s="94">
        <v>5910000</v>
      </c>
      <c r="B1996" s="94">
        <v>5910000</v>
      </c>
      <c r="C1996" s="94">
        <v>5910000</v>
      </c>
      <c r="D1996" s="94">
        <v>5910000</v>
      </c>
      <c r="E1996" s="95">
        <v>40853</v>
      </c>
      <c r="F1996" s="96" t="s">
        <v>3164</v>
      </c>
    </row>
    <row r="1997" spans="1:6">
      <c r="A1997" s="94">
        <v>5930000</v>
      </c>
      <c r="B1997" s="94">
        <v>5930000</v>
      </c>
      <c r="C1997" s="94">
        <v>5930000</v>
      </c>
      <c r="D1997" s="94">
        <v>5930000</v>
      </c>
      <c r="E1997" s="95">
        <v>40852</v>
      </c>
      <c r="F1997" s="96" t="s">
        <v>3165</v>
      </c>
    </row>
    <row r="1998" spans="1:6">
      <c r="A1998" s="94">
        <v>5920000</v>
      </c>
      <c r="B1998" s="94">
        <v>5920000</v>
      </c>
      <c r="C1998" s="94">
        <v>5920000</v>
      </c>
      <c r="D1998" s="94">
        <v>5920000</v>
      </c>
      <c r="E1998" s="95">
        <v>40850</v>
      </c>
      <c r="F1998" s="96" t="s">
        <v>3166</v>
      </c>
    </row>
    <row r="1999" spans="1:6">
      <c r="A1999" s="94">
        <v>5900000</v>
      </c>
      <c r="B1999" s="94">
        <v>5900000</v>
      </c>
      <c r="C1999" s="94">
        <v>5900000</v>
      </c>
      <c r="D1999" s="94">
        <v>5900000</v>
      </c>
      <c r="E1999" s="95">
        <v>40849</v>
      </c>
      <c r="F1999" s="96" t="s">
        <v>3167</v>
      </c>
    </row>
    <row r="2000" spans="1:6">
      <c r="A2000" s="94">
        <v>5930000</v>
      </c>
      <c r="B2000" s="94">
        <v>5930000</v>
      </c>
      <c r="C2000" s="94">
        <v>5930000</v>
      </c>
      <c r="D2000" s="94">
        <v>5930000</v>
      </c>
      <c r="E2000" s="95">
        <v>40848</v>
      </c>
      <c r="F2000" s="96" t="s">
        <v>3168</v>
      </c>
    </row>
    <row r="2001" spans="1:6">
      <c r="A2001" s="94">
        <v>5950000</v>
      </c>
      <c r="B2001" s="94">
        <v>5950000</v>
      </c>
      <c r="C2001" s="94">
        <v>5950000</v>
      </c>
      <c r="D2001" s="94">
        <v>5950000</v>
      </c>
      <c r="E2001" s="95">
        <v>40847</v>
      </c>
      <c r="F2001" s="96" t="s">
        <v>3169</v>
      </c>
    </row>
    <row r="2002" spans="1:6">
      <c r="A2002" s="94">
        <v>5880000</v>
      </c>
      <c r="B2002" s="94">
        <v>5880000</v>
      </c>
      <c r="C2002" s="94">
        <v>5880000</v>
      </c>
      <c r="D2002" s="94">
        <v>5880000</v>
      </c>
      <c r="E2002" s="95">
        <v>40846</v>
      </c>
      <c r="F2002" s="96" t="s">
        <v>3170</v>
      </c>
    </row>
    <row r="2003" spans="1:6">
      <c r="A2003" s="94">
        <v>5770000</v>
      </c>
      <c r="B2003" s="94">
        <v>5770000</v>
      </c>
      <c r="C2003" s="94">
        <v>5770000</v>
      </c>
      <c r="D2003" s="94">
        <v>5770000</v>
      </c>
      <c r="E2003" s="95">
        <v>40845</v>
      </c>
      <c r="F2003" s="96" t="s">
        <v>3171</v>
      </c>
    </row>
    <row r="2004" spans="1:6">
      <c r="A2004" s="94">
        <v>5770000</v>
      </c>
      <c r="B2004" s="94">
        <v>5770000</v>
      </c>
      <c r="C2004" s="94">
        <v>5770000</v>
      </c>
      <c r="D2004" s="94">
        <v>5770000</v>
      </c>
      <c r="E2004" s="95">
        <v>40843</v>
      </c>
      <c r="F2004" s="96" t="s">
        <v>3172</v>
      </c>
    </row>
    <row r="2005" spans="1:6">
      <c r="A2005" s="94">
        <v>5670000</v>
      </c>
      <c r="B2005" s="94">
        <v>5670000</v>
      </c>
      <c r="C2005" s="94">
        <v>5670000</v>
      </c>
      <c r="D2005" s="94">
        <v>5670000</v>
      </c>
      <c r="E2005" s="95">
        <v>40842</v>
      </c>
      <c r="F2005" s="96" t="s">
        <v>3173</v>
      </c>
    </row>
    <row r="2006" spans="1:6">
      <c r="A2006" s="94">
        <v>5680000</v>
      </c>
      <c r="B2006" s="94">
        <v>5680000</v>
      </c>
      <c r="C2006" s="94">
        <v>5680000</v>
      </c>
      <c r="D2006" s="94">
        <v>5680000</v>
      </c>
      <c r="E2006" s="95">
        <v>40841</v>
      </c>
      <c r="F2006" s="96" t="s">
        <v>3174</v>
      </c>
    </row>
    <row r="2007" spans="1:6">
      <c r="A2007" s="94">
        <v>5700000</v>
      </c>
      <c r="B2007" s="94">
        <v>5700000</v>
      </c>
      <c r="C2007" s="94">
        <v>5700000</v>
      </c>
      <c r="D2007" s="94">
        <v>5700000</v>
      </c>
      <c r="E2007" s="95">
        <v>40840</v>
      </c>
      <c r="F2007" s="96" t="s">
        <v>3175</v>
      </c>
    </row>
    <row r="2008" spans="1:6">
      <c r="A2008" s="94">
        <v>5640000</v>
      </c>
      <c r="B2008" s="94">
        <v>5640000</v>
      </c>
      <c r="C2008" s="94">
        <v>5640000</v>
      </c>
      <c r="D2008" s="94">
        <v>5640000</v>
      </c>
      <c r="E2008" s="95">
        <v>40839</v>
      </c>
      <c r="F2008" s="96" t="s">
        <v>3176</v>
      </c>
    </row>
    <row r="2009" spans="1:6">
      <c r="A2009" s="94">
        <v>5610000</v>
      </c>
      <c r="B2009" s="94">
        <v>5610000</v>
      </c>
      <c r="C2009" s="94">
        <v>5610000</v>
      </c>
      <c r="D2009" s="94">
        <v>5610000</v>
      </c>
      <c r="E2009" s="95">
        <v>40838</v>
      </c>
      <c r="F2009" s="96" t="s">
        <v>3177</v>
      </c>
    </row>
    <row r="2010" spans="1:6">
      <c r="A2010" s="94">
        <v>5650000</v>
      </c>
      <c r="B2010" s="94">
        <v>5650000</v>
      </c>
      <c r="C2010" s="94">
        <v>5650000</v>
      </c>
      <c r="D2010" s="94">
        <v>5650000</v>
      </c>
      <c r="E2010" s="95">
        <v>40836</v>
      </c>
      <c r="F2010" s="96" t="s">
        <v>3178</v>
      </c>
    </row>
    <row r="2011" spans="1:6">
      <c r="A2011" s="94">
        <v>5700000</v>
      </c>
      <c r="B2011" s="94">
        <v>5700000</v>
      </c>
      <c r="C2011" s="94">
        <v>5700000</v>
      </c>
      <c r="D2011" s="94">
        <v>5700000</v>
      </c>
      <c r="E2011" s="95">
        <v>40835</v>
      </c>
      <c r="F2011" s="96" t="s">
        <v>3179</v>
      </c>
    </row>
    <row r="2012" spans="1:6">
      <c r="A2012" s="94">
        <v>5700000</v>
      </c>
      <c r="B2012" s="94">
        <v>5700000</v>
      </c>
      <c r="C2012" s="94">
        <v>5700000</v>
      </c>
      <c r="D2012" s="94">
        <v>5700000</v>
      </c>
      <c r="E2012" s="95">
        <v>40834</v>
      </c>
      <c r="F2012" s="96" t="s">
        <v>3180</v>
      </c>
    </row>
    <row r="2013" spans="1:6">
      <c r="A2013" s="94">
        <v>5630000</v>
      </c>
      <c r="B2013" s="94">
        <v>5630000</v>
      </c>
      <c r="C2013" s="94">
        <v>5630000</v>
      </c>
      <c r="D2013" s="94">
        <v>5630000</v>
      </c>
      <c r="E2013" s="95">
        <v>40833</v>
      </c>
      <c r="F2013" s="96" t="s">
        <v>3181</v>
      </c>
    </row>
    <row r="2014" spans="1:6">
      <c r="A2014" s="94">
        <v>5650000</v>
      </c>
      <c r="B2014" s="94">
        <v>5650000</v>
      </c>
      <c r="C2014" s="94">
        <v>5650000</v>
      </c>
      <c r="D2014" s="94">
        <v>5650000</v>
      </c>
      <c r="E2014" s="95">
        <v>40832</v>
      </c>
      <c r="F2014" s="96" t="s">
        <v>3182</v>
      </c>
    </row>
    <row r="2015" spans="1:6">
      <c r="A2015" s="94">
        <v>5620000</v>
      </c>
      <c r="B2015" s="94">
        <v>5620000</v>
      </c>
      <c r="C2015" s="94">
        <v>5620000</v>
      </c>
      <c r="D2015" s="94">
        <v>5620000</v>
      </c>
      <c r="E2015" s="95">
        <v>40831</v>
      </c>
      <c r="F2015" s="96" t="s">
        <v>3183</v>
      </c>
    </row>
    <row r="2016" spans="1:6">
      <c r="A2016" s="94">
        <v>5680000</v>
      </c>
      <c r="B2016" s="94">
        <v>5680000</v>
      </c>
      <c r="C2016" s="94">
        <v>5680000</v>
      </c>
      <c r="D2016" s="94">
        <v>5680000</v>
      </c>
      <c r="E2016" s="95">
        <v>40829</v>
      </c>
      <c r="F2016" s="96" t="s">
        <v>3184</v>
      </c>
    </row>
    <row r="2017" spans="1:6">
      <c r="A2017" s="94">
        <v>5650000</v>
      </c>
      <c r="B2017" s="94">
        <v>5650000</v>
      </c>
      <c r="C2017" s="94">
        <v>5650000</v>
      </c>
      <c r="D2017" s="94">
        <v>5650000</v>
      </c>
      <c r="E2017" s="95">
        <v>40828</v>
      </c>
      <c r="F2017" s="96" t="s">
        <v>3185</v>
      </c>
    </row>
    <row r="2018" spans="1:6">
      <c r="A2018" s="94">
        <v>5700000</v>
      </c>
      <c r="B2018" s="94">
        <v>5700000</v>
      </c>
      <c r="C2018" s="94">
        <v>5700000</v>
      </c>
      <c r="D2018" s="94">
        <v>5700000</v>
      </c>
      <c r="E2018" s="95">
        <v>40827</v>
      </c>
      <c r="F2018" s="96" t="s">
        <v>3186</v>
      </c>
    </row>
    <row r="2019" spans="1:6">
      <c r="A2019" s="94">
        <v>5650000</v>
      </c>
      <c r="B2019" s="94">
        <v>5650000</v>
      </c>
      <c r="C2019" s="94">
        <v>5650000</v>
      </c>
      <c r="D2019" s="94">
        <v>5650000</v>
      </c>
      <c r="E2019" s="95">
        <v>40826</v>
      </c>
      <c r="F2019" s="96" t="s">
        <v>3187</v>
      </c>
    </row>
    <row r="2020" spans="1:6">
      <c r="A2020" s="94">
        <v>5700000</v>
      </c>
      <c r="B2020" s="94">
        <v>5700000</v>
      </c>
      <c r="C2020" s="94">
        <v>5700000</v>
      </c>
      <c r="D2020" s="94">
        <v>5700000</v>
      </c>
      <c r="E2020" s="95">
        <v>40825</v>
      </c>
      <c r="F2020" s="96" t="s">
        <v>3188</v>
      </c>
    </row>
    <row r="2021" spans="1:6">
      <c r="A2021" s="94">
        <v>5760000</v>
      </c>
      <c r="B2021" s="94">
        <v>5760000</v>
      </c>
      <c r="C2021" s="94">
        <v>5760000</v>
      </c>
      <c r="D2021" s="94">
        <v>5760000</v>
      </c>
      <c r="E2021" s="95">
        <v>40824</v>
      </c>
      <c r="F2021" s="96" t="s">
        <v>3189</v>
      </c>
    </row>
    <row r="2022" spans="1:6">
      <c r="A2022" s="94">
        <v>5700000</v>
      </c>
      <c r="B2022" s="94">
        <v>5700000</v>
      </c>
      <c r="C2022" s="94">
        <v>5700000</v>
      </c>
      <c r="D2022" s="94">
        <v>5700000</v>
      </c>
      <c r="E2022" s="95">
        <v>40822</v>
      </c>
      <c r="F2022" s="96" t="s">
        <v>3190</v>
      </c>
    </row>
    <row r="2023" spans="1:6">
      <c r="A2023" s="94">
        <v>5750000</v>
      </c>
      <c r="B2023" s="94">
        <v>5750000</v>
      </c>
      <c r="C2023" s="94">
        <v>5750000</v>
      </c>
      <c r="D2023" s="94">
        <v>5750000</v>
      </c>
      <c r="E2023" s="95">
        <v>40821</v>
      </c>
      <c r="F2023" s="96" t="s">
        <v>3191</v>
      </c>
    </row>
    <row r="2024" spans="1:6">
      <c r="A2024" s="94">
        <v>5550000</v>
      </c>
      <c r="B2024" s="94">
        <v>5550000</v>
      </c>
      <c r="C2024" s="94">
        <v>5550000</v>
      </c>
      <c r="D2024" s="94">
        <v>5550000</v>
      </c>
      <c r="E2024" s="95">
        <v>40820</v>
      </c>
      <c r="F2024" s="96" t="s">
        <v>3192</v>
      </c>
    </row>
    <row r="2025" spans="1:6">
      <c r="A2025" s="94">
        <v>5500000</v>
      </c>
      <c r="B2025" s="94">
        <v>5500000</v>
      </c>
      <c r="C2025" s="94">
        <v>5500000</v>
      </c>
      <c r="D2025" s="94">
        <v>5500000</v>
      </c>
      <c r="E2025" s="95">
        <v>40819</v>
      </c>
      <c r="F2025" s="96" t="s">
        <v>3193</v>
      </c>
    </row>
    <row r="2026" spans="1:6">
      <c r="A2026" s="94">
        <v>5900000</v>
      </c>
      <c r="B2026" s="94">
        <v>5900000</v>
      </c>
      <c r="C2026" s="94">
        <v>5900000</v>
      </c>
      <c r="D2026" s="94">
        <v>5900000</v>
      </c>
      <c r="E2026" s="95">
        <v>40818</v>
      </c>
      <c r="F2026" s="96" t="s">
        <v>3194</v>
      </c>
    </row>
    <row r="2027" spans="1:6">
      <c r="A2027" s="94">
        <v>5870000</v>
      </c>
      <c r="B2027" s="94">
        <v>5870000</v>
      </c>
      <c r="C2027" s="94">
        <v>5870000</v>
      </c>
      <c r="D2027" s="94">
        <v>5870000</v>
      </c>
      <c r="E2027" s="95">
        <v>40817</v>
      </c>
      <c r="F2027" s="96" t="s">
        <v>3195</v>
      </c>
    </row>
    <row r="2028" spans="1:6">
      <c r="A2028" s="94">
        <v>5870000</v>
      </c>
      <c r="B2028" s="94">
        <v>5870000</v>
      </c>
      <c r="C2028" s="94">
        <v>5870000</v>
      </c>
      <c r="D2028" s="94">
        <v>5870000</v>
      </c>
      <c r="E2028" s="95">
        <v>40815</v>
      </c>
      <c r="F2028" s="96" t="s">
        <v>3196</v>
      </c>
    </row>
    <row r="2029" spans="1:6">
      <c r="A2029" s="94">
        <v>5900000</v>
      </c>
      <c r="B2029" s="94">
        <v>5900000</v>
      </c>
      <c r="C2029" s="94">
        <v>5900000</v>
      </c>
      <c r="D2029" s="94">
        <v>5900000</v>
      </c>
      <c r="E2029" s="95">
        <v>40814</v>
      </c>
      <c r="F2029" s="96" t="s">
        <v>3197</v>
      </c>
    </row>
    <row r="2030" spans="1:6">
      <c r="A2030" s="94">
        <v>5650000</v>
      </c>
      <c r="B2030" s="94">
        <v>5650000</v>
      </c>
      <c r="C2030" s="94">
        <v>5650000</v>
      </c>
      <c r="D2030" s="94">
        <v>5650000</v>
      </c>
      <c r="E2030" s="95">
        <v>40813</v>
      </c>
      <c r="F2030" s="96" t="s">
        <v>3198</v>
      </c>
    </row>
    <row r="2031" spans="1:6">
      <c r="A2031" s="94">
        <v>5700000</v>
      </c>
      <c r="B2031" s="94">
        <v>5700000</v>
      </c>
      <c r="C2031" s="94">
        <v>5700000</v>
      </c>
      <c r="D2031" s="94">
        <v>5700000</v>
      </c>
      <c r="E2031" s="95">
        <v>40812</v>
      </c>
      <c r="F2031" s="96" t="s">
        <v>3199</v>
      </c>
    </row>
    <row r="2032" spans="1:6">
      <c r="A2032" s="94">
        <v>6100000</v>
      </c>
      <c r="B2032" s="94">
        <v>6100000</v>
      </c>
      <c r="C2032" s="94">
        <v>6100000</v>
      </c>
      <c r="D2032" s="94">
        <v>6100000</v>
      </c>
      <c r="E2032" s="95">
        <v>40811</v>
      </c>
      <c r="F2032" s="96" t="s">
        <v>3200</v>
      </c>
    </row>
    <row r="2033" spans="1:6">
      <c r="A2033" s="94">
        <v>6150000</v>
      </c>
      <c r="B2033" s="94">
        <v>6150000</v>
      </c>
      <c r="C2033" s="94">
        <v>6150000</v>
      </c>
      <c r="D2033" s="94">
        <v>6150000</v>
      </c>
      <c r="E2033" s="95">
        <v>40808</v>
      </c>
      <c r="F2033" s="96" t="s">
        <v>3201</v>
      </c>
    </row>
    <row r="2034" spans="1:6">
      <c r="A2034" s="94">
        <v>6100000</v>
      </c>
      <c r="B2034" s="94">
        <v>6100000</v>
      </c>
      <c r="C2034" s="94">
        <v>6100000</v>
      </c>
      <c r="D2034" s="94">
        <v>6100000</v>
      </c>
      <c r="E2034" s="95">
        <v>40807</v>
      </c>
      <c r="F2034" s="96" t="s">
        <v>3202</v>
      </c>
    </row>
    <row r="2035" spans="1:6">
      <c r="A2035" s="94">
        <v>6130000</v>
      </c>
      <c r="B2035" s="94">
        <v>6130000</v>
      </c>
      <c r="C2035" s="94">
        <v>6130000</v>
      </c>
      <c r="D2035" s="94">
        <v>6130000</v>
      </c>
      <c r="E2035" s="95">
        <v>40806</v>
      </c>
      <c r="F2035" s="96" t="s">
        <v>3203</v>
      </c>
    </row>
    <row r="2036" spans="1:6">
      <c r="A2036" s="94">
        <v>6100000</v>
      </c>
      <c r="B2036" s="94">
        <v>6100000</v>
      </c>
      <c r="C2036" s="94">
        <v>6100000</v>
      </c>
      <c r="D2036" s="94">
        <v>6100000</v>
      </c>
      <c r="E2036" s="95">
        <v>40805</v>
      </c>
      <c r="F2036" s="96" t="s">
        <v>3204</v>
      </c>
    </row>
    <row r="2037" spans="1:6">
      <c r="A2037" s="94">
        <v>6100000</v>
      </c>
      <c r="B2037" s="94">
        <v>6100000</v>
      </c>
      <c r="C2037" s="94">
        <v>6100000</v>
      </c>
      <c r="D2037" s="94">
        <v>6100000</v>
      </c>
      <c r="E2037" s="95">
        <v>40804</v>
      </c>
      <c r="F2037" s="96" t="s">
        <v>3205</v>
      </c>
    </row>
    <row r="2038" spans="1:6">
      <c r="A2038" s="94">
        <v>6050000</v>
      </c>
      <c r="B2038" s="94">
        <v>6050000</v>
      </c>
      <c r="C2038" s="94">
        <v>6050000</v>
      </c>
      <c r="D2038" s="94">
        <v>6050000</v>
      </c>
      <c r="E2038" s="95">
        <v>40803</v>
      </c>
      <c r="F2038" s="96" t="s">
        <v>3206</v>
      </c>
    </row>
    <row r="2039" spans="1:6">
      <c r="A2039" s="94">
        <v>6000000</v>
      </c>
      <c r="B2039" s="94">
        <v>6000000</v>
      </c>
      <c r="C2039" s="94">
        <v>6000000</v>
      </c>
      <c r="D2039" s="94">
        <v>6000000</v>
      </c>
      <c r="E2039" s="95">
        <v>40801</v>
      </c>
      <c r="F2039" s="96" t="s">
        <v>3207</v>
      </c>
    </row>
    <row r="2040" spans="1:6">
      <c r="A2040" s="94">
        <v>6100000</v>
      </c>
      <c r="B2040" s="94">
        <v>6100000</v>
      </c>
      <c r="C2040" s="94">
        <v>6100000</v>
      </c>
      <c r="D2040" s="94">
        <v>6100000</v>
      </c>
      <c r="E2040" s="95">
        <v>40800</v>
      </c>
      <c r="F2040" s="96" t="s">
        <v>3208</v>
      </c>
    </row>
    <row r="2041" spans="1:6">
      <c r="A2041" s="94">
        <v>6400000</v>
      </c>
      <c r="B2041" s="94">
        <v>6400000</v>
      </c>
      <c r="C2041" s="94">
        <v>6400000</v>
      </c>
      <c r="D2041" s="94">
        <v>6400000</v>
      </c>
      <c r="E2041" s="95">
        <v>40799</v>
      </c>
      <c r="F2041" s="96" t="s">
        <v>3209</v>
      </c>
    </row>
    <row r="2042" spans="1:6">
      <c r="A2042" s="94">
        <v>6150000</v>
      </c>
      <c r="B2042" s="94">
        <v>6150000</v>
      </c>
      <c r="C2042" s="94">
        <v>6150000</v>
      </c>
      <c r="D2042" s="94">
        <v>6150000</v>
      </c>
      <c r="E2042" s="95">
        <v>40798</v>
      </c>
      <c r="F2042" s="96" t="s">
        <v>3210</v>
      </c>
    </row>
    <row r="2043" spans="1:6">
      <c r="A2043" s="94">
        <v>6050000</v>
      </c>
      <c r="B2043" s="94">
        <v>6050000</v>
      </c>
      <c r="C2043" s="94">
        <v>6050000</v>
      </c>
      <c r="D2043" s="94">
        <v>6050000</v>
      </c>
      <c r="E2043" s="95">
        <v>40797</v>
      </c>
      <c r="F2043" s="96" t="s">
        <v>3211</v>
      </c>
    </row>
    <row r="2044" spans="1:6">
      <c r="A2044" s="94">
        <v>5960000</v>
      </c>
      <c r="B2044" s="94">
        <v>5960000</v>
      </c>
      <c r="C2044" s="94">
        <v>5960000</v>
      </c>
      <c r="D2044" s="94">
        <v>5960000</v>
      </c>
      <c r="E2044" s="95">
        <v>40796</v>
      </c>
      <c r="F2044" s="96" t="s">
        <v>3212</v>
      </c>
    </row>
    <row r="2045" spans="1:6">
      <c r="A2045" s="94">
        <v>5900000</v>
      </c>
      <c r="B2045" s="94">
        <v>5900000</v>
      </c>
      <c r="C2045" s="94">
        <v>5900000</v>
      </c>
      <c r="D2045" s="94">
        <v>5900000</v>
      </c>
      <c r="E2045" s="95">
        <v>40794</v>
      </c>
      <c r="F2045" s="96" t="s">
        <v>3213</v>
      </c>
    </row>
    <row r="2046" spans="1:6">
      <c r="A2046" s="94">
        <v>5960000</v>
      </c>
      <c r="B2046" s="94">
        <v>5960000</v>
      </c>
      <c r="C2046" s="94">
        <v>5960000</v>
      </c>
      <c r="D2046" s="94">
        <v>5960000</v>
      </c>
      <c r="E2046" s="95">
        <v>40793</v>
      </c>
      <c r="F2046" s="96" t="s">
        <v>3214</v>
      </c>
    </row>
    <row r="2047" spans="1:6">
      <c r="A2047" s="94">
        <v>5750000</v>
      </c>
      <c r="B2047" s="94">
        <v>5750000</v>
      </c>
      <c r="C2047" s="94">
        <v>5750000</v>
      </c>
      <c r="D2047" s="94">
        <v>5750000</v>
      </c>
      <c r="E2047" s="95">
        <v>40792</v>
      </c>
      <c r="F2047" s="96" t="s">
        <v>3215</v>
      </c>
    </row>
    <row r="2048" spans="1:6">
      <c r="A2048" s="94">
        <v>5630000</v>
      </c>
      <c r="B2048" s="94">
        <v>5630000</v>
      </c>
      <c r="C2048" s="94">
        <v>5630000</v>
      </c>
      <c r="D2048" s="94">
        <v>5630000</v>
      </c>
      <c r="E2048" s="95">
        <v>40791</v>
      </c>
      <c r="F2048" s="96" t="s">
        <v>3216</v>
      </c>
    </row>
    <row r="2049" spans="1:6">
      <c r="A2049" s="94">
        <v>5650000</v>
      </c>
      <c r="B2049" s="94">
        <v>5650000</v>
      </c>
      <c r="C2049" s="94">
        <v>5650000</v>
      </c>
      <c r="D2049" s="94">
        <v>5650000</v>
      </c>
      <c r="E2049" s="95">
        <v>40790</v>
      </c>
      <c r="F2049" s="96" t="s">
        <v>3217</v>
      </c>
    </row>
    <row r="2050" spans="1:6">
      <c r="A2050" s="94">
        <v>5520000</v>
      </c>
      <c r="B2050" s="94">
        <v>5520000</v>
      </c>
      <c r="C2050" s="94">
        <v>5520000</v>
      </c>
      <c r="D2050" s="94">
        <v>5520000</v>
      </c>
      <c r="E2050" s="95">
        <v>40789</v>
      </c>
      <c r="F2050" s="96" t="s">
        <v>3218</v>
      </c>
    </row>
    <row r="2051" spans="1:6">
      <c r="A2051" s="94">
        <v>5560000</v>
      </c>
      <c r="B2051" s="94">
        <v>5560000</v>
      </c>
      <c r="C2051" s="94">
        <v>5560000</v>
      </c>
      <c r="D2051" s="94">
        <v>5560000</v>
      </c>
      <c r="E2051" s="95">
        <v>40785</v>
      </c>
      <c r="F2051" s="96" t="s">
        <v>3219</v>
      </c>
    </row>
    <row r="2052" spans="1:6">
      <c r="A2052" s="94">
        <v>5540000</v>
      </c>
      <c r="B2052" s="94">
        <v>5540000</v>
      </c>
      <c r="C2052" s="94">
        <v>5540000</v>
      </c>
      <c r="D2052" s="94">
        <v>5540000</v>
      </c>
      <c r="E2052" s="95">
        <v>40784</v>
      </c>
      <c r="F2052" s="96" t="s">
        <v>3220</v>
      </c>
    </row>
    <row r="2053" spans="1:6">
      <c r="A2053" s="94">
        <v>5600000</v>
      </c>
      <c r="B2053" s="94">
        <v>5600000</v>
      </c>
      <c r="C2053" s="94">
        <v>5600000</v>
      </c>
      <c r="D2053" s="94">
        <v>5600000</v>
      </c>
      <c r="E2053" s="95">
        <v>40783</v>
      </c>
      <c r="F2053" s="96" t="s">
        <v>3221</v>
      </c>
    </row>
    <row r="2054" spans="1:6">
      <c r="A2054" s="94">
        <v>5220000</v>
      </c>
      <c r="B2054" s="94">
        <v>5220000</v>
      </c>
      <c r="C2054" s="94">
        <v>5220000</v>
      </c>
      <c r="D2054" s="94">
        <v>5220000</v>
      </c>
      <c r="E2054" s="95">
        <v>40782</v>
      </c>
      <c r="F2054" s="96" t="s">
        <v>3222</v>
      </c>
    </row>
    <row r="2055" spans="1:6">
      <c r="A2055" s="94">
        <v>5570000</v>
      </c>
      <c r="B2055" s="94">
        <v>5570000</v>
      </c>
      <c r="C2055" s="94">
        <v>5570000</v>
      </c>
      <c r="D2055" s="94">
        <v>5570000</v>
      </c>
      <c r="E2055" s="95">
        <v>40780</v>
      </c>
      <c r="F2055" s="96" t="s">
        <v>3223</v>
      </c>
    </row>
    <row r="2056" spans="1:6">
      <c r="A2056" s="94">
        <v>5580000</v>
      </c>
      <c r="B2056" s="94">
        <v>5580000</v>
      </c>
      <c r="C2056" s="94">
        <v>5580000</v>
      </c>
      <c r="D2056" s="94">
        <v>5580000</v>
      </c>
      <c r="E2056" s="95">
        <v>40779</v>
      </c>
      <c r="F2056" s="96" t="s">
        <v>3224</v>
      </c>
    </row>
    <row r="2057" spans="1:6">
      <c r="A2057" s="94">
        <v>5330000</v>
      </c>
      <c r="B2057" s="94">
        <v>5330000</v>
      </c>
      <c r="C2057" s="94">
        <v>5330000</v>
      </c>
      <c r="D2057" s="94">
        <v>5330000</v>
      </c>
      <c r="E2057" s="95">
        <v>40778</v>
      </c>
      <c r="F2057" s="96" t="s">
        <v>3225</v>
      </c>
    </row>
    <row r="2058" spans="1:6">
      <c r="A2058" s="94">
        <v>5170000</v>
      </c>
      <c r="B2058" s="94">
        <v>5170000</v>
      </c>
      <c r="C2058" s="94">
        <v>5170000</v>
      </c>
      <c r="D2058" s="94">
        <v>5170000</v>
      </c>
      <c r="E2058" s="95">
        <v>40776</v>
      </c>
      <c r="F2058" s="96" t="s">
        <v>3226</v>
      </c>
    </row>
    <row r="2059" spans="1:6">
      <c r="A2059" s="94">
        <v>4940000</v>
      </c>
      <c r="B2059" s="94">
        <v>4940000</v>
      </c>
      <c r="C2059" s="94">
        <v>4940000</v>
      </c>
      <c r="D2059" s="94">
        <v>4940000</v>
      </c>
      <c r="E2059" s="95">
        <v>40775</v>
      </c>
      <c r="F2059" s="96" t="s">
        <v>3227</v>
      </c>
    </row>
    <row r="2060" spans="1:6">
      <c r="A2060" s="94">
        <v>4900000</v>
      </c>
      <c r="B2060" s="94">
        <v>4900000</v>
      </c>
      <c r="C2060" s="94">
        <v>4900000</v>
      </c>
      <c r="D2060" s="94">
        <v>4900000</v>
      </c>
      <c r="E2060" s="95">
        <v>40773</v>
      </c>
      <c r="F2060" s="96" t="s">
        <v>3228</v>
      </c>
    </row>
    <row r="2061" spans="1:6">
      <c r="A2061" s="94">
        <v>4840000</v>
      </c>
      <c r="B2061" s="94">
        <v>4840000</v>
      </c>
      <c r="C2061" s="94">
        <v>4840000</v>
      </c>
      <c r="D2061" s="94">
        <v>4840000</v>
      </c>
      <c r="E2061" s="95">
        <v>40772</v>
      </c>
      <c r="F2061" s="96" t="s">
        <v>3229</v>
      </c>
    </row>
    <row r="2062" spans="1:6">
      <c r="A2062" s="94">
        <v>4720000</v>
      </c>
      <c r="B2062" s="94">
        <v>4720000</v>
      </c>
      <c r="C2062" s="94">
        <v>4720000</v>
      </c>
      <c r="D2062" s="94">
        <v>4720000</v>
      </c>
      <c r="E2062" s="95">
        <v>40771</v>
      </c>
      <c r="F2062" s="96" t="s">
        <v>3230</v>
      </c>
    </row>
    <row r="2063" spans="1:6">
      <c r="A2063" s="94">
        <v>4750000</v>
      </c>
      <c r="B2063" s="94">
        <v>4750000</v>
      </c>
      <c r="C2063" s="94">
        <v>4750000</v>
      </c>
      <c r="D2063" s="94">
        <v>4750000</v>
      </c>
      <c r="E2063" s="95">
        <v>40770</v>
      </c>
      <c r="F2063" s="96" t="s">
        <v>3231</v>
      </c>
    </row>
    <row r="2064" spans="1:6">
      <c r="A2064" s="94">
        <v>4800000</v>
      </c>
      <c r="B2064" s="94">
        <v>4800000</v>
      </c>
      <c r="C2064" s="94">
        <v>4800000</v>
      </c>
      <c r="D2064" s="94">
        <v>4800000</v>
      </c>
      <c r="E2064" s="95">
        <v>40769</v>
      </c>
      <c r="F2064" s="96" t="s">
        <v>3232</v>
      </c>
    </row>
    <row r="2065" spans="1:6">
      <c r="A2065" s="94">
        <v>4850000</v>
      </c>
      <c r="B2065" s="94">
        <v>4850000</v>
      </c>
      <c r="C2065" s="94">
        <v>4850000</v>
      </c>
      <c r="D2065" s="94">
        <v>4850000</v>
      </c>
      <c r="E2065" s="95">
        <v>40768</v>
      </c>
      <c r="F2065" s="96" t="s">
        <v>3233</v>
      </c>
    </row>
    <row r="2066" spans="1:6">
      <c r="A2066" s="94">
        <v>4800000</v>
      </c>
      <c r="B2066" s="94">
        <v>4800000</v>
      </c>
      <c r="C2066" s="94">
        <v>4800000</v>
      </c>
      <c r="D2066" s="94">
        <v>4800000</v>
      </c>
      <c r="E2066" s="95">
        <v>40766</v>
      </c>
      <c r="F2066" s="96" t="s">
        <v>3234</v>
      </c>
    </row>
    <row r="2067" spans="1:6">
      <c r="A2067" s="94">
        <v>4800000</v>
      </c>
      <c r="B2067" s="94">
        <v>4800000</v>
      </c>
      <c r="C2067" s="94">
        <v>4800000</v>
      </c>
      <c r="D2067" s="94">
        <v>4800000</v>
      </c>
      <c r="E2067" s="95">
        <v>40765</v>
      </c>
      <c r="F2067" s="96" t="s">
        <v>3235</v>
      </c>
    </row>
    <row r="2068" spans="1:6">
      <c r="A2068" s="94">
        <v>4600000</v>
      </c>
      <c r="B2068" s="94">
        <v>4600000</v>
      </c>
      <c r="C2068" s="94">
        <v>4600000</v>
      </c>
      <c r="D2068" s="94">
        <v>4600000</v>
      </c>
      <c r="E2068" s="95">
        <v>40764</v>
      </c>
      <c r="F2068" s="96" t="s">
        <v>3236</v>
      </c>
    </row>
    <row r="2069" spans="1:6">
      <c r="A2069" s="94">
        <v>4440000</v>
      </c>
      <c r="B2069" s="94">
        <v>4440000</v>
      </c>
      <c r="C2069" s="94">
        <v>4440000</v>
      </c>
      <c r="D2069" s="94">
        <v>4440000</v>
      </c>
      <c r="E2069" s="95">
        <v>40763</v>
      </c>
      <c r="F2069" s="96" t="s">
        <v>3237</v>
      </c>
    </row>
    <row r="2070" spans="1:6">
      <c r="A2070" s="94">
        <v>4410000</v>
      </c>
      <c r="B2070" s="94">
        <v>4410000</v>
      </c>
      <c r="C2070" s="94">
        <v>4410000</v>
      </c>
      <c r="D2070" s="94">
        <v>4410000</v>
      </c>
      <c r="E2070" s="95">
        <v>40762</v>
      </c>
      <c r="F2070" s="96" t="s">
        <v>3238</v>
      </c>
    </row>
    <row r="2071" spans="1:6">
      <c r="A2071" s="94">
        <v>4420000</v>
      </c>
      <c r="B2071" s="94">
        <v>4420000</v>
      </c>
      <c r="C2071" s="94">
        <v>4420000</v>
      </c>
      <c r="D2071" s="94">
        <v>4420000</v>
      </c>
      <c r="E2071" s="95">
        <v>40761</v>
      </c>
      <c r="F2071" s="96" t="s">
        <v>3239</v>
      </c>
    </row>
    <row r="2072" spans="1:6">
      <c r="A2072" s="94">
        <v>4470000</v>
      </c>
      <c r="B2072" s="94">
        <v>4470000</v>
      </c>
      <c r="C2072" s="94">
        <v>4470000</v>
      </c>
      <c r="D2072" s="94">
        <v>4470000</v>
      </c>
      <c r="E2072" s="95">
        <v>40759</v>
      </c>
      <c r="F2072" s="96" t="s">
        <v>3240</v>
      </c>
    </row>
    <row r="2073" spans="1:6">
      <c r="A2073" s="94">
        <v>4300000</v>
      </c>
      <c r="B2073" s="94">
        <v>4300000</v>
      </c>
      <c r="C2073" s="94">
        <v>4300000</v>
      </c>
      <c r="D2073" s="94">
        <v>4300000</v>
      </c>
      <c r="E2073" s="95">
        <v>40758</v>
      </c>
      <c r="F2073" s="96" t="s">
        <v>3241</v>
      </c>
    </row>
    <row r="2074" spans="1:6">
      <c r="A2074" s="94">
        <v>4300000</v>
      </c>
      <c r="B2074" s="94">
        <v>4300000</v>
      </c>
      <c r="C2074" s="94">
        <v>4300000</v>
      </c>
      <c r="D2074" s="94">
        <v>4300000</v>
      </c>
      <c r="E2074" s="95">
        <v>40757</v>
      </c>
      <c r="F2074" s="96" t="s">
        <v>3242</v>
      </c>
    </row>
    <row r="2075" spans="1:6">
      <c r="A2075" s="94">
        <v>4310000</v>
      </c>
      <c r="B2075" s="94">
        <v>4310000</v>
      </c>
      <c r="C2075" s="94">
        <v>4310000</v>
      </c>
      <c r="D2075" s="94">
        <v>4310000</v>
      </c>
      <c r="E2075" s="95">
        <v>40756</v>
      </c>
      <c r="F2075" s="96" t="s">
        <v>3243</v>
      </c>
    </row>
    <row r="2076" spans="1:6">
      <c r="A2076" s="94">
        <v>4320000</v>
      </c>
      <c r="B2076" s="94">
        <v>4320000</v>
      </c>
      <c r="C2076" s="94">
        <v>4320000</v>
      </c>
      <c r="D2076" s="94">
        <v>4320000</v>
      </c>
      <c r="E2076" s="95">
        <v>40755</v>
      </c>
      <c r="F2076" s="96" t="s">
        <v>3244</v>
      </c>
    </row>
    <row r="2077" spans="1:6">
      <c r="A2077" s="94">
        <v>4300000</v>
      </c>
      <c r="B2077" s="94">
        <v>4300000</v>
      </c>
      <c r="C2077" s="94">
        <v>4300000</v>
      </c>
      <c r="D2077" s="94">
        <v>4300000</v>
      </c>
      <c r="E2077" s="95">
        <v>40754</v>
      </c>
      <c r="F2077" s="96" t="s">
        <v>3245</v>
      </c>
    </row>
    <row r="2078" spans="1:6">
      <c r="A2078" s="94">
        <v>4330000</v>
      </c>
      <c r="B2078" s="94">
        <v>4330000</v>
      </c>
      <c r="C2078" s="94">
        <v>4330000</v>
      </c>
      <c r="D2078" s="94">
        <v>4330000</v>
      </c>
      <c r="E2078" s="95">
        <v>40752</v>
      </c>
      <c r="F2078" s="96" t="s">
        <v>3246</v>
      </c>
    </row>
    <row r="2079" spans="1:6">
      <c r="A2079" s="94">
        <v>4300000</v>
      </c>
      <c r="B2079" s="94">
        <v>4300000</v>
      </c>
      <c r="C2079" s="94">
        <v>4300000</v>
      </c>
      <c r="D2079" s="94">
        <v>4300000</v>
      </c>
      <c r="E2079" s="95">
        <v>40751</v>
      </c>
      <c r="F2079" s="96" t="s">
        <v>3247</v>
      </c>
    </row>
    <row r="2080" spans="1:6">
      <c r="A2080" s="94">
        <v>4320000</v>
      </c>
      <c r="B2080" s="94">
        <v>4320000</v>
      </c>
      <c r="C2080" s="94">
        <v>4320000</v>
      </c>
      <c r="D2080" s="94">
        <v>4320000</v>
      </c>
      <c r="E2080" s="95">
        <v>40750</v>
      </c>
      <c r="F2080" s="96" t="s">
        <v>3248</v>
      </c>
    </row>
    <row r="2081" spans="1:6">
      <c r="A2081" s="94">
        <v>4280000</v>
      </c>
      <c r="B2081" s="94">
        <v>4280000</v>
      </c>
      <c r="C2081" s="94">
        <v>4280000</v>
      </c>
      <c r="D2081" s="94">
        <v>4280000</v>
      </c>
      <c r="E2081" s="95">
        <v>40749</v>
      </c>
      <c r="F2081" s="96" t="s">
        <v>3249</v>
      </c>
    </row>
    <row r="2082" spans="1:6">
      <c r="A2082" s="94">
        <v>4320000</v>
      </c>
      <c r="B2082" s="94">
        <v>4320000</v>
      </c>
      <c r="C2082" s="94">
        <v>4320000</v>
      </c>
      <c r="D2082" s="94">
        <v>4320000</v>
      </c>
      <c r="E2082" s="95">
        <v>40748</v>
      </c>
      <c r="F2082" s="96" t="s">
        <v>3250</v>
      </c>
    </row>
    <row r="2083" spans="1:6">
      <c r="A2083" s="94">
        <v>4340000</v>
      </c>
      <c r="B2083" s="94">
        <v>4340000</v>
      </c>
      <c r="C2083" s="94">
        <v>4340000</v>
      </c>
      <c r="D2083" s="94">
        <v>4340000</v>
      </c>
      <c r="E2083" s="95">
        <v>40747</v>
      </c>
      <c r="F2083" s="96" t="s">
        <v>3251</v>
      </c>
    </row>
    <row r="2084" spans="1:6">
      <c r="A2084" s="94">
        <v>4360000</v>
      </c>
      <c r="B2084" s="94">
        <v>4360000</v>
      </c>
      <c r="C2084" s="94">
        <v>4360000</v>
      </c>
      <c r="D2084" s="94">
        <v>4360000</v>
      </c>
      <c r="E2084" s="95">
        <v>40745</v>
      </c>
      <c r="F2084" s="96" t="s">
        <v>3252</v>
      </c>
    </row>
    <row r="2085" spans="1:6">
      <c r="A2085" s="94">
        <v>4370000</v>
      </c>
      <c r="B2085" s="94">
        <v>4370000</v>
      </c>
      <c r="C2085" s="94">
        <v>4370000</v>
      </c>
      <c r="D2085" s="94">
        <v>4370000</v>
      </c>
      <c r="E2085" s="95">
        <v>40744</v>
      </c>
      <c r="F2085" s="96" t="s">
        <v>3253</v>
      </c>
    </row>
    <row r="2086" spans="1:6">
      <c r="A2086" s="94">
        <v>4290000</v>
      </c>
      <c r="B2086" s="94">
        <v>4290000</v>
      </c>
      <c r="C2086" s="94">
        <v>4290000</v>
      </c>
      <c r="D2086" s="94">
        <v>4290000</v>
      </c>
      <c r="E2086" s="95">
        <v>40743</v>
      </c>
      <c r="F2086" s="96" t="s">
        <v>3254</v>
      </c>
    </row>
    <row r="2087" spans="1:6">
      <c r="A2087" s="94">
        <v>4280000</v>
      </c>
      <c r="B2087" s="94">
        <v>4280000</v>
      </c>
      <c r="C2087" s="94">
        <v>4280000</v>
      </c>
      <c r="D2087" s="94">
        <v>4280000</v>
      </c>
      <c r="E2087" s="95">
        <v>40742</v>
      </c>
      <c r="F2087" s="96" t="s">
        <v>3255</v>
      </c>
    </row>
    <row r="2088" spans="1:6">
      <c r="A2088" s="94">
        <v>4270000</v>
      </c>
      <c r="B2088" s="94">
        <v>4270000</v>
      </c>
      <c r="C2088" s="94">
        <v>4270000</v>
      </c>
      <c r="D2088" s="94">
        <v>4270000</v>
      </c>
      <c r="E2088" s="95">
        <v>40740</v>
      </c>
      <c r="F2088" s="96" t="s">
        <v>3256</v>
      </c>
    </row>
    <row r="2089" spans="1:6">
      <c r="A2089" s="94">
        <v>4260000</v>
      </c>
      <c r="B2089" s="94">
        <v>4260000</v>
      </c>
      <c r="C2089" s="94">
        <v>4260000</v>
      </c>
      <c r="D2089" s="94">
        <v>4260000</v>
      </c>
      <c r="E2089" s="95">
        <v>40738</v>
      </c>
      <c r="F2089" s="96" t="s">
        <v>3257</v>
      </c>
    </row>
    <row r="2090" spans="1:6">
      <c r="A2090" s="94">
        <v>4260000</v>
      </c>
      <c r="B2090" s="94">
        <v>4260000</v>
      </c>
      <c r="C2090" s="94">
        <v>4260000</v>
      </c>
      <c r="D2090" s="94">
        <v>4260000</v>
      </c>
      <c r="E2090" s="95">
        <v>40737</v>
      </c>
      <c r="F2090" s="96" t="s">
        <v>3258</v>
      </c>
    </row>
    <row r="2091" spans="1:6">
      <c r="A2091" s="94">
        <v>4270000</v>
      </c>
      <c r="B2091" s="94">
        <v>4270000</v>
      </c>
      <c r="C2091" s="94">
        <v>4270000</v>
      </c>
      <c r="D2091" s="94">
        <v>4270000</v>
      </c>
      <c r="E2091" s="95">
        <v>40736</v>
      </c>
      <c r="F2091" s="96" t="s">
        <v>3259</v>
      </c>
    </row>
    <row r="2092" spans="1:6">
      <c r="A2092" s="94">
        <v>4290000</v>
      </c>
      <c r="B2092" s="94">
        <v>4290000</v>
      </c>
      <c r="C2092" s="94">
        <v>4290000</v>
      </c>
      <c r="D2092" s="94">
        <v>4290000</v>
      </c>
      <c r="E2092" s="95">
        <v>40735</v>
      </c>
      <c r="F2092" s="96" t="s">
        <v>3260</v>
      </c>
    </row>
    <row r="2093" spans="1:6">
      <c r="A2093" s="94">
        <v>4300000</v>
      </c>
      <c r="B2093" s="94">
        <v>4300000</v>
      </c>
      <c r="C2093" s="94">
        <v>4300000</v>
      </c>
      <c r="D2093" s="94">
        <v>4300000</v>
      </c>
      <c r="E2093" s="95">
        <v>40734</v>
      </c>
      <c r="F2093" s="96" t="s">
        <v>3261</v>
      </c>
    </row>
    <row r="2094" spans="1:6">
      <c r="A2094" s="94">
        <v>4310000</v>
      </c>
      <c r="B2094" s="94">
        <v>4310000</v>
      </c>
      <c r="C2094" s="94">
        <v>4310000</v>
      </c>
      <c r="D2094" s="94">
        <v>4310000</v>
      </c>
      <c r="E2094" s="95">
        <v>40733</v>
      </c>
      <c r="F2094" s="96" t="s">
        <v>3262</v>
      </c>
    </row>
    <row r="2095" spans="1:6">
      <c r="A2095" s="94">
        <v>4330000</v>
      </c>
      <c r="B2095" s="94">
        <v>4330000</v>
      </c>
      <c r="C2095" s="94">
        <v>4330000</v>
      </c>
      <c r="D2095" s="94">
        <v>4330000</v>
      </c>
      <c r="E2095" s="95">
        <v>40731</v>
      </c>
      <c r="F2095" s="96" t="s">
        <v>3263</v>
      </c>
    </row>
    <row r="2096" spans="1:6">
      <c r="A2096" s="94">
        <v>4320000</v>
      </c>
      <c r="B2096" s="94">
        <v>4320000</v>
      </c>
      <c r="C2096" s="94">
        <v>4320000</v>
      </c>
      <c r="D2096" s="94">
        <v>4320000</v>
      </c>
      <c r="E2096" s="95">
        <v>40730</v>
      </c>
      <c r="F2096" s="96" t="s">
        <v>3264</v>
      </c>
    </row>
    <row r="2097" spans="1:6">
      <c r="A2097" s="94">
        <v>4320000</v>
      </c>
      <c r="B2097" s="94">
        <v>4320000</v>
      </c>
      <c r="C2097" s="94">
        <v>4320000</v>
      </c>
      <c r="D2097" s="94">
        <v>4320000</v>
      </c>
      <c r="E2097" s="95">
        <v>40729</v>
      </c>
      <c r="F2097" s="96" t="s">
        <v>3265</v>
      </c>
    </row>
    <row r="2098" spans="1:6">
      <c r="A2098" s="94">
        <v>4310000</v>
      </c>
      <c r="B2098" s="94">
        <v>4310000</v>
      </c>
      <c r="C2098" s="94">
        <v>4310000</v>
      </c>
      <c r="D2098" s="94">
        <v>4310000</v>
      </c>
      <c r="E2098" s="95">
        <v>40728</v>
      </c>
      <c r="F2098" s="96" t="s">
        <v>3266</v>
      </c>
    </row>
    <row r="2099" spans="1:6">
      <c r="A2099" s="94">
        <v>4310000</v>
      </c>
      <c r="B2099" s="94">
        <v>4310000</v>
      </c>
      <c r="C2099" s="94">
        <v>4310000</v>
      </c>
      <c r="D2099" s="94">
        <v>4310000</v>
      </c>
      <c r="E2099" s="95">
        <v>40727</v>
      </c>
      <c r="F2099" s="96" t="s">
        <v>3267</v>
      </c>
    </row>
    <row r="2100" spans="1:6">
      <c r="A2100" s="94">
        <v>4340000</v>
      </c>
      <c r="B2100" s="94">
        <v>4340000</v>
      </c>
      <c r="C2100" s="94">
        <v>4340000</v>
      </c>
      <c r="D2100" s="94">
        <v>4340000</v>
      </c>
      <c r="E2100" s="95">
        <v>40726</v>
      </c>
      <c r="F2100" s="96" t="s">
        <v>3268</v>
      </c>
    </row>
    <row r="2101" spans="1:6">
      <c r="A2101" s="94">
        <v>4280000</v>
      </c>
      <c r="B2101" s="94">
        <v>4280000</v>
      </c>
      <c r="C2101" s="94">
        <v>4280000</v>
      </c>
      <c r="D2101" s="94">
        <v>4280000</v>
      </c>
      <c r="E2101" s="95">
        <v>40723</v>
      </c>
      <c r="F2101" s="96" t="s">
        <v>3269</v>
      </c>
    </row>
    <row r="2102" spans="1:6">
      <c r="A2102" s="94">
        <v>4280000</v>
      </c>
      <c r="B2102" s="94">
        <v>4280000</v>
      </c>
      <c r="C2102" s="94">
        <v>4280000</v>
      </c>
      <c r="D2102" s="94">
        <v>4280000</v>
      </c>
      <c r="E2102" s="95">
        <v>40722</v>
      </c>
      <c r="F2102" s="96" t="s">
        <v>3270</v>
      </c>
    </row>
    <row r="2103" spans="1:6">
      <c r="A2103" s="94">
        <v>4280000</v>
      </c>
      <c r="B2103" s="94">
        <v>4280000</v>
      </c>
      <c r="C2103" s="94">
        <v>4280000</v>
      </c>
      <c r="D2103" s="94">
        <v>4280000</v>
      </c>
      <c r="E2103" s="95">
        <v>40721</v>
      </c>
      <c r="F2103" s="96" t="s">
        <v>3271</v>
      </c>
    </row>
    <row r="2104" spans="1:6">
      <c r="A2104" s="94">
        <v>4350000</v>
      </c>
      <c r="B2104" s="94">
        <v>4350000</v>
      </c>
      <c r="C2104" s="94">
        <v>4350000</v>
      </c>
      <c r="D2104" s="94">
        <v>4350000</v>
      </c>
      <c r="E2104" s="95">
        <v>40720</v>
      </c>
      <c r="F2104" s="96" t="s">
        <v>3272</v>
      </c>
    </row>
    <row r="2105" spans="1:6">
      <c r="A2105" s="94">
        <v>4440000</v>
      </c>
      <c r="B2105" s="94">
        <v>4440000</v>
      </c>
      <c r="C2105" s="94">
        <v>4440000</v>
      </c>
      <c r="D2105" s="94">
        <v>4440000</v>
      </c>
      <c r="E2105" s="95">
        <v>40717</v>
      </c>
      <c r="F2105" s="96" t="s">
        <v>3273</v>
      </c>
    </row>
    <row r="2106" spans="1:6">
      <c r="A2106" s="94">
        <v>4420000</v>
      </c>
      <c r="B2106" s="94">
        <v>4420000</v>
      </c>
      <c r="C2106" s="94">
        <v>4420000</v>
      </c>
      <c r="D2106" s="94">
        <v>4420000</v>
      </c>
      <c r="E2106" s="95">
        <v>40716</v>
      </c>
      <c r="F2106" s="96" t="s">
        <v>3274</v>
      </c>
    </row>
    <row r="2107" spans="1:6">
      <c r="A2107" s="94">
        <v>4470000</v>
      </c>
      <c r="B2107" s="94">
        <v>4470000</v>
      </c>
      <c r="C2107" s="94">
        <v>4470000</v>
      </c>
      <c r="D2107" s="94">
        <v>4470000</v>
      </c>
      <c r="E2107" s="95">
        <v>40715</v>
      </c>
      <c r="F2107" s="96" t="s">
        <v>3275</v>
      </c>
    </row>
    <row r="2108" spans="1:6">
      <c r="A2108" s="94">
        <v>4480000</v>
      </c>
      <c r="B2108" s="94">
        <v>4480000</v>
      </c>
      <c r="C2108" s="94">
        <v>4480000</v>
      </c>
      <c r="D2108" s="94">
        <v>4480000</v>
      </c>
      <c r="E2108" s="95">
        <v>40714</v>
      </c>
      <c r="F2108" s="96" t="s">
        <v>3276</v>
      </c>
    </row>
    <row r="2109" spans="1:6">
      <c r="A2109" s="94">
        <v>4520000</v>
      </c>
      <c r="B2109" s="94">
        <v>4520000</v>
      </c>
      <c r="C2109" s="94">
        <v>4520000</v>
      </c>
      <c r="D2109" s="94">
        <v>4520000</v>
      </c>
      <c r="E2109" s="95">
        <v>40713</v>
      </c>
      <c r="F2109" s="96" t="s">
        <v>3277</v>
      </c>
    </row>
    <row r="2110" spans="1:6">
      <c r="A2110" s="94">
        <v>4550000</v>
      </c>
      <c r="B2110" s="94">
        <v>4550000</v>
      </c>
      <c r="C2110" s="94">
        <v>4550000</v>
      </c>
      <c r="D2110" s="94">
        <v>4550000</v>
      </c>
      <c r="E2110" s="95">
        <v>40712</v>
      </c>
      <c r="F2110" s="96" t="s">
        <v>3278</v>
      </c>
    </row>
    <row r="2111" spans="1:6">
      <c r="A2111" s="94">
        <v>4570000</v>
      </c>
      <c r="B2111" s="94">
        <v>4570000</v>
      </c>
      <c r="C2111" s="94">
        <v>4570000</v>
      </c>
      <c r="D2111" s="94">
        <v>4570000</v>
      </c>
      <c r="E2111" s="95">
        <v>40709</v>
      </c>
      <c r="F2111" s="96" t="s">
        <v>3279</v>
      </c>
    </row>
    <row r="2112" spans="1:6">
      <c r="A2112" s="94">
        <v>4600000</v>
      </c>
      <c r="B2112" s="94">
        <v>4600000</v>
      </c>
      <c r="C2112" s="94">
        <v>4600000</v>
      </c>
      <c r="D2112" s="94">
        <v>4600000</v>
      </c>
      <c r="E2112" s="95">
        <v>40708</v>
      </c>
      <c r="F2112" s="96" t="s">
        <v>3280</v>
      </c>
    </row>
    <row r="2113" spans="1:6">
      <c r="A2113" s="94">
        <v>4560000</v>
      </c>
      <c r="B2113" s="94">
        <v>4560000</v>
      </c>
      <c r="C2113" s="94">
        <v>4560000</v>
      </c>
      <c r="D2113" s="94">
        <v>4560000</v>
      </c>
      <c r="E2113" s="95">
        <v>40707</v>
      </c>
      <c r="F2113" s="96" t="s">
        <v>3281</v>
      </c>
    </row>
    <row r="2114" spans="1:6">
      <c r="A2114" s="94">
        <v>4620000</v>
      </c>
      <c r="B2114" s="94">
        <v>4620000</v>
      </c>
      <c r="C2114" s="94">
        <v>4620000</v>
      </c>
      <c r="D2114" s="94">
        <v>4620000</v>
      </c>
      <c r="E2114" s="95">
        <v>40706</v>
      </c>
      <c r="F2114" s="96" t="s">
        <v>3282</v>
      </c>
    </row>
    <row r="2115" spans="1:6">
      <c r="A2115" s="94">
        <v>4600000</v>
      </c>
      <c r="B2115" s="94">
        <v>4600000</v>
      </c>
      <c r="C2115" s="94">
        <v>4600000</v>
      </c>
      <c r="D2115" s="94">
        <v>4600000</v>
      </c>
      <c r="E2115" s="95">
        <v>40705</v>
      </c>
      <c r="F2115" s="96" t="s">
        <v>3283</v>
      </c>
    </row>
    <row r="2116" spans="1:6">
      <c r="A2116" s="94">
        <v>4550000</v>
      </c>
      <c r="B2116" s="94">
        <v>4550000</v>
      </c>
      <c r="C2116" s="94">
        <v>4550000</v>
      </c>
      <c r="D2116" s="94">
        <v>4550000</v>
      </c>
      <c r="E2116" s="95">
        <v>40703</v>
      </c>
      <c r="F2116" s="96" t="s">
        <v>3284</v>
      </c>
    </row>
    <row r="2117" spans="1:6">
      <c r="A2117" s="94">
        <v>4470000</v>
      </c>
      <c r="B2117" s="94">
        <v>4470000</v>
      </c>
      <c r="C2117" s="94">
        <v>4470000</v>
      </c>
      <c r="D2117" s="94">
        <v>4470000</v>
      </c>
      <c r="E2117" s="95">
        <v>40702</v>
      </c>
      <c r="F2117" s="96" t="s">
        <v>3285</v>
      </c>
    </row>
    <row r="2118" spans="1:6">
      <c r="A2118" s="94">
        <v>4470000</v>
      </c>
      <c r="B2118" s="94">
        <v>4470000</v>
      </c>
      <c r="C2118" s="94">
        <v>4470000</v>
      </c>
      <c r="D2118" s="94">
        <v>4470000</v>
      </c>
      <c r="E2118" s="95">
        <v>40701</v>
      </c>
      <c r="F2118" s="96" t="s">
        <v>3286</v>
      </c>
    </row>
    <row r="2119" spans="1:6">
      <c r="A2119" s="94">
        <v>4420000</v>
      </c>
      <c r="B2119" s="94">
        <v>4420000</v>
      </c>
      <c r="C2119" s="94">
        <v>4420000</v>
      </c>
      <c r="D2119" s="94">
        <v>4420000</v>
      </c>
      <c r="E2119" s="95">
        <v>40700</v>
      </c>
      <c r="F2119" s="96" t="s">
        <v>3287</v>
      </c>
    </row>
    <row r="2120" spans="1:6">
      <c r="A2120" s="94">
        <v>4400000</v>
      </c>
      <c r="B2120" s="94">
        <v>4400000</v>
      </c>
      <c r="C2120" s="94">
        <v>4400000</v>
      </c>
      <c r="D2120" s="94">
        <v>4400000</v>
      </c>
      <c r="E2120" s="95">
        <v>40696</v>
      </c>
      <c r="F2120" s="96" t="s">
        <v>3288</v>
      </c>
    </row>
    <row r="2121" spans="1:6">
      <c r="A2121" s="94">
        <v>4400000</v>
      </c>
      <c r="B2121" s="94">
        <v>4400000</v>
      </c>
      <c r="C2121" s="94">
        <v>4400000</v>
      </c>
      <c r="D2121" s="94">
        <v>4400000</v>
      </c>
      <c r="E2121" s="95">
        <v>40695</v>
      </c>
      <c r="F2121" s="96" t="s">
        <v>3289</v>
      </c>
    </row>
    <row r="2122" spans="1:6">
      <c r="A2122" s="94">
        <v>4380000</v>
      </c>
      <c r="B2122" s="94">
        <v>4380000</v>
      </c>
      <c r="C2122" s="94">
        <v>4380000</v>
      </c>
      <c r="D2122" s="94">
        <v>4380000</v>
      </c>
      <c r="E2122" s="95">
        <v>40694</v>
      </c>
      <c r="F2122" s="96" t="s">
        <v>3290</v>
      </c>
    </row>
    <row r="2123" spans="1:6">
      <c r="A2123" s="94">
        <v>4400000</v>
      </c>
      <c r="B2123" s="94">
        <v>4400000</v>
      </c>
      <c r="C2123" s="94">
        <v>4400000</v>
      </c>
      <c r="D2123" s="94">
        <v>4400000</v>
      </c>
      <c r="E2123" s="95">
        <v>40693</v>
      </c>
      <c r="F2123" s="96" t="s">
        <v>3291</v>
      </c>
    </row>
    <row r="2124" spans="1:6">
      <c r="A2124" s="94">
        <v>4450000</v>
      </c>
      <c r="B2124" s="94">
        <v>4450000</v>
      </c>
      <c r="C2124" s="94">
        <v>4450000</v>
      </c>
      <c r="D2124" s="94">
        <v>4450000</v>
      </c>
      <c r="E2124" s="95">
        <v>40692</v>
      </c>
      <c r="F2124" s="96" t="s">
        <v>3292</v>
      </c>
    </row>
    <row r="2125" spans="1:6">
      <c r="A2125" s="94">
        <v>4480000</v>
      </c>
      <c r="B2125" s="94">
        <v>4480000</v>
      </c>
      <c r="C2125" s="94">
        <v>4480000</v>
      </c>
      <c r="D2125" s="94">
        <v>4480000</v>
      </c>
      <c r="E2125" s="95">
        <v>40691</v>
      </c>
      <c r="F2125" s="96" t="s">
        <v>3293</v>
      </c>
    </row>
    <row r="2126" spans="1:6">
      <c r="A2126" s="94">
        <v>4350000</v>
      </c>
      <c r="B2126" s="94">
        <v>4350000</v>
      </c>
      <c r="C2126" s="94">
        <v>4350000</v>
      </c>
      <c r="D2126" s="94">
        <v>4350000</v>
      </c>
      <c r="E2126" s="95">
        <v>40688</v>
      </c>
      <c r="F2126" s="96" t="s">
        <v>3294</v>
      </c>
    </row>
    <row r="2127" spans="1:6">
      <c r="A2127" s="94">
        <v>4210000</v>
      </c>
      <c r="B2127" s="94">
        <v>4210000</v>
      </c>
      <c r="C2127" s="94">
        <v>4210000</v>
      </c>
      <c r="D2127" s="94">
        <v>4210000</v>
      </c>
      <c r="E2127" s="95">
        <v>40684</v>
      </c>
      <c r="F2127" s="96" t="s">
        <v>3295</v>
      </c>
    </row>
    <row r="2128" spans="1:6">
      <c r="A2128" s="94">
        <v>4380000</v>
      </c>
      <c r="B2128" s="94">
        <v>4380000</v>
      </c>
      <c r="C2128" s="94">
        <v>4380000</v>
      </c>
      <c r="D2128" s="94">
        <v>4380000</v>
      </c>
      <c r="E2128" s="95">
        <v>40687</v>
      </c>
      <c r="F2128" s="96" t="s">
        <v>3296</v>
      </c>
    </row>
    <row r="2129" spans="1:6">
      <c r="A2129" s="94">
        <v>4370000</v>
      </c>
      <c r="B2129" s="94">
        <v>4370000</v>
      </c>
      <c r="C2129" s="94">
        <v>4370000</v>
      </c>
      <c r="D2129" s="94">
        <v>4370000</v>
      </c>
      <c r="E2129" s="95">
        <v>40686</v>
      </c>
      <c r="F2129" s="96" t="s">
        <v>3297</v>
      </c>
    </row>
    <row r="2130" spans="1:6">
      <c r="A2130" s="94">
        <v>4200000</v>
      </c>
      <c r="B2130" s="94">
        <v>4200000</v>
      </c>
      <c r="C2130" s="94">
        <v>4200000</v>
      </c>
      <c r="D2130" s="94">
        <v>4200000</v>
      </c>
      <c r="E2130" s="95">
        <v>40682</v>
      </c>
      <c r="F2130" s="96" t="s">
        <v>3298</v>
      </c>
    </row>
    <row r="2131" spans="1:6">
      <c r="A2131" s="94">
        <v>4230000</v>
      </c>
      <c r="B2131" s="94">
        <v>4230000</v>
      </c>
      <c r="C2131" s="94">
        <v>4230000</v>
      </c>
      <c r="D2131" s="94">
        <v>4230000</v>
      </c>
      <c r="E2131" s="95">
        <v>40685</v>
      </c>
      <c r="F2131" s="96" t="s">
        <v>3299</v>
      </c>
    </row>
    <row r="2132" spans="1:6">
      <c r="A2132" s="94">
        <v>4215000</v>
      </c>
      <c r="B2132" s="94">
        <v>4215000</v>
      </c>
      <c r="C2132" s="94">
        <v>4215000</v>
      </c>
      <c r="D2132" s="94">
        <v>4215000</v>
      </c>
      <c r="E2132" s="95">
        <v>40681</v>
      </c>
      <c r="F2132" s="96" t="s">
        <v>3300</v>
      </c>
    </row>
    <row r="2133" spans="1:6">
      <c r="A2133" s="94">
        <v>4200000</v>
      </c>
      <c r="B2133" s="94">
        <v>4200000</v>
      </c>
      <c r="C2133" s="94">
        <v>4200000</v>
      </c>
      <c r="D2133" s="94">
        <v>4200000</v>
      </c>
      <c r="E2133" s="95">
        <v>40680</v>
      </c>
      <c r="F2133" s="96" t="s">
        <v>3301</v>
      </c>
    </row>
    <row r="2134" spans="1:6">
      <c r="A2134" s="94">
        <v>4220000</v>
      </c>
      <c r="B2134" s="94">
        <v>4220000</v>
      </c>
      <c r="C2134" s="94">
        <v>4220000</v>
      </c>
      <c r="D2134" s="94">
        <v>4220000</v>
      </c>
      <c r="E2134" s="95">
        <v>40679</v>
      </c>
      <c r="F2134" s="96" t="s">
        <v>3302</v>
      </c>
    </row>
    <row r="2135" spans="1:6">
      <c r="A2135" s="94">
        <v>4220000</v>
      </c>
      <c r="B2135" s="94">
        <v>4220000</v>
      </c>
      <c r="C2135" s="94">
        <v>4220000</v>
      </c>
      <c r="D2135" s="94">
        <v>4220000</v>
      </c>
      <c r="E2135" s="95">
        <v>40678</v>
      </c>
      <c r="F2135" s="96" t="s">
        <v>3303</v>
      </c>
    </row>
    <row r="2136" spans="1:6">
      <c r="A2136" s="94">
        <v>4250000</v>
      </c>
      <c r="B2136" s="94">
        <v>4250000</v>
      </c>
      <c r="C2136" s="94">
        <v>4250000</v>
      </c>
      <c r="D2136" s="94">
        <v>4250000</v>
      </c>
      <c r="E2136" s="95">
        <v>40677</v>
      </c>
      <c r="F2136" s="96" t="s">
        <v>3304</v>
      </c>
    </row>
    <row r="2137" spans="1:6">
      <c r="A2137" s="94">
        <v>4270000</v>
      </c>
      <c r="B2137" s="94">
        <v>4270000</v>
      </c>
      <c r="C2137" s="94">
        <v>4270000</v>
      </c>
      <c r="D2137" s="94">
        <v>4270000</v>
      </c>
      <c r="E2137" s="95">
        <v>40675</v>
      </c>
      <c r="F2137" s="96" t="s">
        <v>3305</v>
      </c>
    </row>
    <row r="2138" spans="1:6">
      <c r="A2138" s="94">
        <v>4250000</v>
      </c>
      <c r="B2138" s="94">
        <v>4250000</v>
      </c>
      <c r="C2138" s="94">
        <v>4250000</v>
      </c>
      <c r="D2138" s="94">
        <v>4250000</v>
      </c>
      <c r="E2138" s="95">
        <v>40674</v>
      </c>
      <c r="F2138" s="96" t="s">
        <v>3306</v>
      </c>
    </row>
    <row r="2139" spans="1:6">
      <c r="A2139" s="94">
        <v>4210000</v>
      </c>
      <c r="B2139" s="94">
        <v>4210000</v>
      </c>
      <c r="C2139" s="94">
        <v>4210000</v>
      </c>
      <c r="D2139" s="94">
        <v>4210000</v>
      </c>
      <c r="E2139" s="95">
        <v>40673</v>
      </c>
      <c r="F2139" s="96" t="s">
        <v>3307</v>
      </c>
    </row>
    <row r="2140" spans="1:6">
      <c r="A2140" s="94">
        <v>4200000</v>
      </c>
      <c r="B2140" s="94">
        <v>4200000</v>
      </c>
      <c r="C2140" s="94">
        <v>4200000</v>
      </c>
      <c r="D2140" s="94">
        <v>4200000</v>
      </c>
      <c r="E2140" s="95">
        <v>40672</v>
      </c>
      <c r="F2140" s="96" t="s">
        <v>3308</v>
      </c>
    </row>
    <row r="2141" spans="1:6">
      <c r="A2141" s="94">
        <v>4200000</v>
      </c>
      <c r="B2141" s="94">
        <v>4200000</v>
      </c>
      <c r="C2141" s="94">
        <v>4200000</v>
      </c>
      <c r="D2141" s="94">
        <v>4200000</v>
      </c>
      <c r="E2141" s="95">
        <v>40671</v>
      </c>
      <c r="F2141" s="96" t="s">
        <v>3309</v>
      </c>
    </row>
    <row r="2142" spans="1:6">
      <c r="A2142" s="94">
        <v>4220000</v>
      </c>
      <c r="B2142" s="94">
        <v>4220000</v>
      </c>
      <c r="C2142" s="94">
        <v>4220000</v>
      </c>
      <c r="D2142" s="94">
        <v>4220000</v>
      </c>
      <c r="E2142" s="95">
        <v>40668</v>
      </c>
      <c r="F2142" s="96" t="s">
        <v>3310</v>
      </c>
    </row>
    <row r="2143" spans="1:6">
      <c r="A2143" s="94">
        <v>4230000</v>
      </c>
      <c r="B2143" s="94">
        <v>4230000</v>
      </c>
      <c r="C2143" s="94">
        <v>4230000</v>
      </c>
      <c r="D2143" s="94">
        <v>4230000</v>
      </c>
      <c r="E2143" s="95">
        <v>40667</v>
      </c>
      <c r="F2143" s="96" t="s">
        <v>3311</v>
      </c>
    </row>
    <row r="2144" spans="1:6">
      <c r="A2144" s="94">
        <v>4230000</v>
      </c>
      <c r="B2144" s="94">
        <v>4230000</v>
      </c>
      <c r="C2144" s="94">
        <v>4230000</v>
      </c>
      <c r="D2144" s="94">
        <v>4230000</v>
      </c>
      <c r="E2144" s="95">
        <v>40666</v>
      </c>
      <c r="F2144" s="96" t="s">
        <v>3312</v>
      </c>
    </row>
    <row r="2145" spans="1:6">
      <c r="A2145" s="94">
        <v>4250000</v>
      </c>
      <c r="B2145" s="94">
        <v>4250000</v>
      </c>
      <c r="C2145" s="94">
        <v>4250000</v>
      </c>
      <c r="D2145" s="94">
        <v>4250000</v>
      </c>
      <c r="E2145" s="95">
        <v>40665</v>
      </c>
      <c r="F2145" s="96" t="s">
        <v>3313</v>
      </c>
    </row>
    <row r="2146" spans="1:6">
      <c r="A2146" s="94">
        <v>4250000</v>
      </c>
      <c r="B2146" s="94">
        <v>4250000</v>
      </c>
      <c r="C2146" s="94">
        <v>4250000</v>
      </c>
      <c r="D2146" s="94">
        <v>4250000</v>
      </c>
      <c r="E2146" s="95">
        <v>40664</v>
      </c>
      <c r="F2146" s="96" t="s">
        <v>3314</v>
      </c>
    </row>
    <row r="2147" spans="1:6">
      <c r="A2147" s="94">
        <v>4230000</v>
      </c>
      <c r="B2147" s="94">
        <v>4230000</v>
      </c>
      <c r="C2147" s="94">
        <v>4230000</v>
      </c>
      <c r="D2147" s="94">
        <v>4230000</v>
      </c>
      <c r="E2147" s="95">
        <v>40663</v>
      </c>
      <c r="F2147" s="96" t="s">
        <v>3315</v>
      </c>
    </row>
    <row r="2148" spans="1:6">
      <c r="A2148" s="94">
        <v>4160000</v>
      </c>
      <c r="B2148" s="94">
        <v>4160000</v>
      </c>
      <c r="C2148" s="94">
        <v>4160000</v>
      </c>
      <c r="D2148" s="94">
        <v>4160000</v>
      </c>
      <c r="E2148" s="95">
        <v>40661</v>
      </c>
      <c r="F2148" s="96" t="s">
        <v>3316</v>
      </c>
    </row>
    <row r="2149" spans="1:6">
      <c r="A2149" s="94">
        <v>4180000</v>
      </c>
      <c r="B2149" s="94">
        <v>4180000</v>
      </c>
      <c r="C2149" s="94">
        <v>4180000</v>
      </c>
      <c r="D2149" s="94">
        <v>4180000</v>
      </c>
      <c r="E2149" s="95">
        <v>40660</v>
      </c>
      <c r="F2149" s="96" t="s">
        <v>3317</v>
      </c>
    </row>
    <row r="2150" spans="1:6">
      <c r="A2150" s="94">
        <v>4250000</v>
      </c>
      <c r="B2150" s="94">
        <v>4250000</v>
      </c>
      <c r="C2150" s="94">
        <v>4250000</v>
      </c>
      <c r="D2150" s="94">
        <v>4250000</v>
      </c>
      <c r="E2150" s="95">
        <v>40659</v>
      </c>
      <c r="F2150" s="96" t="s">
        <v>3318</v>
      </c>
    </row>
    <row r="2151" spans="1:6">
      <c r="A2151" s="94">
        <v>4350000</v>
      </c>
      <c r="B2151" s="94">
        <v>4350000</v>
      </c>
      <c r="C2151" s="94">
        <v>4350000</v>
      </c>
      <c r="D2151" s="94">
        <v>4350000</v>
      </c>
      <c r="E2151" s="95">
        <v>40658</v>
      </c>
      <c r="F2151" s="96" t="s">
        <v>3319</v>
      </c>
    </row>
    <row r="2152" spans="1:6">
      <c r="A2152" s="94">
        <v>4280000</v>
      </c>
      <c r="B2152" s="94">
        <v>4280000</v>
      </c>
      <c r="C2152" s="94">
        <v>4280000</v>
      </c>
      <c r="D2152" s="94">
        <v>4280000</v>
      </c>
      <c r="E2152" s="95">
        <v>40657</v>
      </c>
      <c r="F2152" s="96" t="s">
        <v>3320</v>
      </c>
    </row>
    <row r="2153" spans="1:6">
      <c r="A2153" s="94">
        <v>4200000</v>
      </c>
      <c r="B2153" s="94">
        <v>4200000</v>
      </c>
      <c r="C2153" s="94">
        <v>4200000</v>
      </c>
      <c r="D2153" s="94">
        <v>4200000</v>
      </c>
      <c r="E2153" s="95">
        <v>40656</v>
      </c>
      <c r="F2153" s="96" t="s">
        <v>3321</v>
      </c>
    </row>
    <row r="2154" spans="1:6">
      <c r="A2154" s="94">
        <v>4300000</v>
      </c>
      <c r="B2154" s="94">
        <v>4300000</v>
      </c>
      <c r="C2154" s="94">
        <v>4300000</v>
      </c>
      <c r="D2154" s="94">
        <v>4300000</v>
      </c>
      <c r="E2154" s="95">
        <v>40654</v>
      </c>
      <c r="F2154" s="96" t="s">
        <v>3322</v>
      </c>
    </row>
    <row r="2155" spans="1:6">
      <c r="A2155" s="94">
        <v>4450000</v>
      </c>
      <c r="B2155" s="94">
        <v>4450000</v>
      </c>
      <c r="C2155" s="94">
        <v>4450000</v>
      </c>
      <c r="D2155" s="94">
        <v>4450000</v>
      </c>
      <c r="E2155" s="95">
        <v>40653</v>
      </c>
      <c r="F2155" s="96" t="s">
        <v>3323</v>
      </c>
    </row>
    <row r="2156" spans="1:6">
      <c r="A2156" s="94">
        <v>4370000</v>
      </c>
      <c r="B2156" s="94">
        <v>4370000</v>
      </c>
      <c r="C2156" s="94">
        <v>4370000</v>
      </c>
      <c r="D2156" s="94">
        <v>4370000</v>
      </c>
      <c r="E2156" s="95">
        <v>40652</v>
      </c>
      <c r="F2156" s="96" t="s">
        <v>3324</v>
      </c>
    </row>
    <row r="2157" spans="1:6">
      <c r="A2157" s="94">
        <v>4300000</v>
      </c>
      <c r="B2157" s="94">
        <v>4300000</v>
      </c>
      <c r="C2157" s="94">
        <v>4300000</v>
      </c>
      <c r="D2157" s="94">
        <v>4300000</v>
      </c>
      <c r="E2157" s="95">
        <v>40651</v>
      </c>
      <c r="F2157" s="96" t="s">
        <v>3325</v>
      </c>
    </row>
    <row r="2158" spans="1:6">
      <c r="A2158" s="94">
        <v>4300000</v>
      </c>
      <c r="B2158" s="94">
        <v>4300000</v>
      </c>
      <c r="C2158" s="94">
        <v>4300000</v>
      </c>
      <c r="D2158" s="94">
        <v>4300000</v>
      </c>
      <c r="E2158" s="95">
        <v>40650</v>
      </c>
      <c r="F2158" s="96" t="s">
        <v>3326</v>
      </c>
    </row>
    <row r="2159" spans="1:6">
      <c r="A2159" s="94">
        <v>4200000</v>
      </c>
      <c r="B2159" s="94">
        <v>4200000</v>
      </c>
      <c r="C2159" s="94">
        <v>4200000</v>
      </c>
      <c r="D2159" s="94">
        <v>4200000</v>
      </c>
      <c r="E2159" s="95">
        <v>40649</v>
      </c>
      <c r="F2159" s="96" t="s">
        <v>3327</v>
      </c>
    </row>
    <row r="2160" spans="1:6">
      <c r="A2160" s="94">
        <v>4190000</v>
      </c>
      <c r="B2160" s="94">
        <v>4190000</v>
      </c>
      <c r="C2160" s="94">
        <v>4190000</v>
      </c>
      <c r="D2160" s="94">
        <v>4190000</v>
      </c>
      <c r="E2160" s="95">
        <v>40647</v>
      </c>
      <c r="F2160" s="96" t="s">
        <v>3328</v>
      </c>
    </row>
    <row r="2161" spans="1:6">
      <c r="A2161" s="94">
        <v>4140000</v>
      </c>
      <c r="B2161" s="94">
        <v>4140000</v>
      </c>
      <c r="C2161" s="94">
        <v>4140000</v>
      </c>
      <c r="D2161" s="94">
        <v>4140000</v>
      </c>
      <c r="E2161" s="95">
        <v>40646</v>
      </c>
      <c r="F2161" s="96" t="s">
        <v>3329</v>
      </c>
    </row>
    <row r="2162" spans="1:6">
      <c r="A2162" s="94">
        <v>4140000</v>
      </c>
      <c r="B2162" s="94">
        <v>4140000</v>
      </c>
      <c r="C2162" s="94">
        <v>4140000</v>
      </c>
      <c r="D2162" s="94">
        <v>4140000</v>
      </c>
      <c r="E2162" s="95">
        <v>40645</v>
      </c>
      <c r="F2162" s="96" t="s">
        <v>3330</v>
      </c>
    </row>
    <row r="2163" spans="1:6">
      <c r="A2163" s="94">
        <v>4060000</v>
      </c>
      <c r="B2163" s="94">
        <v>4060000</v>
      </c>
      <c r="C2163" s="94">
        <v>4060000</v>
      </c>
      <c r="D2163" s="94">
        <v>4060000</v>
      </c>
      <c r="E2163" s="95">
        <v>40644</v>
      </c>
      <c r="F2163" s="96" t="s">
        <v>3331</v>
      </c>
    </row>
    <row r="2164" spans="1:6">
      <c r="A2164" s="94">
        <v>4040000</v>
      </c>
      <c r="B2164" s="94">
        <v>4040000</v>
      </c>
      <c r="C2164" s="94">
        <v>4040000</v>
      </c>
      <c r="D2164" s="94">
        <v>4040000</v>
      </c>
      <c r="E2164" s="95">
        <v>40643</v>
      </c>
      <c r="F2164" s="96" t="s">
        <v>3332</v>
      </c>
    </row>
    <row r="2165" spans="1:6">
      <c r="A2165" s="94">
        <v>4020000</v>
      </c>
      <c r="B2165" s="94">
        <v>4020000</v>
      </c>
      <c r="C2165" s="94">
        <v>4020000</v>
      </c>
      <c r="D2165" s="94">
        <v>4020000</v>
      </c>
      <c r="E2165" s="95">
        <v>40642</v>
      </c>
      <c r="F2165" s="96" t="s">
        <v>3333</v>
      </c>
    </row>
    <row r="2166" spans="1:6">
      <c r="A2166" s="94">
        <v>3930000</v>
      </c>
      <c r="B2166" s="94">
        <v>3930000</v>
      </c>
      <c r="C2166" s="94">
        <v>3930000</v>
      </c>
      <c r="D2166" s="94">
        <v>3930000</v>
      </c>
      <c r="E2166" s="95">
        <v>40638</v>
      </c>
      <c r="F2166" s="96" t="s">
        <v>3334</v>
      </c>
    </row>
    <row r="2167" spans="1:6">
      <c r="A2167" s="94">
        <v>3930000</v>
      </c>
      <c r="B2167" s="94">
        <v>3930000</v>
      </c>
      <c r="C2167" s="94">
        <v>3930000</v>
      </c>
      <c r="D2167" s="94">
        <v>3930000</v>
      </c>
      <c r="E2167" s="95">
        <v>40636</v>
      </c>
      <c r="F2167" s="96" t="s">
        <v>3335</v>
      </c>
    </row>
    <row r="2168" spans="1:6">
      <c r="A2168" s="94">
        <v>3850000</v>
      </c>
      <c r="B2168" s="94">
        <v>3850000</v>
      </c>
      <c r="C2168" s="94">
        <v>3850000</v>
      </c>
      <c r="D2168" s="94">
        <v>3850000</v>
      </c>
      <c r="E2168" s="95">
        <v>40619</v>
      </c>
      <c r="F2168" s="96" t="s">
        <v>3336</v>
      </c>
    </row>
    <row r="2169" spans="1:6">
      <c r="A2169" s="94">
        <v>3860000</v>
      </c>
      <c r="B2169" s="94">
        <v>3860000</v>
      </c>
      <c r="C2169" s="94">
        <v>3860000</v>
      </c>
      <c r="D2169" s="94">
        <v>3860000</v>
      </c>
      <c r="E2169" s="95">
        <v>40618</v>
      </c>
      <c r="F2169" s="96" t="s">
        <v>3337</v>
      </c>
    </row>
    <row r="2170" spans="1:6">
      <c r="A2170" s="94">
        <v>3880000</v>
      </c>
      <c r="B2170" s="94">
        <v>3880000</v>
      </c>
      <c r="C2170" s="94">
        <v>3880000</v>
      </c>
      <c r="D2170" s="94">
        <v>3880000</v>
      </c>
      <c r="E2170" s="95">
        <v>40617</v>
      </c>
      <c r="F2170" s="96" t="s">
        <v>3338</v>
      </c>
    </row>
    <row r="2171" spans="1:6">
      <c r="A2171" s="94">
        <v>3830000</v>
      </c>
      <c r="B2171" s="94">
        <v>3830000</v>
      </c>
      <c r="C2171" s="94">
        <v>3830000</v>
      </c>
      <c r="D2171" s="94">
        <v>3830000</v>
      </c>
      <c r="E2171" s="95">
        <v>40616</v>
      </c>
      <c r="F2171" s="96" t="s">
        <v>3339</v>
      </c>
    </row>
    <row r="2172" spans="1:6">
      <c r="A2172" s="94">
        <v>3840000</v>
      </c>
      <c r="B2172" s="94">
        <v>3840000</v>
      </c>
      <c r="C2172" s="94">
        <v>3840000</v>
      </c>
      <c r="D2172" s="94">
        <v>3840000</v>
      </c>
      <c r="E2172" s="95">
        <v>40615</v>
      </c>
      <c r="F2172" s="96" t="s">
        <v>3340</v>
      </c>
    </row>
    <row r="2173" spans="1:6">
      <c r="A2173" s="94">
        <v>3880000</v>
      </c>
      <c r="B2173" s="94">
        <v>3880000</v>
      </c>
      <c r="C2173" s="94">
        <v>3880000</v>
      </c>
      <c r="D2173" s="94">
        <v>3880000</v>
      </c>
      <c r="E2173" s="95">
        <v>40614</v>
      </c>
      <c r="F2173" s="96" t="s">
        <v>3341</v>
      </c>
    </row>
    <row r="2174" spans="1:6">
      <c r="A2174" s="94">
        <v>3870000</v>
      </c>
      <c r="B2174" s="94">
        <v>3870000</v>
      </c>
      <c r="C2174" s="94">
        <v>3870000</v>
      </c>
      <c r="D2174" s="94">
        <v>3870000</v>
      </c>
      <c r="E2174" s="95">
        <v>40612</v>
      </c>
      <c r="F2174" s="96" t="s">
        <v>3342</v>
      </c>
    </row>
    <row r="2175" spans="1:6">
      <c r="A2175" s="94">
        <v>3850000</v>
      </c>
      <c r="B2175" s="94">
        <v>3850000</v>
      </c>
      <c r="C2175" s="94">
        <v>3850000</v>
      </c>
      <c r="D2175" s="94">
        <v>3850000</v>
      </c>
      <c r="E2175" s="95">
        <v>40611</v>
      </c>
      <c r="F2175" s="96" t="s">
        <v>3343</v>
      </c>
    </row>
    <row r="2176" spans="1:6">
      <c r="A2176" s="94">
        <v>3850000</v>
      </c>
      <c r="B2176" s="94">
        <v>3850000</v>
      </c>
      <c r="C2176" s="94">
        <v>3850000</v>
      </c>
      <c r="D2176" s="94">
        <v>3850000</v>
      </c>
      <c r="E2176" s="95">
        <v>40610</v>
      </c>
      <c r="F2176" s="96" t="s">
        <v>3344</v>
      </c>
    </row>
    <row r="2177" spans="1:6">
      <c r="A2177" s="94">
        <v>3850000</v>
      </c>
      <c r="B2177" s="94">
        <v>3850000</v>
      </c>
      <c r="C2177" s="94">
        <v>3850000</v>
      </c>
      <c r="D2177" s="94">
        <v>3850000</v>
      </c>
      <c r="E2177" s="95">
        <v>40609</v>
      </c>
      <c r="F2177" s="96" t="s">
        <v>3345</v>
      </c>
    </row>
    <row r="2178" spans="1:6">
      <c r="A2178" s="94">
        <v>3900000</v>
      </c>
      <c r="B2178" s="94">
        <v>3900000</v>
      </c>
      <c r="C2178" s="94">
        <v>3900000</v>
      </c>
      <c r="D2178" s="94">
        <v>3900000</v>
      </c>
      <c r="E2178" s="95">
        <v>40608</v>
      </c>
      <c r="F2178" s="96" t="s">
        <v>3346</v>
      </c>
    </row>
    <row r="2179" spans="1:6">
      <c r="A2179" s="94">
        <v>3950000</v>
      </c>
      <c r="B2179" s="94">
        <v>3950000</v>
      </c>
      <c r="C2179" s="94">
        <v>3950000</v>
      </c>
      <c r="D2179" s="94">
        <v>3950000</v>
      </c>
      <c r="E2179" s="95">
        <v>40607</v>
      </c>
      <c r="F2179" s="96" t="s">
        <v>3347</v>
      </c>
    </row>
    <row r="2180" spans="1:6">
      <c r="A2180" s="94">
        <v>3950000</v>
      </c>
      <c r="B2180" s="94">
        <v>3950000</v>
      </c>
      <c r="C2180" s="94">
        <v>3950000</v>
      </c>
      <c r="D2180" s="94">
        <v>3950000</v>
      </c>
      <c r="E2180" s="95">
        <v>40605</v>
      </c>
      <c r="F2180" s="96" t="s">
        <v>3348</v>
      </c>
    </row>
    <row r="2181" spans="1:6">
      <c r="A2181" s="94">
        <v>3970000</v>
      </c>
      <c r="B2181" s="94">
        <v>3970000</v>
      </c>
      <c r="C2181" s="94">
        <v>3970000</v>
      </c>
      <c r="D2181" s="94">
        <v>3970000</v>
      </c>
      <c r="E2181" s="95">
        <v>40603</v>
      </c>
      <c r="F2181" s="96" t="s">
        <v>3349</v>
      </c>
    </row>
    <row r="2182" spans="1:6">
      <c r="A2182" s="94">
        <v>3840000</v>
      </c>
      <c r="B2182" s="94">
        <v>3840000</v>
      </c>
      <c r="C2182" s="94">
        <v>3840000</v>
      </c>
      <c r="D2182" s="94">
        <v>3840000</v>
      </c>
      <c r="E2182" s="95">
        <v>40602</v>
      </c>
      <c r="F2182" s="96" t="s">
        <v>3350</v>
      </c>
    </row>
    <row r="2183" spans="1:6">
      <c r="A2183" s="94">
        <v>3800000</v>
      </c>
      <c r="B2183" s="94">
        <v>3800000</v>
      </c>
      <c r="C2183" s="94">
        <v>3800000</v>
      </c>
      <c r="D2183" s="94">
        <v>3800000</v>
      </c>
      <c r="E2183" s="95">
        <v>40601</v>
      </c>
      <c r="F2183" s="96" t="s">
        <v>3351</v>
      </c>
    </row>
    <row r="2184" spans="1:6">
      <c r="A2184" s="94">
        <v>3770000</v>
      </c>
      <c r="B2184" s="94">
        <v>3770000</v>
      </c>
      <c r="C2184" s="94">
        <v>3770000</v>
      </c>
      <c r="D2184" s="94">
        <v>3770000</v>
      </c>
      <c r="E2184" s="95">
        <v>40600</v>
      </c>
      <c r="F2184" s="96" t="s">
        <v>3352</v>
      </c>
    </row>
    <row r="2185" spans="1:6">
      <c r="A2185" s="94">
        <v>3700000</v>
      </c>
      <c r="B2185" s="94">
        <v>3700000</v>
      </c>
      <c r="C2185" s="94">
        <v>3700000</v>
      </c>
      <c r="D2185" s="94">
        <v>3700000</v>
      </c>
      <c r="E2185" s="95">
        <v>40598</v>
      </c>
      <c r="F2185" s="96" t="s">
        <v>3353</v>
      </c>
    </row>
    <row r="2186" spans="1:6">
      <c r="A2186" s="94">
        <v>3665000</v>
      </c>
      <c r="B2186" s="94">
        <v>3665000</v>
      </c>
      <c r="C2186" s="94">
        <v>3665000</v>
      </c>
      <c r="D2186" s="94">
        <v>3665000</v>
      </c>
      <c r="E2186" s="95">
        <v>40597</v>
      </c>
      <c r="F2186" s="96" t="s">
        <v>3354</v>
      </c>
    </row>
    <row r="2187" spans="1:6">
      <c r="A2187" s="94">
        <v>3620000</v>
      </c>
      <c r="B2187" s="94">
        <v>3620000</v>
      </c>
      <c r="C2187" s="94">
        <v>3620000</v>
      </c>
      <c r="D2187" s="94">
        <v>3620000</v>
      </c>
      <c r="E2187" s="95">
        <v>40596</v>
      </c>
      <c r="F2187" s="96" t="s">
        <v>3355</v>
      </c>
    </row>
    <row r="2188" spans="1:6">
      <c r="A2188" s="94">
        <v>3630000</v>
      </c>
      <c r="B2188" s="94">
        <v>3630000</v>
      </c>
      <c r="C2188" s="94">
        <v>3630000</v>
      </c>
      <c r="D2188" s="94">
        <v>3630000</v>
      </c>
      <c r="E2188" s="95">
        <v>40594</v>
      </c>
      <c r="F2188" s="96" t="s">
        <v>3356</v>
      </c>
    </row>
    <row r="2189" spans="1:6">
      <c r="A2189" s="94">
        <v>3610000</v>
      </c>
      <c r="B2189" s="94">
        <v>3610000</v>
      </c>
      <c r="C2189" s="94">
        <v>3610000</v>
      </c>
      <c r="D2189" s="94">
        <v>3610000</v>
      </c>
      <c r="E2189" s="95">
        <v>40593</v>
      </c>
      <c r="F2189" s="96" t="s">
        <v>3357</v>
      </c>
    </row>
    <row r="2190" spans="1:6">
      <c r="A2190" s="94">
        <v>3595000</v>
      </c>
      <c r="B2190" s="94">
        <v>3595000</v>
      </c>
      <c r="C2190" s="94">
        <v>3595000</v>
      </c>
      <c r="D2190" s="94">
        <v>3595000</v>
      </c>
      <c r="E2190" s="95">
        <v>40591</v>
      </c>
      <c r="F2190" s="96" t="s">
        <v>3358</v>
      </c>
    </row>
    <row r="2191" spans="1:6">
      <c r="A2191" s="94">
        <v>3570000</v>
      </c>
      <c r="B2191" s="94">
        <v>3570000</v>
      </c>
      <c r="C2191" s="94">
        <v>3570000</v>
      </c>
      <c r="D2191" s="94">
        <v>3570000</v>
      </c>
      <c r="E2191" s="95">
        <v>40590</v>
      </c>
      <c r="F2191" s="96" t="s">
        <v>3359</v>
      </c>
    </row>
    <row r="2192" spans="1:6">
      <c r="A2192" s="94">
        <v>3570000</v>
      </c>
      <c r="B2192" s="94">
        <v>3570000</v>
      </c>
      <c r="C2192" s="94">
        <v>3570000</v>
      </c>
      <c r="D2192" s="94">
        <v>3570000</v>
      </c>
      <c r="E2192" s="95">
        <v>40589</v>
      </c>
      <c r="F2192" s="96" t="s">
        <v>3360</v>
      </c>
    </row>
    <row r="2193" spans="1:6">
      <c r="A2193" s="94">
        <v>3570000</v>
      </c>
      <c r="B2193" s="94">
        <v>3570000</v>
      </c>
      <c r="C2193" s="94">
        <v>3570000</v>
      </c>
      <c r="D2193" s="94">
        <v>3570000</v>
      </c>
      <c r="E2193" s="95">
        <v>40588</v>
      </c>
      <c r="F2193" s="96" t="s">
        <v>3361</v>
      </c>
    </row>
    <row r="2194" spans="1:6">
      <c r="A2194" s="94">
        <v>3580000</v>
      </c>
      <c r="B2194" s="94">
        <v>3580000</v>
      </c>
      <c r="C2194" s="94">
        <v>3580000</v>
      </c>
      <c r="D2194" s="94">
        <v>3580000</v>
      </c>
      <c r="E2194" s="95">
        <v>40587</v>
      </c>
      <c r="F2194" s="96" t="s">
        <v>3362</v>
      </c>
    </row>
    <row r="2195" spans="1:6">
      <c r="A2195" s="94">
        <v>3580000</v>
      </c>
      <c r="B2195" s="94">
        <v>3580000</v>
      </c>
      <c r="C2195" s="94">
        <v>3580000</v>
      </c>
      <c r="D2195" s="94">
        <v>3580000</v>
      </c>
      <c r="E2195" s="95">
        <v>40586</v>
      </c>
      <c r="F2195" s="96" t="s">
        <v>3363</v>
      </c>
    </row>
    <row r="2196" spans="1:6">
      <c r="A2196" s="94">
        <v>3580000</v>
      </c>
      <c r="B2196" s="94">
        <v>3580000</v>
      </c>
      <c r="C2196" s="94">
        <v>3580000</v>
      </c>
      <c r="D2196" s="94">
        <v>3580000</v>
      </c>
      <c r="E2196" s="95">
        <v>40584</v>
      </c>
      <c r="F2196" s="96" t="s">
        <v>3364</v>
      </c>
    </row>
    <row r="2197" spans="1:6">
      <c r="A2197" s="94">
        <v>3570000</v>
      </c>
      <c r="B2197" s="94">
        <v>3570000</v>
      </c>
      <c r="C2197" s="94">
        <v>3570000</v>
      </c>
      <c r="D2197" s="94">
        <v>3570000</v>
      </c>
      <c r="E2197" s="95">
        <v>40583</v>
      </c>
      <c r="F2197" s="96" t="s">
        <v>3365</v>
      </c>
    </row>
    <row r="2198" spans="1:6">
      <c r="A2198" s="94">
        <v>3580000</v>
      </c>
      <c r="B2198" s="94">
        <v>3580000</v>
      </c>
      <c r="C2198" s="94">
        <v>3580000</v>
      </c>
      <c r="D2198" s="94">
        <v>3580000</v>
      </c>
      <c r="E2198" s="95">
        <v>40582</v>
      </c>
      <c r="F2198" s="96" t="s">
        <v>3366</v>
      </c>
    </row>
    <row r="2199" spans="1:6">
      <c r="A2199" s="94">
        <v>3580000</v>
      </c>
      <c r="B2199" s="94">
        <v>3580000</v>
      </c>
      <c r="C2199" s="94">
        <v>3580000</v>
      </c>
      <c r="D2199" s="94">
        <v>3580000</v>
      </c>
      <c r="E2199" s="95">
        <v>40581</v>
      </c>
      <c r="F2199" s="96" t="s">
        <v>3367</v>
      </c>
    </row>
    <row r="2200" spans="1:6">
      <c r="A2200" s="94">
        <v>3600000</v>
      </c>
      <c r="B2200" s="94">
        <v>3600000</v>
      </c>
      <c r="C2200" s="94">
        <v>3600000</v>
      </c>
      <c r="D2200" s="94">
        <v>3600000</v>
      </c>
      <c r="E2200" s="95">
        <v>40580</v>
      </c>
      <c r="F2200" s="96" t="s">
        <v>3368</v>
      </c>
    </row>
    <row r="2201" spans="1:6">
      <c r="A2201" s="94">
        <v>3570000</v>
      </c>
      <c r="B2201" s="94">
        <v>3570000</v>
      </c>
      <c r="C2201" s="94">
        <v>3570000</v>
      </c>
      <c r="D2201" s="94">
        <v>3570000</v>
      </c>
      <c r="E2201" s="95">
        <v>40579</v>
      </c>
      <c r="F2201" s="96" t="s">
        <v>3369</v>
      </c>
    </row>
    <row r="2202" spans="1:6">
      <c r="A2202" s="94">
        <v>3560000</v>
      </c>
      <c r="B2202" s="94">
        <v>3560000</v>
      </c>
      <c r="C2202" s="94">
        <v>3560000</v>
      </c>
      <c r="D2202" s="94">
        <v>3560000</v>
      </c>
      <c r="E2202" s="95">
        <v>40575</v>
      </c>
      <c r="F2202" s="96" t="s">
        <v>3370</v>
      </c>
    </row>
    <row r="2203" spans="1:6">
      <c r="A2203" s="94">
        <v>3560000</v>
      </c>
      <c r="B2203" s="94">
        <v>3560000</v>
      </c>
      <c r="C2203" s="94">
        <v>3560000</v>
      </c>
      <c r="D2203" s="94">
        <v>3560000</v>
      </c>
      <c r="E2203" s="95">
        <v>40574</v>
      </c>
      <c r="F2203" s="96" t="s">
        <v>3371</v>
      </c>
    </row>
    <row r="2204" spans="1:6">
      <c r="A2204" s="94">
        <v>3560000</v>
      </c>
      <c r="B2204" s="94">
        <v>3560000</v>
      </c>
      <c r="C2204" s="94">
        <v>3560000</v>
      </c>
      <c r="D2204" s="94">
        <v>3560000</v>
      </c>
      <c r="E2204" s="95">
        <v>40573</v>
      </c>
      <c r="F2204" s="96" t="s">
        <v>3372</v>
      </c>
    </row>
    <row r="2205" spans="1:6">
      <c r="A2205" s="94">
        <v>3570000</v>
      </c>
      <c r="B2205" s="94">
        <v>3570000</v>
      </c>
      <c r="C2205" s="94">
        <v>3570000</v>
      </c>
      <c r="D2205" s="94">
        <v>3570000</v>
      </c>
      <c r="E2205" s="95">
        <v>40572</v>
      </c>
      <c r="F2205" s="96" t="s">
        <v>3373</v>
      </c>
    </row>
    <row r="2206" spans="1:6">
      <c r="A2206" s="94">
        <v>3540000</v>
      </c>
      <c r="B2206" s="94">
        <v>3540000</v>
      </c>
      <c r="C2206" s="94">
        <v>3540000</v>
      </c>
      <c r="D2206" s="94">
        <v>3540000</v>
      </c>
      <c r="E2206" s="95">
        <v>40570</v>
      </c>
      <c r="F2206" s="96" t="s">
        <v>3374</v>
      </c>
    </row>
    <row r="2207" spans="1:6">
      <c r="A2207" s="94">
        <v>3560000</v>
      </c>
      <c r="B2207" s="94">
        <v>3560000</v>
      </c>
      <c r="C2207" s="94">
        <v>3560000</v>
      </c>
      <c r="D2207" s="94">
        <v>3560000</v>
      </c>
      <c r="E2207" s="95">
        <v>40569</v>
      </c>
      <c r="F2207" s="96" t="s">
        <v>3375</v>
      </c>
    </row>
    <row r="2208" spans="1:6">
      <c r="A2208" s="94">
        <v>3550000</v>
      </c>
      <c r="B2208" s="94">
        <v>3550000</v>
      </c>
      <c r="C2208" s="94">
        <v>3550000</v>
      </c>
      <c r="D2208" s="94">
        <v>3550000</v>
      </c>
      <c r="E2208" s="95">
        <v>40567</v>
      </c>
      <c r="F2208" s="96" t="s">
        <v>3376</v>
      </c>
    </row>
    <row r="2209" spans="1:6">
      <c r="A2209" s="94">
        <v>3570000</v>
      </c>
      <c r="B2209" s="94">
        <v>3570000</v>
      </c>
      <c r="C2209" s="94">
        <v>3570000</v>
      </c>
      <c r="D2209" s="94">
        <v>3570000</v>
      </c>
      <c r="E2209" s="95">
        <v>40566</v>
      </c>
      <c r="F2209" s="96" t="s">
        <v>3377</v>
      </c>
    </row>
    <row r="2210" spans="1:6">
      <c r="A2210" s="94">
        <v>3600000</v>
      </c>
      <c r="B2210" s="94">
        <v>3600000</v>
      </c>
      <c r="C2210" s="94">
        <v>3600000</v>
      </c>
      <c r="D2210" s="94">
        <v>3600000</v>
      </c>
      <c r="E2210" s="95">
        <v>40565</v>
      </c>
      <c r="F2210" s="96" t="s">
        <v>3378</v>
      </c>
    </row>
    <row r="2211" spans="1:6">
      <c r="A2211" s="94">
        <v>3610000</v>
      </c>
      <c r="B2211" s="94">
        <v>3610000</v>
      </c>
      <c r="C2211" s="94">
        <v>3610000</v>
      </c>
      <c r="D2211" s="94">
        <v>3610000</v>
      </c>
      <c r="E2211" s="95">
        <v>40563</v>
      </c>
      <c r="F2211" s="96" t="s">
        <v>3379</v>
      </c>
    </row>
    <row r="2212" spans="1:6">
      <c r="A2212" s="94">
        <v>3620000</v>
      </c>
      <c r="B2212" s="94">
        <v>3620000</v>
      </c>
      <c r="C2212" s="94">
        <v>3620000</v>
      </c>
      <c r="D2212" s="94">
        <v>3620000</v>
      </c>
      <c r="E2212" s="95">
        <v>40562</v>
      </c>
      <c r="F2212" s="96" t="s">
        <v>3380</v>
      </c>
    </row>
    <row r="2213" spans="1:6">
      <c r="A2213" s="94">
        <v>3600000</v>
      </c>
      <c r="B2213" s="94">
        <v>3600000</v>
      </c>
      <c r="C2213" s="94">
        <v>3600000</v>
      </c>
      <c r="D2213" s="94">
        <v>3600000</v>
      </c>
      <c r="E2213" s="95">
        <v>40561</v>
      </c>
      <c r="F2213" s="96" t="s">
        <v>3381</v>
      </c>
    </row>
    <row r="2214" spans="1:6">
      <c r="A2214" s="94">
        <v>3610000</v>
      </c>
      <c r="B2214" s="94">
        <v>3610000</v>
      </c>
      <c r="C2214" s="94">
        <v>3610000</v>
      </c>
      <c r="D2214" s="94">
        <v>3610000</v>
      </c>
      <c r="E2214" s="95">
        <v>40560</v>
      </c>
      <c r="F2214" s="96" t="s">
        <v>3382</v>
      </c>
    </row>
    <row r="2215" spans="1:6">
      <c r="A2215" s="94">
        <v>3600000</v>
      </c>
      <c r="B2215" s="94">
        <v>3600000</v>
      </c>
      <c r="C2215" s="94">
        <v>3600000</v>
      </c>
      <c r="D2215" s="94">
        <v>3600000</v>
      </c>
      <c r="E2215" s="95">
        <v>40559</v>
      </c>
      <c r="F2215" s="96" t="s">
        <v>3383</v>
      </c>
    </row>
    <row r="2216" spans="1:6">
      <c r="A2216" s="94">
        <v>3650000</v>
      </c>
      <c r="B2216" s="94">
        <v>3650000</v>
      </c>
      <c r="C2216" s="94">
        <v>3650000</v>
      </c>
      <c r="D2216" s="94">
        <v>3650000</v>
      </c>
      <c r="E2216" s="95">
        <v>40558</v>
      </c>
      <c r="F2216" s="96" t="s">
        <v>3384</v>
      </c>
    </row>
    <row r="2217" spans="1:6">
      <c r="A2217" s="94">
        <v>3670000</v>
      </c>
      <c r="B2217" s="94">
        <v>3670000</v>
      </c>
      <c r="C2217" s="94">
        <v>3670000</v>
      </c>
      <c r="D2217" s="94">
        <v>3670000</v>
      </c>
      <c r="E2217" s="95">
        <v>40556</v>
      </c>
      <c r="F2217" s="96" t="s">
        <v>3385</v>
      </c>
    </row>
    <row r="2218" spans="1:6">
      <c r="A2218" s="94">
        <v>3625000</v>
      </c>
      <c r="B2218" s="94">
        <v>3625000</v>
      </c>
      <c r="C2218" s="94">
        <v>3625000</v>
      </c>
      <c r="D2218" s="94">
        <v>3625000</v>
      </c>
      <c r="E2218" s="95">
        <v>40555</v>
      </c>
      <c r="F2218" s="96" t="s">
        <v>3386</v>
      </c>
    </row>
    <row r="2219" spans="1:6">
      <c r="A2219" s="94">
        <v>3610000</v>
      </c>
      <c r="B2219" s="94">
        <v>3610000</v>
      </c>
      <c r="C2219" s="94">
        <v>3610000</v>
      </c>
      <c r="D2219" s="94">
        <v>3610000</v>
      </c>
      <c r="E2219" s="95">
        <v>40554</v>
      </c>
      <c r="F2219" s="96" t="s">
        <v>3387</v>
      </c>
    </row>
    <row r="2220" spans="1:6">
      <c r="A2220" s="94">
        <v>3590000</v>
      </c>
      <c r="B2220" s="94">
        <v>3590000</v>
      </c>
      <c r="C2220" s="94">
        <v>3590000</v>
      </c>
      <c r="D2220" s="94">
        <v>3590000</v>
      </c>
      <c r="E2220" s="95">
        <v>40553</v>
      </c>
      <c r="F2220" s="96" t="s">
        <v>3388</v>
      </c>
    </row>
    <row r="2221" spans="1:6">
      <c r="A2221" s="94">
        <v>3580000</v>
      </c>
      <c r="B2221" s="94">
        <v>3580000</v>
      </c>
      <c r="C2221" s="94">
        <v>3580000</v>
      </c>
      <c r="D2221" s="94">
        <v>3580000</v>
      </c>
      <c r="E2221" s="95">
        <v>40552</v>
      </c>
      <c r="F2221" s="96" t="s">
        <v>3389</v>
      </c>
    </row>
    <row r="2222" spans="1:6">
      <c r="A2222" s="94">
        <v>3600000</v>
      </c>
      <c r="B2222" s="94">
        <v>3600000</v>
      </c>
      <c r="C2222" s="94">
        <v>3600000</v>
      </c>
      <c r="D2222" s="94">
        <v>3600000</v>
      </c>
      <c r="E2222" s="95">
        <v>40551</v>
      </c>
      <c r="F2222" s="96" t="s">
        <v>3390</v>
      </c>
    </row>
    <row r="2223" spans="1:6">
      <c r="A2223" s="94">
        <v>3600000</v>
      </c>
      <c r="B2223" s="94">
        <v>3600000</v>
      </c>
      <c r="C2223" s="94">
        <v>3600000</v>
      </c>
      <c r="D2223" s="94">
        <v>3600000</v>
      </c>
      <c r="E2223" s="95">
        <v>40549</v>
      </c>
      <c r="F2223" s="96" t="s">
        <v>3391</v>
      </c>
    </row>
    <row r="2224" spans="1:6">
      <c r="A2224" s="94">
        <v>3640000</v>
      </c>
      <c r="B2224" s="94">
        <v>3640000</v>
      </c>
      <c r="C2224" s="94">
        <v>3640000</v>
      </c>
      <c r="D2224" s="94">
        <v>3640000</v>
      </c>
      <c r="E2224" s="95">
        <v>40548</v>
      </c>
      <c r="F2224" s="96" t="s">
        <v>3392</v>
      </c>
    </row>
    <row r="2225" spans="1:6">
      <c r="A2225" s="94">
        <v>3620000</v>
      </c>
      <c r="B2225" s="94">
        <v>3620000</v>
      </c>
      <c r="C2225" s="94">
        <v>3620000</v>
      </c>
      <c r="D2225" s="94">
        <v>3620000</v>
      </c>
      <c r="E2225" s="95">
        <v>40547</v>
      </c>
      <c r="F2225" s="96" t="s">
        <v>3393</v>
      </c>
    </row>
    <row r="2226" spans="1:6">
      <c r="A2226" s="94">
        <v>3640000</v>
      </c>
      <c r="B2226" s="94">
        <v>3640000</v>
      </c>
      <c r="C2226" s="94">
        <v>3640000</v>
      </c>
      <c r="D2226" s="94">
        <v>3640000</v>
      </c>
      <c r="E2226" s="95">
        <v>40546</v>
      </c>
      <c r="F2226" s="96" t="s">
        <v>3394</v>
      </c>
    </row>
    <row r="2227" spans="1:6">
      <c r="A2227" s="94">
        <v>3660000</v>
      </c>
      <c r="B2227" s="94">
        <v>3660000</v>
      </c>
      <c r="C2227" s="94">
        <v>3660000</v>
      </c>
      <c r="D2227" s="94">
        <v>3660000</v>
      </c>
      <c r="E2227" s="95">
        <v>40545</v>
      </c>
      <c r="F2227" s="96" t="s">
        <v>3395</v>
      </c>
    </row>
    <row r="2228" spans="1:6">
      <c r="A2228" s="94">
        <v>3650000</v>
      </c>
      <c r="B2228" s="94">
        <v>3650000</v>
      </c>
      <c r="C2228" s="94">
        <v>3650000</v>
      </c>
      <c r="D2228" s="94">
        <v>3650000</v>
      </c>
      <c r="E2228" s="95">
        <v>40544</v>
      </c>
      <c r="F2228" s="96" t="s">
        <v>3396</v>
      </c>
    </row>
    <row r="2229" spans="1:6">
      <c r="A2229" s="94">
        <v>3600000</v>
      </c>
      <c r="B2229" s="94">
        <v>3600000</v>
      </c>
      <c r="C2229" s="94">
        <v>3600000</v>
      </c>
      <c r="D2229" s="94">
        <v>3600000</v>
      </c>
      <c r="E2229" s="95">
        <v>40542</v>
      </c>
      <c r="F2229" s="96" t="s">
        <v>3397</v>
      </c>
    </row>
    <row r="2230" spans="1:6">
      <c r="A2230" s="94">
        <v>3550000</v>
      </c>
      <c r="B2230" s="94">
        <v>3550000</v>
      </c>
      <c r="C2230" s="94">
        <v>3550000</v>
      </c>
      <c r="D2230" s="94">
        <v>3550000</v>
      </c>
      <c r="E2230" s="95">
        <v>40541</v>
      </c>
      <c r="F2230" s="96" t="s">
        <v>3398</v>
      </c>
    </row>
    <row r="2231" spans="1:6">
      <c r="A2231" s="94">
        <v>3530000</v>
      </c>
      <c r="B2231" s="94">
        <v>3530000</v>
      </c>
      <c r="C2231" s="94">
        <v>3530000</v>
      </c>
      <c r="D2231" s="94">
        <v>3530000</v>
      </c>
      <c r="E2231" s="95">
        <v>40540</v>
      </c>
      <c r="F2231" s="96" t="s">
        <v>3399</v>
      </c>
    </row>
    <row r="2232" spans="1:6">
      <c r="A2232" s="94">
        <v>3510000</v>
      </c>
      <c r="B2232" s="94">
        <v>3510000</v>
      </c>
      <c r="C2232" s="94">
        <v>3510000</v>
      </c>
      <c r="D2232" s="94">
        <v>3510000</v>
      </c>
      <c r="E2232" s="95">
        <v>40539</v>
      </c>
      <c r="F2232" s="96" t="s">
        <v>3400</v>
      </c>
    </row>
    <row r="2233" spans="1:6">
      <c r="A2233" s="94">
        <v>3500000</v>
      </c>
      <c r="B2233" s="94">
        <v>3500000</v>
      </c>
      <c r="C2233" s="94">
        <v>3500000</v>
      </c>
      <c r="D2233" s="94">
        <v>3500000</v>
      </c>
      <c r="E2233" s="95">
        <v>40538</v>
      </c>
      <c r="F2233" s="96" t="s">
        <v>3401</v>
      </c>
    </row>
    <row r="2234" spans="1:6">
      <c r="A2234" s="94">
        <v>3500000</v>
      </c>
      <c r="B2234" s="94">
        <v>3500000</v>
      </c>
      <c r="C2234" s="94">
        <v>3500000</v>
      </c>
      <c r="D2234" s="94">
        <v>3500000</v>
      </c>
      <c r="E2234" s="95">
        <v>40537</v>
      </c>
      <c r="F2234" s="96" t="s">
        <v>3402</v>
      </c>
    </row>
    <row r="2235" spans="1:6">
      <c r="A2235" s="94">
        <v>3500000</v>
      </c>
      <c r="B2235" s="94">
        <v>3500000</v>
      </c>
      <c r="C2235" s="94">
        <v>3500000</v>
      </c>
      <c r="D2235" s="94">
        <v>3500000</v>
      </c>
      <c r="E2235" s="95">
        <v>40535</v>
      </c>
      <c r="F2235" s="96" t="s">
        <v>3403</v>
      </c>
    </row>
    <row r="2236" spans="1:6">
      <c r="A2236" s="94">
        <v>3480000</v>
      </c>
      <c r="B2236" s="94">
        <v>3480000</v>
      </c>
      <c r="C2236" s="94">
        <v>3480000</v>
      </c>
      <c r="D2236" s="94">
        <v>3480000</v>
      </c>
      <c r="E2236" s="95">
        <v>40534</v>
      </c>
      <c r="F2236" s="96" t="s">
        <v>3404</v>
      </c>
    </row>
    <row r="2237" spans="1:6">
      <c r="A2237" s="94">
        <v>3490000</v>
      </c>
      <c r="B2237" s="94">
        <v>3490000</v>
      </c>
      <c r="C2237" s="94">
        <v>3490000</v>
      </c>
      <c r="D2237" s="94">
        <v>3490000</v>
      </c>
      <c r="E2237" s="95">
        <v>40533</v>
      </c>
      <c r="F2237" s="96" t="s">
        <v>3405</v>
      </c>
    </row>
    <row r="2238" spans="1:6">
      <c r="A2238" s="94">
        <v>3470000</v>
      </c>
      <c r="B2238" s="94">
        <v>3470000</v>
      </c>
      <c r="C2238" s="94">
        <v>3470000</v>
      </c>
      <c r="D2238" s="94">
        <v>3470000</v>
      </c>
      <c r="E2238" s="95">
        <v>40532</v>
      </c>
      <c r="F2238" s="96" t="s">
        <v>3406</v>
      </c>
    </row>
    <row r="2239" spans="1:6">
      <c r="A2239" s="94">
        <v>3470000</v>
      </c>
      <c r="B2239" s="94">
        <v>3470000</v>
      </c>
      <c r="C2239" s="94">
        <v>3470000</v>
      </c>
      <c r="D2239" s="94">
        <v>3470000</v>
      </c>
      <c r="E2239" s="95">
        <v>40531</v>
      </c>
      <c r="F2239" s="96" t="s">
        <v>3407</v>
      </c>
    </row>
    <row r="2240" spans="1:6">
      <c r="A2240" s="94">
        <v>3490000</v>
      </c>
      <c r="B2240" s="94">
        <v>3490000</v>
      </c>
      <c r="C2240" s="94">
        <v>3490000</v>
      </c>
      <c r="D2240" s="94">
        <v>3490000</v>
      </c>
      <c r="E2240" s="95">
        <v>40530</v>
      </c>
      <c r="F2240" s="96" t="s">
        <v>3408</v>
      </c>
    </row>
    <row r="2241" spans="1:6">
      <c r="A2241" s="94">
        <v>3480000</v>
      </c>
      <c r="B2241" s="94">
        <v>3480000</v>
      </c>
      <c r="C2241" s="94">
        <v>3480000</v>
      </c>
      <c r="D2241" s="94">
        <v>3480000</v>
      </c>
      <c r="E2241" s="95">
        <v>40526</v>
      </c>
      <c r="F2241" s="96" t="s">
        <v>3409</v>
      </c>
    </row>
    <row r="2242" spans="1:6">
      <c r="A2242" s="94">
        <v>3480000</v>
      </c>
      <c r="B2242" s="94">
        <v>3480000</v>
      </c>
      <c r="C2242" s="94">
        <v>3480000</v>
      </c>
      <c r="D2242" s="94">
        <v>3480000</v>
      </c>
      <c r="E2242" s="95">
        <v>40525</v>
      </c>
      <c r="F2242" s="96" t="s">
        <v>3410</v>
      </c>
    </row>
    <row r="2243" spans="1:6">
      <c r="A2243" s="94">
        <v>3480000</v>
      </c>
      <c r="B2243" s="94">
        <v>3480000</v>
      </c>
      <c r="C2243" s="94">
        <v>3480000</v>
      </c>
      <c r="D2243" s="94">
        <v>3480000</v>
      </c>
      <c r="E2243" s="95">
        <v>40524</v>
      </c>
      <c r="F2243" s="96" t="s">
        <v>3411</v>
      </c>
    </row>
    <row r="2244" spans="1:6">
      <c r="A2244" s="94">
        <v>3470000</v>
      </c>
      <c r="B2244" s="94">
        <v>3470000</v>
      </c>
      <c r="C2244" s="94">
        <v>3470000</v>
      </c>
      <c r="D2244" s="94">
        <v>3470000</v>
      </c>
      <c r="E2244" s="95">
        <v>40522</v>
      </c>
      <c r="F2244" s="96" t="s">
        <v>3412</v>
      </c>
    </row>
    <row r="2245" spans="1:6">
      <c r="A2245" s="94">
        <v>3500000</v>
      </c>
      <c r="B2245" s="94">
        <v>3500000</v>
      </c>
      <c r="C2245" s="94">
        <v>3500000</v>
      </c>
      <c r="D2245" s="94">
        <v>3500000</v>
      </c>
      <c r="E2245" s="95">
        <v>40521</v>
      </c>
      <c r="F2245" s="96" t="s">
        <v>3413</v>
      </c>
    </row>
    <row r="2246" spans="1:6">
      <c r="A2246" s="94">
        <v>3510000</v>
      </c>
      <c r="B2246" s="94">
        <v>3510000</v>
      </c>
      <c r="C2246" s="94">
        <v>3510000</v>
      </c>
      <c r="D2246" s="94">
        <v>3510000</v>
      </c>
      <c r="E2246" s="95">
        <v>40520</v>
      </c>
      <c r="F2246" s="96" t="s">
        <v>3414</v>
      </c>
    </row>
    <row r="2247" spans="1:6">
      <c r="A2247" s="94">
        <v>3490000</v>
      </c>
      <c r="B2247" s="94">
        <v>3490000</v>
      </c>
      <c r="C2247" s="94">
        <v>3490000</v>
      </c>
      <c r="D2247" s="94">
        <v>3490000</v>
      </c>
      <c r="E2247" s="95">
        <v>40519</v>
      </c>
      <c r="F2247" s="96" t="s">
        <v>3415</v>
      </c>
    </row>
    <row r="2248" spans="1:6">
      <c r="A2248" s="94">
        <v>3490000</v>
      </c>
      <c r="B2248" s="94">
        <v>3490000</v>
      </c>
      <c r="C2248" s="94">
        <v>3490000</v>
      </c>
      <c r="D2248" s="94">
        <v>3490000</v>
      </c>
      <c r="E2248" s="95">
        <v>40518</v>
      </c>
      <c r="F2248" s="96" t="s">
        <v>3416</v>
      </c>
    </row>
    <row r="2249" spans="1:6">
      <c r="A2249" s="94">
        <v>3500000</v>
      </c>
      <c r="B2249" s="94">
        <v>3500000</v>
      </c>
      <c r="C2249" s="94">
        <v>3500000</v>
      </c>
      <c r="D2249" s="94">
        <v>3500000</v>
      </c>
      <c r="E2249" s="95">
        <v>40517</v>
      </c>
      <c r="F2249" s="96" t="s">
        <v>3417</v>
      </c>
    </row>
    <row r="2250" spans="1:6">
      <c r="A2250" s="94">
        <v>3410000</v>
      </c>
      <c r="B2250" s="94">
        <v>3410000</v>
      </c>
      <c r="C2250" s="94">
        <v>3410000</v>
      </c>
      <c r="D2250" s="94">
        <v>3410000</v>
      </c>
      <c r="E2250" s="95">
        <v>40513</v>
      </c>
      <c r="F2250" s="96" t="s">
        <v>3418</v>
      </c>
    </row>
    <row r="2251" spans="1:6">
      <c r="A2251" s="94">
        <v>3410000</v>
      </c>
      <c r="B2251" s="94">
        <v>3410000</v>
      </c>
      <c r="C2251" s="94">
        <v>3410000</v>
      </c>
      <c r="D2251" s="94">
        <v>3410000</v>
      </c>
      <c r="E2251" s="95">
        <v>40512</v>
      </c>
      <c r="F2251" s="96" t="s">
        <v>3419</v>
      </c>
    </row>
    <row r="2252" spans="1:6">
      <c r="A2252" s="94">
        <v>3400000</v>
      </c>
      <c r="B2252" s="94">
        <v>3400000</v>
      </c>
      <c r="C2252" s="94">
        <v>3400000</v>
      </c>
      <c r="D2252" s="94">
        <v>3400000</v>
      </c>
      <c r="E2252" s="95">
        <v>40511</v>
      </c>
      <c r="F2252" s="96" t="s">
        <v>3420</v>
      </c>
    </row>
    <row r="2253" spans="1:6">
      <c r="A2253" s="94">
        <v>3400000</v>
      </c>
      <c r="B2253" s="94">
        <v>3400000</v>
      </c>
      <c r="C2253" s="94">
        <v>3400000</v>
      </c>
      <c r="D2253" s="94">
        <v>3400000</v>
      </c>
      <c r="E2253" s="95">
        <v>40510</v>
      </c>
      <c r="F2253" s="96" t="s">
        <v>3421</v>
      </c>
    </row>
    <row r="2254" spans="1:6">
      <c r="A2254" s="94">
        <v>3420000</v>
      </c>
      <c r="B2254" s="94">
        <v>3420000</v>
      </c>
      <c r="C2254" s="94">
        <v>3420000</v>
      </c>
      <c r="D2254" s="94">
        <v>3420000</v>
      </c>
      <c r="E2254" s="95">
        <v>40509</v>
      </c>
      <c r="F2254" s="96" t="s">
        <v>3422</v>
      </c>
    </row>
    <row r="2255" spans="1:6">
      <c r="A2255" s="94">
        <v>3410000</v>
      </c>
      <c r="B2255" s="94">
        <v>3410000</v>
      </c>
      <c r="C2255" s="94">
        <v>3410000</v>
      </c>
      <c r="D2255" s="94">
        <v>3410000</v>
      </c>
      <c r="E2255" s="95">
        <v>40506</v>
      </c>
      <c r="F2255" s="96" t="s">
        <v>3423</v>
      </c>
    </row>
    <row r="2256" spans="1:6">
      <c r="A2256" s="94">
        <v>3410000</v>
      </c>
      <c r="B2256" s="94">
        <v>3410000</v>
      </c>
      <c r="C2256" s="94">
        <v>3410000</v>
      </c>
      <c r="D2256" s="94">
        <v>3410000</v>
      </c>
      <c r="E2256" s="95">
        <v>40505</v>
      </c>
      <c r="F2256" s="96" t="s">
        <v>3424</v>
      </c>
    </row>
    <row r="2257" spans="1:6">
      <c r="A2257" s="94">
        <v>3400000</v>
      </c>
      <c r="B2257" s="94">
        <v>3400000</v>
      </c>
      <c r="C2257" s="94">
        <v>3400000</v>
      </c>
      <c r="D2257" s="94">
        <v>3400000</v>
      </c>
      <c r="E2257" s="95">
        <v>40504</v>
      </c>
      <c r="F2257" s="96" t="s">
        <v>3425</v>
      </c>
    </row>
    <row r="2258" spans="1:6">
      <c r="A2258" s="94">
        <v>3410000</v>
      </c>
      <c r="B2258" s="94">
        <v>3410000</v>
      </c>
      <c r="C2258" s="94">
        <v>3410000</v>
      </c>
      <c r="D2258" s="94">
        <v>3410000</v>
      </c>
      <c r="E2258" s="95">
        <v>40502</v>
      </c>
      <c r="F2258" s="96" t="s">
        <v>3426</v>
      </c>
    </row>
    <row r="2259" spans="1:6">
      <c r="A2259" s="94">
        <v>3420000</v>
      </c>
      <c r="B2259" s="94">
        <v>3420000</v>
      </c>
      <c r="C2259" s="94">
        <v>3420000</v>
      </c>
      <c r="D2259" s="94">
        <v>3420000</v>
      </c>
      <c r="E2259" s="95">
        <v>40500</v>
      </c>
      <c r="F2259" s="96" t="s">
        <v>3427</v>
      </c>
    </row>
    <row r="2260" spans="1:6">
      <c r="A2260" s="94">
        <v>3420000</v>
      </c>
      <c r="B2260" s="94">
        <v>3420000</v>
      </c>
      <c r="C2260" s="94">
        <v>3420000</v>
      </c>
      <c r="D2260" s="94">
        <v>3420000</v>
      </c>
      <c r="E2260" s="95">
        <v>40498</v>
      </c>
      <c r="F2260" s="96" t="s">
        <v>3428</v>
      </c>
    </row>
    <row r="2261" spans="1:6">
      <c r="A2261" s="94">
        <v>3420000</v>
      </c>
      <c r="B2261" s="94">
        <v>3420000</v>
      </c>
      <c r="C2261" s="94">
        <v>3420000</v>
      </c>
      <c r="D2261" s="94">
        <v>3420000</v>
      </c>
      <c r="E2261" s="95">
        <v>40497</v>
      </c>
      <c r="F2261" s="96" t="s">
        <v>3429</v>
      </c>
    </row>
    <row r="2262" spans="1:6">
      <c r="A2262" s="94">
        <v>3410000</v>
      </c>
      <c r="B2262" s="94">
        <v>3410000</v>
      </c>
      <c r="C2262" s="94">
        <v>3410000</v>
      </c>
      <c r="D2262" s="94">
        <v>3410000</v>
      </c>
      <c r="E2262" s="95">
        <v>40496</v>
      </c>
      <c r="F2262" s="96" t="s">
        <v>3430</v>
      </c>
    </row>
    <row r="2263" spans="1:6">
      <c r="A2263" s="94">
        <v>3480000</v>
      </c>
      <c r="B2263" s="94">
        <v>3480000</v>
      </c>
      <c r="C2263" s="94">
        <v>3480000</v>
      </c>
      <c r="D2263" s="94">
        <v>3480000</v>
      </c>
      <c r="E2263" s="95">
        <v>40495</v>
      </c>
      <c r="F2263" s="96" t="s">
        <v>3431</v>
      </c>
    </row>
    <row r="2264" spans="1:6">
      <c r="A2264" s="94">
        <v>3470000</v>
      </c>
      <c r="B2264" s="94">
        <v>3470000</v>
      </c>
      <c r="C2264" s="94">
        <v>3470000</v>
      </c>
      <c r="D2264" s="94">
        <v>3470000</v>
      </c>
      <c r="E2264" s="95">
        <v>40493</v>
      </c>
      <c r="F2264" s="96" t="s">
        <v>3432</v>
      </c>
    </row>
    <row r="2265" spans="1:6">
      <c r="A2265" s="94">
        <v>3500000</v>
      </c>
      <c r="B2265" s="94">
        <v>3500000</v>
      </c>
      <c r="C2265" s="94">
        <v>3500000</v>
      </c>
      <c r="D2265" s="94">
        <v>3500000</v>
      </c>
      <c r="E2265" s="95">
        <v>40492</v>
      </c>
      <c r="F2265" s="96" t="s">
        <v>3433</v>
      </c>
    </row>
    <row r="2266" spans="1:6">
      <c r="A2266" s="94">
        <v>3460000</v>
      </c>
      <c r="B2266" s="94">
        <v>3460000</v>
      </c>
      <c r="C2266" s="94">
        <v>3460000</v>
      </c>
      <c r="D2266" s="94">
        <v>3460000</v>
      </c>
      <c r="E2266" s="95">
        <v>40491</v>
      </c>
      <c r="F2266" s="96" t="s">
        <v>3434</v>
      </c>
    </row>
    <row r="2267" spans="1:6">
      <c r="A2267" s="94">
        <v>3460000</v>
      </c>
      <c r="B2267" s="94">
        <v>3460000</v>
      </c>
      <c r="C2267" s="94">
        <v>3460000</v>
      </c>
      <c r="D2267" s="94">
        <v>3460000</v>
      </c>
      <c r="E2267" s="95">
        <v>40490</v>
      </c>
      <c r="F2267" s="96" t="s">
        <v>3435</v>
      </c>
    </row>
    <row r="2268" spans="1:6">
      <c r="A2268" s="94">
        <v>3460000</v>
      </c>
      <c r="B2268" s="94">
        <v>3460000</v>
      </c>
      <c r="C2268" s="94">
        <v>3460000</v>
      </c>
      <c r="D2268" s="94">
        <v>3460000</v>
      </c>
      <c r="E2268" s="95">
        <v>40489</v>
      </c>
      <c r="F2268" s="96" t="s">
        <v>3436</v>
      </c>
    </row>
    <row r="2269" spans="1:6">
      <c r="A2269" s="94">
        <v>3380000</v>
      </c>
      <c r="B2269" s="94">
        <v>3380000</v>
      </c>
      <c r="C2269" s="94">
        <v>3380000</v>
      </c>
      <c r="D2269" s="94">
        <v>3380000</v>
      </c>
      <c r="E2269" s="95">
        <v>40488</v>
      </c>
      <c r="F2269" s="96" t="s">
        <v>3437</v>
      </c>
    </row>
    <row r="2270" spans="1:6">
      <c r="A2270" s="94">
        <v>3390000</v>
      </c>
      <c r="B2270" s="94">
        <v>3390000</v>
      </c>
      <c r="C2270" s="94">
        <v>3390000</v>
      </c>
      <c r="D2270" s="94">
        <v>3390000</v>
      </c>
      <c r="E2270" s="95">
        <v>40486</v>
      </c>
      <c r="F2270" s="96" t="s">
        <v>3438</v>
      </c>
    </row>
    <row r="2271" spans="1:6">
      <c r="A2271" s="94">
        <v>3400000</v>
      </c>
      <c r="B2271" s="94">
        <v>3400000</v>
      </c>
      <c r="C2271" s="94">
        <v>3400000</v>
      </c>
      <c r="D2271" s="94">
        <v>3400000</v>
      </c>
      <c r="E2271" s="95">
        <v>40485</v>
      </c>
      <c r="F2271" s="96" t="s">
        <v>3439</v>
      </c>
    </row>
    <row r="2272" spans="1:6">
      <c r="A2272" s="94">
        <v>3400000</v>
      </c>
      <c r="B2272" s="94">
        <v>3400000</v>
      </c>
      <c r="C2272" s="94">
        <v>3400000</v>
      </c>
      <c r="D2272" s="94">
        <v>3400000</v>
      </c>
      <c r="E2272" s="95">
        <v>40484</v>
      </c>
      <c r="F2272" s="96" t="s">
        <v>3440</v>
      </c>
    </row>
    <row r="2273" spans="1:6">
      <c r="A2273" s="94">
        <v>3400000</v>
      </c>
      <c r="B2273" s="94">
        <v>3400000</v>
      </c>
      <c r="C2273" s="94">
        <v>3400000</v>
      </c>
      <c r="D2273" s="94">
        <v>3400000</v>
      </c>
      <c r="E2273" s="95">
        <v>40483</v>
      </c>
      <c r="F2273" s="96" t="s">
        <v>3441</v>
      </c>
    </row>
    <row r="2274" spans="1:6">
      <c r="A2274" s="94">
        <v>3420000</v>
      </c>
      <c r="B2274" s="94">
        <v>3420000</v>
      </c>
      <c r="C2274" s="94">
        <v>3420000</v>
      </c>
      <c r="D2274" s="94">
        <v>3420000</v>
      </c>
      <c r="E2274" s="95">
        <v>40482</v>
      </c>
      <c r="F2274" s="96" t="s">
        <v>3442</v>
      </c>
    </row>
    <row r="2275" spans="1:6">
      <c r="A2275" s="94">
        <v>3340000</v>
      </c>
      <c r="B2275" s="94">
        <v>3340000</v>
      </c>
      <c r="C2275" s="94">
        <v>3340000</v>
      </c>
      <c r="D2275" s="94">
        <v>3340000</v>
      </c>
      <c r="E2275" s="95">
        <v>40481</v>
      </c>
      <c r="F2275" s="96" t="s">
        <v>3443</v>
      </c>
    </row>
    <row r="2276" spans="1:6">
      <c r="A2276" s="94">
        <v>3350000</v>
      </c>
      <c r="B2276" s="94">
        <v>3350000</v>
      </c>
      <c r="C2276" s="94">
        <v>3350000</v>
      </c>
      <c r="D2276" s="94">
        <v>3350000</v>
      </c>
      <c r="E2276" s="95">
        <v>40479</v>
      </c>
      <c r="F2276" s="96" t="s">
        <v>3444</v>
      </c>
    </row>
    <row r="2277" spans="1:6">
      <c r="A2277" s="94">
        <v>3360000</v>
      </c>
      <c r="B2277" s="94">
        <v>3360000</v>
      </c>
      <c r="C2277" s="94">
        <v>3360000</v>
      </c>
      <c r="D2277" s="94">
        <v>3360000</v>
      </c>
      <c r="E2277" s="95">
        <v>40478</v>
      </c>
      <c r="F2277" s="96" t="s">
        <v>3445</v>
      </c>
    </row>
    <row r="2278" spans="1:6">
      <c r="A2278" s="94">
        <v>3360000</v>
      </c>
      <c r="B2278" s="94">
        <v>3360000</v>
      </c>
      <c r="C2278" s="94">
        <v>3360000</v>
      </c>
      <c r="D2278" s="94">
        <v>3360000</v>
      </c>
      <c r="E2278" s="95">
        <v>40477</v>
      </c>
      <c r="F2278" s="96" t="s">
        <v>3446</v>
      </c>
    </row>
    <row r="2279" spans="1:6">
      <c r="A2279" s="94">
        <v>3350000</v>
      </c>
      <c r="B2279" s="94">
        <v>3350000</v>
      </c>
      <c r="C2279" s="94">
        <v>3350000</v>
      </c>
      <c r="D2279" s="94">
        <v>3350000</v>
      </c>
      <c r="E2279" s="95">
        <v>40476</v>
      </c>
      <c r="F2279" s="96" t="s">
        <v>3447</v>
      </c>
    </row>
    <row r="2280" spans="1:6">
      <c r="A2280" s="94">
        <v>3350000</v>
      </c>
      <c r="B2280" s="94">
        <v>3350000</v>
      </c>
      <c r="C2280" s="94">
        <v>3350000</v>
      </c>
      <c r="D2280" s="94">
        <v>3350000</v>
      </c>
      <c r="E2280" s="95">
        <v>40475</v>
      </c>
      <c r="F2280" s="96" t="s">
        <v>3448</v>
      </c>
    </row>
    <row r="2281" spans="1:6">
      <c r="A2281" s="94">
        <v>3420000</v>
      </c>
      <c r="B2281" s="94">
        <v>3420000</v>
      </c>
      <c r="C2281" s="94">
        <v>3420000</v>
      </c>
      <c r="D2281" s="94">
        <v>3420000</v>
      </c>
      <c r="E2281" s="95">
        <v>40474</v>
      </c>
      <c r="F2281" s="96" t="s">
        <v>3449</v>
      </c>
    </row>
    <row r="2282" spans="1:6">
      <c r="A2282" s="94">
        <v>3460000</v>
      </c>
      <c r="B2282" s="94">
        <v>3460000</v>
      </c>
      <c r="C2282" s="94">
        <v>3460000</v>
      </c>
      <c r="D2282" s="94">
        <v>3460000</v>
      </c>
      <c r="E2282" s="95">
        <v>40471</v>
      </c>
      <c r="F2282" s="96" t="s">
        <v>3450</v>
      </c>
    </row>
    <row r="2283" spans="1:6">
      <c r="A2283" s="94">
        <v>3450000</v>
      </c>
      <c r="B2283" s="94">
        <v>3450000</v>
      </c>
      <c r="C2283" s="94">
        <v>3450000</v>
      </c>
      <c r="D2283" s="94">
        <v>3450000</v>
      </c>
      <c r="E2283" s="95">
        <v>40470</v>
      </c>
      <c r="F2283" s="96" t="s">
        <v>3451</v>
      </c>
    </row>
    <row r="2284" spans="1:6">
      <c r="A2284" s="94">
        <v>3460000</v>
      </c>
      <c r="B2284" s="94">
        <v>3460000</v>
      </c>
      <c r="C2284" s="94">
        <v>3460000</v>
      </c>
      <c r="D2284" s="94">
        <v>3460000</v>
      </c>
      <c r="E2284" s="95">
        <v>40469</v>
      </c>
      <c r="F2284" s="96" t="s">
        <v>3452</v>
      </c>
    </row>
    <row r="2285" spans="1:6">
      <c r="A2285" s="94">
        <v>3450000</v>
      </c>
      <c r="B2285" s="94">
        <v>3450000</v>
      </c>
      <c r="C2285" s="94">
        <v>3450000</v>
      </c>
      <c r="D2285" s="94">
        <v>3450000</v>
      </c>
      <c r="E2285" s="95">
        <v>40468</v>
      </c>
      <c r="F2285" s="96" t="s">
        <v>3453</v>
      </c>
    </row>
    <row r="2286" spans="1:6">
      <c r="A2286" s="94">
        <v>3520000</v>
      </c>
      <c r="B2286" s="94">
        <v>3520000</v>
      </c>
      <c r="C2286" s="94">
        <v>3520000</v>
      </c>
      <c r="D2286" s="94">
        <v>3520000</v>
      </c>
      <c r="E2286" s="95">
        <v>40467</v>
      </c>
      <c r="F2286" s="96" t="s">
        <v>3454</v>
      </c>
    </row>
    <row r="2287" spans="1:6">
      <c r="A2287" s="94">
        <v>3450000</v>
      </c>
      <c r="B2287" s="94">
        <v>3450000</v>
      </c>
      <c r="C2287" s="94">
        <v>3450000</v>
      </c>
      <c r="D2287" s="94">
        <v>3450000</v>
      </c>
      <c r="E2287" s="95">
        <v>40465</v>
      </c>
      <c r="F2287" s="96" t="s">
        <v>3455</v>
      </c>
    </row>
    <row r="2288" spans="1:6">
      <c r="A2288" s="94">
        <v>3450000</v>
      </c>
      <c r="B2288" s="94">
        <v>3450000</v>
      </c>
      <c r="C2288" s="94">
        <v>3450000</v>
      </c>
      <c r="D2288" s="94">
        <v>3450000</v>
      </c>
      <c r="E2288" s="95">
        <v>40464</v>
      </c>
      <c r="F2288" s="96" t="s">
        <v>3456</v>
      </c>
    </row>
    <row r="2289" spans="1:6">
      <c r="A2289" s="94">
        <v>3450000</v>
      </c>
      <c r="B2289" s="94">
        <v>3450000</v>
      </c>
      <c r="C2289" s="94">
        <v>3450000</v>
      </c>
      <c r="D2289" s="94">
        <v>3450000</v>
      </c>
      <c r="E2289" s="95">
        <v>40463</v>
      </c>
      <c r="F2289" s="96" t="s">
        <v>3457</v>
      </c>
    </row>
    <row r="2290" spans="1:6">
      <c r="A2290" s="94">
        <v>3430000</v>
      </c>
      <c r="B2290" s="94">
        <v>3430000</v>
      </c>
      <c r="C2290" s="94">
        <v>3430000</v>
      </c>
      <c r="D2290" s="94">
        <v>3430000</v>
      </c>
      <c r="E2290" s="95">
        <v>40462</v>
      </c>
      <c r="F2290" s="96" t="s">
        <v>3458</v>
      </c>
    </row>
    <row r="2291" spans="1:6">
      <c r="A2291" s="94">
        <v>3470000</v>
      </c>
      <c r="B2291" s="94">
        <v>3470000</v>
      </c>
      <c r="C2291" s="94">
        <v>3470000</v>
      </c>
      <c r="D2291" s="94">
        <v>3470000</v>
      </c>
      <c r="E2291" s="95">
        <v>40461</v>
      </c>
      <c r="F2291" s="96" t="s">
        <v>3459</v>
      </c>
    </row>
    <row r="2292" spans="1:6">
      <c r="A2292" s="94">
        <v>3480000</v>
      </c>
      <c r="B2292" s="94">
        <v>3480000</v>
      </c>
      <c r="C2292" s="94">
        <v>3480000</v>
      </c>
      <c r="D2292" s="94">
        <v>3480000</v>
      </c>
      <c r="E2292" s="95">
        <v>40460</v>
      </c>
      <c r="F2292" s="96" t="s">
        <v>3460</v>
      </c>
    </row>
    <row r="2293" spans="1:6">
      <c r="A2293" s="94">
        <v>3480000</v>
      </c>
      <c r="B2293" s="94">
        <v>3480000</v>
      </c>
      <c r="C2293" s="94">
        <v>3480000</v>
      </c>
      <c r="D2293" s="94">
        <v>3480000</v>
      </c>
      <c r="E2293" s="95">
        <v>40458</v>
      </c>
      <c r="F2293" s="96" t="s">
        <v>3461</v>
      </c>
    </row>
    <row r="2294" spans="1:6">
      <c r="A2294" s="94">
        <v>3390000</v>
      </c>
      <c r="B2294" s="94">
        <v>3390000</v>
      </c>
      <c r="C2294" s="94">
        <v>3390000</v>
      </c>
      <c r="D2294" s="94">
        <v>3390000</v>
      </c>
      <c r="E2294" s="95">
        <v>40457</v>
      </c>
      <c r="F2294" s="96" t="s">
        <v>3462</v>
      </c>
    </row>
    <row r="2295" spans="1:6">
      <c r="A2295" s="94">
        <v>3420000</v>
      </c>
      <c r="B2295" s="94">
        <v>3420000</v>
      </c>
      <c r="C2295" s="94">
        <v>3420000</v>
      </c>
      <c r="D2295" s="94">
        <v>3420000</v>
      </c>
      <c r="E2295" s="95">
        <v>40456</v>
      </c>
      <c r="F2295" s="96" t="s">
        <v>3463</v>
      </c>
    </row>
    <row r="2296" spans="1:6">
      <c r="A2296" s="94">
        <v>3500000</v>
      </c>
      <c r="B2296" s="94">
        <v>3500000</v>
      </c>
      <c r="C2296" s="94">
        <v>3500000</v>
      </c>
      <c r="D2296" s="94">
        <v>3500000</v>
      </c>
      <c r="E2296" s="95">
        <v>40454</v>
      </c>
      <c r="F2296" s="96" t="s">
        <v>3464</v>
      </c>
    </row>
    <row r="2297" spans="1:6">
      <c r="A2297" s="94">
        <v>3480000</v>
      </c>
      <c r="B2297" s="94">
        <v>3480000</v>
      </c>
      <c r="C2297" s="94">
        <v>3480000</v>
      </c>
      <c r="D2297" s="94">
        <v>3480000</v>
      </c>
      <c r="E2297" s="95">
        <v>40453</v>
      </c>
      <c r="F2297" s="96" t="s">
        <v>3465</v>
      </c>
    </row>
    <row r="2298" spans="1:6">
      <c r="A2298" s="94">
        <v>3600000</v>
      </c>
      <c r="B2298" s="94">
        <v>3600000</v>
      </c>
      <c r="C2298" s="94">
        <v>3600000</v>
      </c>
      <c r="D2298" s="94">
        <v>3600000</v>
      </c>
      <c r="E2298" s="95">
        <v>40451</v>
      </c>
      <c r="F2298" s="96" t="s">
        <v>3466</v>
      </c>
    </row>
    <row r="2299" spans="1:6">
      <c r="A2299" s="94">
        <v>3370000</v>
      </c>
      <c r="B2299" s="94">
        <v>3370000</v>
      </c>
      <c r="C2299" s="94">
        <v>3370000</v>
      </c>
      <c r="D2299" s="94">
        <v>3370000</v>
      </c>
      <c r="E2299" s="95">
        <v>40450</v>
      </c>
      <c r="F2299" s="96" t="s">
        <v>3467</v>
      </c>
    </row>
    <row r="2300" spans="1:6">
      <c r="A2300" s="94">
        <v>3360000</v>
      </c>
      <c r="B2300" s="94">
        <v>3360000</v>
      </c>
      <c r="C2300" s="94">
        <v>3360000</v>
      </c>
      <c r="D2300" s="94">
        <v>3360000</v>
      </c>
      <c r="E2300" s="95">
        <v>40449</v>
      </c>
      <c r="F2300" s="96" t="s">
        <v>3468</v>
      </c>
    </row>
    <row r="2301" spans="1:6">
      <c r="A2301" s="94">
        <v>3350000</v>
      </c>
      <c r="B2301" s="94">
        <v>3350000</v>
      </c>
      <c r="C2301" s="94">
        <v>3350000</v>
      </c>
      <c r="D2301" s="94">
        <v>3350000</v>
      </c>
      <c r="E2301" s="95">
        <v>40448</v>
      </c>
      <c r="F2301" s="96" t="s">
        <v>3469</v>
      </c>
    </row>
    <row r="2302" spans="1:6">
      <c r="A2302" s="94">
        <v>3300000</v>
      </c>
      <c r="B2302" s="94">
        <v>3300000</v>
      </c>
      <c r="C2302" s="94">
        <v>3300000</v>
      </c>
      <c r="D2302" s="94">
        <v>3300000</v>
      </c>
      <c r="E2302" s="95">
        <v>40447</v>
      </c>
      <c r="F2302" s="96" t="s">
        <v>3470</v>
      </c>
    </row>
    <row r="2303" spans="1:6">
      <c r="A2303" s="94">
        <v>3270000</v>
      </c>
      <c r="B2303" s="94">
        <v>3270000</v>
      </c>
      <c r="C2303" s="94">
        <v>3270000</v>
      </c>
      <c r="D2303" s="94">
        <v>3270000</v>
      </c>
      <c r="E2303" s="95">
        <v>40446</v>
      </c>
      <c r="F2303" s="96" t="s">
        <v>3471</v>
      </c>
    </row>
    <row r="2304" spans="1:6">
      <c r="A2304" s="94">
        <v>3220000</v>
      </c>
      <c r="B2304" s="94">
        <v>3220000</v>
      </c>
      <c r="C2304" s="94">
        <v>3220000</v>
      </c>
      <c r="D2304" s="94">
        <v>3220000</v>
      </c>
      <c r="E2304" s="95">
        <v>40443</v>
      </c>
      <c r="F2304" s="96" t="s">
        <v>3472</v>
      </c>
    </row>
    <row r="2305" spans="1:6">
      <c r="A2305" s="94">
        <v>3260000</v>
      </c>
      <c r="B2305" s="94">
        <v>3260000</v>
      </c>
      <c r="C2305" s="94">
        <v>3260000</v>
      </c>
      <c r="D2305" s="94">
        <v>3260000</v>
      </c>
      <c r="E2305" s="95">
        <v>40444</v>
      </c>
      <c r="F2305" s="96" t="s">
        <v>3473</v>
      </c>
    </row>
    <row r="2306" spans="1:6">
      <c r="A2306" s="94">
        <v>3250000</v>
      </c>
      <c r="B2306" s="94">
        <v>3250000</v>
      </c>
      <c r="C2306" s="94">
        <v>3250000</v>
      </c>
      <c r="D2306" s="94">
        <v>3250000</v>
      </c>
      <c r="E2306" s="95">
        <v>40442</v>
      </c>
      <c r="F2306" s="96" t="s">
        <v>3474</v>
      </c>
    </row>
    <row r="2307" spans="1:6">
      <c r="A2307" s="94">
        <v>3210000</v>
      </c>
      <c r="B2307" s="94">
        <v>3210000</v>
      </c>
      <c r="C2307" s="94">
        <v>3210000</v>
      </c>
      <c r="D2307" s="94">
        <v>3210000</v>
      </c>
      <c r="E2307" s="95">
        <v>40441</v>
      </c>
      <c r="F2307" s="96" t="s">
        <v>3475</v>
      </c>
    </row>
    <row r="2308" spans="1:6">
      <c r="A2308" s="94">
        <v>3170000</v>
      </c>
      <c r="B2308" s="94">
        <v>3170000</v>
      </c>
      <c r="C2308" s="94">
        <v>3170000</v>
      </c>
      <c r="D2308" s="94">
        <v>3170000</v>
      </c>
      <c r="E2308" s="95">
        <v>40440</v>
      </c>
      <c r="F2308" s="96" t="s">
        <v>3476</v>
      </c>
    </row>
    <row r="2309" spans="1:6">
      <c r="A2309" s="94">
        <v>3160000</v>
      </c>
      <c r="B2309" s="94">
        <v>3160000</v>
      </c>
      <c r="C2309" s="94">
        <v>3160000</v>
      </c>
      <c r="D2309" s="94">
        <v>3160000</v>
      </c>
      <c r="E2309" s="95">
        <v>40439</v>
      </c>
      <c r="F2309" s="96" t="s">
        <v>3477</v>
      </c>
    </row>
    <row r="2310" spans="1:6">
      <c r="A2310" s="94">
        <v>3160000</v>
      </c>
      <c r="B2310" s="94">
        <v>3160000</v>
      </c>
      <c r="C2310" s="94">
        <v>3160000</v>
      </c>
      <c r="D2310" s="94">
        <v>3160000</v>
      </c>
      <c r="E2310" s="95">
        <v>40437</v>
      </c>
      <c r="F2310" s="96" t="s">
        <v>3478</v>
      </c>
    </row>
    <row r="2311" spans="1:6">
      <c r="A2311" s="94">
        <v>3130000</v>
      </c>
      <c r="B2311" s="94">
        <v>3130000</v>
      </c>
      <c r="C2311" s="94">
        <v>3130000</v>
      </c>
      <c r="D2311" s="94">
        <v>3130000</v>
      </c>
      <c r="E2311" s="95">
        <v>40436</v>
      </c>
      <c r="F2311" s="96" t="s">
        <v>3479</v>
      </c>
    </row>
    <row r="2312" spans="1:6">
      <c r="A2312" s="94">
        <v>3125000</v>
      </c>
      <c r="B2312" s="94">
        <v>3125000</v>
      </c>
      <c r="C2312" s="94">
        <v>3125000</v>
      </c>
      <c r="D2312" s="94">
        <v>3125000</v>
      </c>
      <c r="E2312" s="95">
        <v>40435</v>
      </c>
      <c r="F2312" s="96" t="s">
        <v>3480</v>
      </c>
    </row>
    <row r="2313" spans="1:6">
      <c r="A2313" s="94">
        <v>3130000</v>
      </c>
      <c r="B2313" s="94">
        <v>3130000</v>
      </c>
      <c r="C2313" s="94">
        <v>3130000</v>
      </c>
      <c r="D2313" s="94">
        <v>3130000</v>
      </c>
      <c r="E2313" s="95">
        <v>40434</v>
      </c>
      <c r="F2313" s="96" t="s">
        <v>3481</v>
      </c>
    </row>
    <row r="2314" spans="1:6">
      <c r="A2314" s="94">
        <v>3140000</v>
      </c>
      <c r="B2314" s="94">
        <v>3140000</v>
      </c>
      <c r="C2314" s="94">
        <v>3140000</v>
      </c>
      <c r="D2314" s="94">
        <v>3140000</v>
      </c>
      <c r="E2314" s="95">
        <v>40433</v>
      </c>
      <c r="F2314" s="96" t="s">
        <v>3482</v>
      </c>
    </row>
    <row r="2315" spans="1:6">
      <c r="A2315" s="94">
        <v>3140000</v>
      </c>
      <c r="B2315" s="94">
        <v>3140000</v>
      </c>
      <c r="C2315" s="94">
        <v>3140000</v>
      </c>
      <c r="D2315" s="94">
        <v>3140000</v>
      </c>
      <c r="E2315" s="95">
        <v>40430</v>
      </c>
      <c r="F2315" s="96" t="s">
        <v>3483</v>
      </c>
    </row>
    <row r="2316" spans="1:6">
      <c r="A2316" s="94">
        <v>3125000</v>
      </c>
      <c r="B2316" s="94">
        <v>3125000</v>
      </c>
      <c r="C2316" s="94">
        <v>3125000</v>
      </c>
      <c r="D2316" s="94">
        <v>3125000</v>
      </c>
      <c r="E2316" s="95">
        <v>40429</v>
      </c>
      <c r="F2316" s="96" t="s">
        <v>3484</v>
      </c>
    </row>
    <row r="2317" spans="1:6">
      <c r="A2317" s="94">
        <v>3120000</v>
      </c>
      <c r="B2317" s="94">
        <v>3120000</v>
      </c>
      <c r="C2317" s="94">
        <v>3120000</v>
      </c>
      <c r="D2317" s="94">
        <v>3120000</v>
      </c>
      <c r="E2317" s="95">
        <v>40428</v>
      </c>
      <c r="F2317" s="96" t="s">
        <v>3485</v>
      </c>
    </row>
    <row r="2318" spans="1:6">
      <c r="A2318" s="94">
        <v>3120000</v>
      </c>
      <c r="B2318" s="94">
        <v>3120000</v>
      </c>
      <c r="C2318" s="94">
        <v>3120000</v>
      </c>
      <c r="D2318" s="94">
        <v>3120000</v>
      </c>
      <c r="E2318" s="95">
        <v>40427</v>
      </c>
      <c r="F2318" s="96" t="s">
        <v>3486</v>
      </c>
    </row>
    <row r="2319" spans="1:6">
      <c r="A2319" s="94">
        <v>3125000</v>
      </c>
      <c r="B2319" s="94">
        <v>3125000</v>
      </c>
      <c r="C2319" s="94">
        <v>3125000</v>
      </c>
      <c r="D2319" s="94">
        <v>3125000</v>
      </c>
      <c r="E2319" s="95">
        <v>40426</v>
      </c>
      <c r="F2319" s="96" t="s">
        <v>3487</v>
      </c>
    </row>
    <row r="2320" spans="1:6">
      <c r="A2320" s="94">
        <v>3080000</v>
      </c>
      <c r="B2320" s="94">
        <v>3080000</v>
      </c>
      <c r="C2320" s="94">
        <v>3080000</v>
      </c>
      <c r="D2320" s="94">
        <v>3080000</v>
      </c>
      <c r="E2320" s="95">
        <v>40425</v>
      </c>
      <c r="F2320" s="96" t="s">
        <v>3488</v>
      </c>
    </row>
    <row r="2321" spans="1:6">
      <c r="A2321" s="94">
        <v>3080000</v>
      </c>
      <c r="B2321" s="94">
        <v>3080000</v>
      </c>
      <c r="C2321" s="94">
        <v>3080000</v>
      </c>
      <c r="D2321" s="94">
        <v>3080000</v>
      </c>
      <c r="E2321" s="95">
        <v>40421</v>
      </c>
      <c r="F2321" s="96" t="s">
        <v>3489</v>
      </c>
    </row>
    <row r="2322" spans="1:6">
      <c r="A2322" s="94">
        <v>3070000</v>
      </c>
      <c r="B2322" s="94">
        <v>3070000</v>
      </c>
      <c r="C2322" s="94">
        <v>3070000</v>
      </c>
      <c r="D2322" s="94">
        <v>3070000</v>
      </c>
      <c r="E2322" s="95">
        <v>40420</v>
      </c>
      <c r="F2322" s="96" t="s">
        <v>3490</v>
      </c>
    </row>
    <row r="2323" spans="1:6">
      <c r="A2323" s="94">
        <v>3060000</v>
      </c>
      <c r="B2323" s="94">
        <v>3060000</v>
      </c>
      <c r="C2323" s="94">
        <v>3060000</v>
      </c>
      <c r="D2323" s="94">
        <v>3060000</v>
      </c>
      <c r="E2323" s="95">
        <v>40419</v>
      </c>
      <c r="F2323" s="96" t="s">
        <v>3491</v>
      </c>
    </row>
    <row r="2324" spans="1:6">
      <c r="A2324" s="94">
        <v>3060000</v>
      </c>
      <c r="B2324" s="94">
        <v>3060000</v>
      </c>
      <c r="C2324" s="94">
        <v>3060000</v>
      </c>
      <c r="D2324" s="94">
        <v>3060000</v>
      </c>
      <c r="E2324" s="95">
        <v>40418</v>
      </c>
      <c r="F2324" s="96" t="s">
        <v>3492</v>
      </c>
    </row>
    <row r="2325" spans="1:6">
      <c r="A2325" s="94">
        <v>3050000</v>
      </c>
      <c r="B2325" s="94">
        <v>3050000</v>
      </c>
      <c r="C2325" s="94">
        <v>3050000</v>
      </c>
      <c r="D2325" s="94">
        <v>3050000</v>
      </c>
      <c r="E2325" s="95">
        <v>40416</v>
      </c>
      <c r="F2325" s="96" t="s">
        <v>3493</v>
      </c>
    </row>
    <row r="2326" spans="1:6">
      <c r="A2326" s="94">
        <v>3030000</v>
      </c>
      <c r="B2326" s="94">
        <v>3030000</v>
      </c>
      <c r="C2326" s="94">
        <v>3030000</v>
      </c>
      <c r="D2326" s="94">
        <v>3030000</v>
      </c>
      <c r="E2326" s="95">
        <v>40415</v>
      </c>
      <c r="F2326" s="96" t="s">
        <v>3494</v>
      </c>
    </row>
    <row r="2327" spans="1:6">
      <c r="A2327" s="94">
        <v>3040000</v>
      </c>
      <c r="B2327" s="94">
        <v>3040000</v>
      </c>
      <c r="C2327" s="94">
        <v>3040000</v>
      </c>
      <c r="D2327" s="94">
        <v>3040000</v>
      </c>
      <c r="E2327" s="95">
        <v>40414</v>
      </c>
      <c r="F2327" s="96" t="s">
        <v>3495</v>
      </c>
    </row>
    <row r="2328" spans="1:6">
      <c r="A2328" s="94">
        <v>3040000</v>
      </c>
      <c r="B2328" s="94">
        <v>3040000</v>
      </c>
      <c r="C2328" s="94">
        <v>3040000</v>
      </c>
      <c r="D2328" s="94">
        <v>3040000</v>
      </c>
      <c r="E2328" s="95">
        <v>40413</v>
      </c>
      <c r="F2328" s="96" t="s">
        <v>3496</v>
      </c>
    </row>
    <row r="2329" spans="1:6">
      <c r="A2329" s="94">
        <v>3040000</v>
      </c>
      <c r="B2329" s="94">
        <v>3040000</v>
      </c>
      <c r="C2329" s="94">
        <v>3040000</v>
      </c>
      <c r="D2329" s="94">
        <v>3040000</v>
      </c>
      <c r="E2329" s="95">
        <v>40412</v>
      </c>
      <c r="F2329" s="96" t="s">
        <v>3497</v>
      </c>
    </row>
    <row r="2330" spans="1:6">
      <c r="A2330" s="94">
        <v>3040000</v>
      </c>
      <c r="B2330" s="94">
        <v>3040000</v>
      </c>
      <c r="C2330" s="94">
        <v>3040000</v>
      </c>
      <c r="D2330" s="94">
        <v>3040000</v>
      </c>
      <c r="E2330" s="95">
        <v>40411</v>
      </c>
      <c r="F2330" s="96" t="s">
        <v>3498</v>
      </c>
    </row>
    <row r="2331" spans="1:6">
      <c r="A2331" s="94">
        <v>3040000</v>
      </c>
      <c r="B2331" s="94">
        <v>3040000</v>
      </c>
      <c r="C2331" s="94">
        <v>3040000</v>
      </c>
      <c r="D2331" s="94">
        <v>3040000</v>
      </c>
      <c r="E2331" s="95">
        <v>40409</v>
      </c>
      <c r="F2331" s="96" t="s">
        <v>3499</v>
      </c>
    </row>
    <row r="2332" spans="1:6">
      <c r="A2332" s="94">
        <v>3040000</v>
      </c>
      <c r="B2332" s="94">
        <v>3040000</v>
      </c>
      <c r="C2332" s="94">
        <v>3040000</v>
      </c>
      <c r="D2332" s="94">
        <v>3040000</v>
      </c>
      <c r="E2332" s="95">
        <v>40408</v>
      </c>
      <c r="F2332" s="96" t="s">
        <v>3500</v>
      </c>
    </row>
    <row r="2333" spans="1:6">
      <c r="A2333" s="94">
        <v>3030000</v>
      </c>
      <c r="B2333" s="94">
        <v>3030000</v>
      </c>
      <c r="C2333" s="94">
        <v>3030000</v>
      </c>
      <c r="D2333" s="94">
        <v>3030000</v>
      </c>
      <c r="E2333" s="95">
        <v>40407</v>
      </c>
      <c r="F2333" s="96" t="s">
        <v>3501</v>
      </c>
    </row>
    <row r="2334" spans="1:6">
      <c r="A2334" s="94">
        <v>3030000</v>
      </c>
      <c r="B2334" s="94">
        <v>3030000</v>
      </c>
      <c r="C2334" s="94">
        <v>3030000</v>
      </c>
      <c r="D2334" s="94">
        <v>3030000</v>
      </c>
      <c r="E2334" s="95">
        <v>40406</v>
      </c>
      <c r="F2334" s="96" t="s">
        <v>3502</v>
      </c>
    </row>
    <row r="2335" spans="1:6">
      <c r="A2335" s="94">
        <v>3030000</v>
      </c>
      <c r="B2335" s="94">
        <v>3030000</v>
      </c>
      <c r="C2335" s="94">
        <v>3030000</v>
      </c>
      <c r="D2335" s="94">
        <v>3030000</v>
      </c>
      <c r="E2335" s="95">
        <v>40405</v>
      </c>
      <c r="F2335" s="96" t="s">
        <v>3503</v>
      </c>
    </row>
    <row r="2336" spans="1:6">
      <c r="A2336" s="94">
        <v>3010000</v>
      </c>
      <c r="B2336" s="94">
        <v>3010000</v>
      </c>
      <c r="C2336" s="94">
        <v>3010000</v>
      </c>
      <c r="D2336" s="94">
        <v>3010000</v>
      </c>
      <c r="E2336" s="95">
        <v>40404</v>
      </c>
      <c r="F2336" s="96" t="s">
        <v>3504</v>
      </c>
    </row>
    <row r="2337" spans="1:6">
      <c r="A2337" s="94">
        <v>2990000</v>
      </c>
      <c r="B2337" s="94">
        <v>2990000</v>
      </c>
      <c r="C2337" s="94">
        <v>2990000</v>
      </c>
      <c r="D2337" s="94">
        <v>2990000</v>
      </c>
      <c r="E2337" s="95">
        <v>40402</v>
      </c>
      <c r="F2337" s="96" t="s">
        <v>3505</v>
      </c>
    </row>
    <row r="2338" spans="1:6">
      <c r="A2338" s="94">
        <v>3000000</v>
      </c>
      <c r="B2338" s="94">
        <v>3000000</v>
      </c>
      <c r="C2338" s="94">
        <v>3000000</v>
      </c>
      <c r="D2338" s="94">
        <v>3000000</v>
      </c>
      <c r="E2338" s="95">
        <v>40401</v>
      </c>
      <c r="F2338" s="96" t="s">
        <v>3506</v>
      </c>
    </row>
    <row r="2339" spans="1:6">
      <c r="A2339" s="94">
        <v>3000000</v>
      </c>
      <c r="B2339" s="94">
        <v>3000000</v>
      </c>
      <c r="C2339" s="94">
        <v>3000000</v>
      </c>
      <c r="D2339" s="94">
        <v>3000000</v>
      </c>
      <c r="E2339" s="95">
        <v>40399</v>
      </c>
      <c r="F2339" s="96" t="s">
        <v>3507</v>
      </c>
    </row>
    <row r="2340" spans="1:6">
      <c r="A2340" s="94">
        <v>3000000</v>
      </c>
      <c r="B2340" s="94">
        <v>3000000</v>
      </c>
      <c r="C2340" s="94">
        <v>3000000</v>
      </c>
      <c r="D2340" s="94">
        <v>3000000</v>
      </c>
      <c r="E2340" s="95">
        <v>40398</v>
      </c>
      <c r="F2340" s="96" t="s">
        <v>3508</v>
      </c>
    </row>
    <row r="2341" spans="1:6">
      <c r="A2341" s="94">
        <v>2975000</v>
      </c>
      <c r="B2341" s="94">
        <v>2975000</v>
      </c>
      <c r="C2341" s="94">
        <v>2975000</v>
      </c>
      <c r="D2341" s="94">
        <v>2975000</v>
      </c>
      <c r="E2341" s="95">
        <v>40397</v>
      </c>
      <c r="F2341" s="96" t="s">
        <v>3509</v>
      </c>
    </row>
    <row r="2342" spans="1:6">
      <c r="A2342" s="94">
        <v>2950000</v>
      </c>
      <c r="B2342" s="94">
        <v>2950000</v>
      </c>
      <c r="C2342" s="94">
        <v>2950000</v>
      </c>
      <c r="D2342" s="94">
        <v>2950000</v>
      </c>
      <c r="E2342" s="95">
        <v>40394</v>
      </c>
      <c r="F2342" s="96" t="s">
        <v>3510</v>
      </c>
    </row>
    <row r="2343" spans="1:6">
      <c r="A2343" s="94">
        <v>2950000</v>
      </c>
      <c r="B2343" s="94">
        <v>2950000</v>
      </c>
      <c r="C2343" s="94">
        <v>2950000</v>
      </c>
      <c r="D2343" s="94">
        <v>2950000</v>
      </c>
      <c r="E2343" s="95">
        <v>40393</v>
      </c>
      <c r="F2343" s="96" t="s">
        <v>3511</v>
      </c>
    </row>
    <row r="2344" spans="1:6">
      <c r="A2344" s="94">
        <v>2950000</v>
      </c>
      <c r="B2344" s="94">
        <v>2950000</v>
      </c>
      <c r="C2344" s="94">
        <v>2950000</v>
      </c>
      <c r="D2344" s="94">
        <v>2950000</v>
      </c>
      <c r="E2344" s="95">
        <v>40392</v>
      </c>
      <c r="F2344" s="96" t="s">
        <v>3512</v>
      </c>
    </row>
    <row r="2345" spans="1:6">
      <c r="A2345" s="94">
        <v>2950000</v>
      </c>
      <c r="B2345" s="94">
        <v>2950000</v>
      </c>
      <c r="C2345" s="94">
        <v>2950000</v>
      </c>
      <c r="D2345" s="94">
        <v>2950000</v>
      </c>
      <c r="E2345" s="95">
        <v>40391</v>
      </c>
      <c r="F2345" s="96" t="s">
        <v>3513</v>
      </c>
    </row>
    <row r="2346" spans="1:6">
      <c r="A2346" s="94">
        <v>2920000</v>
      </c>
      <c r="B2346" s="94">
        <v>2920000</v>
      </c>
      <c r="C2346" s="94">
        <v>2920000</v>
      </c>
      <c r="D2346" s="94">
        <v>2920000</v>
      </c>
      <c r="E2346" s="95">
        <v>40390</v>
      </c>
      <c r="F2346" s="96" t="s">
        <v>3514</v>
      </c>
    </row>
    <row r="2347" spans="1:6">
      <c r="A2347" s="94">
        <v>2925000</v>
      </c>
      <c r="B2347" s="94">
        <v>2925000</v>
      </c>
      <c r="C2347" s="94">
        <v>2925000</v>
      </c>
      <c r="D2347" s="94">
        <v>2925000</v>
      </c>
      <c r="E2347" s="95">
        <v>40388</v>
      </c>
      <c r="F2347" s="96" t="s">
        <v>3515</v>
      </c>
    </row>
    <row r="2348" spans="1:6">
      <c r="A2348" s="94">
        <v>2975000</v>
      </c>
      <c r="B2348" s="94">
        <v>2975000</v>
      </c>
      <c r="C2348" s="94">
        <v>2975000</v>
      </c>
      <c r="D2348" s="94">
        <v>2975000</v>
      </c>
      <c r="E2348" s="95">
        <v>40387</v>
      </c>
      <c r="F2348" s="96" t="s">
        <v>3516</v>
      </c>
    </row>
    <row r="2349" spans="1:6">
      <c r="A2349" s="94">
        <v>2960000</v>
      </c>
      <c r="B2349" s="94">
        <v>2960000</v>
      </c>
      <c r="C2349" s="94">
        <v>2960000</v>
      </c>
      <c r="D2349" s="94">
        <v>2960000</v>
      </c>
      <c r="E2349" s="95">
        <v>40385</v>
      </c>
      <c r="F2349" s="96" t="s">
        <v>3517</v>
      </c>
    </row>
    <row r="2350" spans="1:6">
      <c r="A2350" s="94">
        <v>2960000</v>
      </c>
      <c r="B2350" s="94">
        <v>2960000</v>
      </c>
      <c r="C2350" s="94">
        <v>2960000</v>
      </c>
      <c r="D2350" s="94">
        <v>2960000</v>
      </c>
      <c r="E2350" s="95">
        <v>40384</v>
      </c>
      <c r="F2350" s="96" t="s">
        <v>3518</v>
      </c>
    </row>
    <row r="2351" spans="1:6">
      <c r="A2351" s="94">
        <v>2950000</v>
      </c>
      <c r="B2351" s="94">
        <v>2950000</v>
      </c>
      <c r="C2351" s="94">
        <v>2950000</v>
      </c>
      <c r="D2351" s="94">
        <v>2950000</v>
      </c>
      <c r="E2351" s="95">
        <v>40383</v>
      </c>
      <c r="F2351" s="96" t="s">
        <v>3519</v>
      </c>
    </row>
    <row r="2352" spans="1:6">
      <c r="A2352" s="94">
        <v>2950000</v>
      </c>
      <c r="B2352" s="94">
        <v>2950000</v>
      </c>
      <c r="C2352" s="94">
        <v>2950000</v>
      </c>
      <c r="D2352" s="94">
        <v>2950000</v>
      </c>
      <c r="E2352" s="95">
        <v>40381</v>
      </c>
      <c r="F2352" s="96" t="s">
        <v>3520</v>
      </c>
    </row>
    <row r="2353" spans="1:6">
      <c r="A2353" s="94">
        <v>2940000</v>
      </c>
      <c r="B2353" s="94">
        <v>2940000</v>
      </c>
      <c r="C2353" s="94">
        <v>2940000</v>
      </c>
      <c r="D2353" s="94">
        <v>2940000</v>
      </c>
      <c r="E2353" s="95">
        <v>40380</v>
      </c>
      <c r="F2353" s="96" t="s">
        <v>3521</v>
      </c>
    </row>
    <row r="2354" spans="1:6">
      <c r="A2354" s="94">
        <v>2960000</v>
      </c>
      <c r="B2354" s="94">
        <v>2960000</v>
      </c>
      <c r="C2354" s="94">
        <v>2960000</v>
      </c>
      <c r="D2354" s="94">
        <v>2960000</v>
      </c>
      <c r="E2354" s="95">
        <v>40379</v>
      </c>
      <c r="F2354" s="96" t="s">
        <v>3522</v>
      </c>
    </row>
    <row r="2355" spans="1:6">
      <c r="A2355" s="94">
        <v>2960000</v>
      </c>
      <c r="B2355" s="94">
        <v>2960000</v>
      </c>
      <c r="C2355" s="94">
        <v>2960000</v>
      </c>
      <c r="D2355" s="94">
        <v>2960000</v>
      </c>
      <c r="E2355" s="95">
        <v>40378</v>
      </c>
      <c r="F2355" s="96" t="s">
        <v>3523</v>
      </c>
    </row>
    <row r="2356" spans="1:6">
      <c r="A2356" s="94">
        <v>2980000</v>
      </c>
      <c r="B2356" s="94">
        <v>2980000</v>
      </c>
      <c r="C2356" s="94">
        <v>2980000</v>
      </c>
      <c r="D2356" s="94">
        <v>2980000</v>
      </c>
      <c r="E2356" s="95">
        <v>40377</v>
      </c>
      <c r="F2356" s="96" t="s">
        <v>3524</v>
      </c>
    </row>
    <row r="2357" spans="1:6">
      <c r="A2357" s="94">
        <v>3020000</v>
      </c>
      <c r="B2357" s="94">
        <v>3020000</v>
      </c>
      <c r="C2357" s="94">
        <v>3020000</v>
      </c>
      <c r="D2357" s="94">
        <v>3020000</v>
      </c>
      <c r="E2357" s="95">
        <v>40376</v>
      </c>
      <c r="F2357" s="96" t="s">
        <v>3525</v>
      </c>
    </row>
    <row r="2358" spans="1:6">
      <c r="A2358" s="94">
        <v>3020000</v>
      </c>
      <c r="B2358" s="94">
        <v>3020000</v>
      </c>
      <c r="C2358" s="94">
        <v>3020000</v>
      </c>
      <c r="D2358" s="94">
        <v>3020000</v>
      </c>
      <c r="E2358" s="95">
        <v>40374</v>
      </c>
      <c r="F2358" s="96" t="s">
        <v>3526</v>
      </c>
    </row>
    <row r="2359" spans="1:6">
      <c r="A2359" s="94">
        <v>3010000</v>
      </c>
      <c r="B2359" s="94">
        <v>3010000</v>
      </c>
      <c r="C2359" s="94">
        <v>3010000</v>
      </c>
      <c r="D2359" s="94">
        <v>3010000</v>
      </c>
      <c r="E2359" s="95">
        <v>40372</v>
      </c>
      <c r="F2359" s="96" t="s">
        <v>3527</v>
      </c>
    </row>
    <row r="2360" spans="1:6">
      <c r="A2360" s="94">
        <v>3020000</v>
      </c>
      <c r="B2360" s="94">
        <v>3020000</v>
      </c>
      <c r="C2360" s="94">
        <v>3020000</v>
      </c>
      <c r="D2360" s="94">
        <v>3020000</v>
      </c>
      <c r="E2360" s="95">
        <v>40371</v>
      </c>
      <c r="F2360" s="96" t="s">
        <v>3528</v>
      </c>
    </row>
    <row r="2361" spans="1:6">
      <c r="A2361" s="94">
        <v>3010000</v>
      </c>
      <c r="B2361" s="94">
        <v>3010000</v>
      </c>
      <c r="C2361" s="94">
        <v>3010000</v>
      </c>
      <c r="D2361" s="94">
        <v>3010000</v>
      </c>
      <c r="E2361" s="95">
        <v>40370</v>
      </c>
      <c r="F2361" s="96" t="s">
        <v>3529</v>
      </c>
    </row>
    <row r="2362" spans="1:6">
      <c r="A2362" s="94">
        <v>3000000</v>
      </c>
      <c r="B2362" s="94">
        <v>3000000</v>
      </c>
      <c r="C2362" s="94">
        <v>3000000</v>
      </c>
      <c r="D2362" s="94">
        <v>3000000</v>
      </c>
      <c r="E2362" s="95">
        <v>40367</v>
      </c>
      <c r="F2362" s="96" t="s">
        <v>3530</v>
      </c>
    </row>
    <row r="2363" spans="1:6">
      <c r="A2363" s="94">
        <v>3020000</v>
      </c>
      <c r="B2363" s="94">
        <v>3020000</v>
      </c>
      <c r="C2363" s="94">
        <v>3020000</v>
      </c>
      <c r="D2363" s="94">
        <v>3020000</v>
      </c>
      <c r="E2363" s="95">
        <v>40366</v>
      </c>
      <c r="F2363" s="96" t="s">
        <v>3531</v>
      </c>
    </row>
    <row r="2364" spans="1:6">
      <c r="A2364" s="94">
        <v>3030000</v>
      </c>
      <c r="B2364" s="94">
        <v>3030000</v>
      </c>
      <c r="C2364" s="94">
        <v>3030000</v>
      </c>
      <c r="D2364" s="94">
        <v>3030000</v>
      </c>
      <c r="E2364" s="95">
        <v>40364</v>
      </c>
      <c r="F2364" s="96" t="s">
        <v>3532</v>
      </c>
    </row>
    <row r="2365" spans="1:6">
      <c r="A2365" s="94">
        <v>3030000</v>
      </c>
      <c r="B2365" s="94">
        <v>3030000</v>
      </c>
      <c r="C2365" s="94">
        <v>3030000</v>
      </c>
      <c r="D2365" s="94">
        <v>3030000</v>
      </c>
      <c r="E2365" s="95">
        <v>40362</v>
      </c>
      <c r="F2365" s="96" t="s">
        <v>3533</v>
      </c>
    </row>
    <row r="2366" spans="1:6">
      <c r="A2366" s="94">
        <v>3120000</v>
      </c>
      <c r="B2366" s="94">
        <v>3120000</v>
      </c>
      <c r="C2366" s="94">
        <v>3120000</v>
      </c>
      <c r="D2366" s="94">
        <v>3120000</v>
      </c>
      <c r="E2366" s="95">
        <v>40360</v>
      </c>
      <c r="F2366" s="96" t="s">
        <v>3534</v>
      </c>
    </row>
    <row r="2367" spans="1:6">
      <c r="A2367" s="94">
        <v>3100000</v>
      </c>
      <c r="B2367" s="94">
        <v>3100000</v>
      </c>
      <c r="C2367" s="94">
        <v>3100000</v>
      </c>
      <c r="D2367" s="94">
        <v>3100000</v>
      </c>
      <c r="E2367" s="95">
        <v>40359</v>
      </c>
      <c r="F2367" s="96" t="s">
        <v>3535</v>
      </c>
    </row>
    <row r="2368" spans="1:6">
      <c r="A2368" s="94">
        <v>3120000</v>
      </c>
      <c r="B2368" s="94">
        <v>3120000</v>
      </c>
      <c r="C2368" s="94">
        <v>3120000</v>
      </c>
      <c r="D2368" s="94">
        <v>3120000</v>
      </c>
      <c r="E2368" s="95">
        <v>40358</v>
      </c>
      <c r="F2368" s="96" t="s">
        <v>3536</v>
      </c>
    </row>
    <row r="2369" spans="1:6">
      <c r="A2369" s="94">
        <v>3120000</v>
      </c>
      <c r="B2369" s="94">
        <v>3120000</v>
      </c>
      <c r="C2369" s="94">
        <v>3120000</v>
      </c>
      <c r="D2369" s="94">
        <v>3120000</v>
      </c>
      <c r="E2369" s="95">
        <v>40357</v>
      </c>
      <c r="F2369" s="96" t="s">
        <v>3537</v>
      </c>
    </row>
    <row r="2370" spans="1:6">
      <c r="A2370" s="94">
        <v>3085000</v>
      </c>
      <c r="B2370" s="94">
        <v>3085000</v>
      </c>
      <c r="C2370" s="94">
        <v>3085000</v>
      </c>
      <c r="D2370" s="94">
        <v>3085000</v>
      </c>
      <c r="E2370" s="95">
        <v>40356</v>
      </c>
      <c r="F2370" s="96" t="s">
        <v>3538</v>
      </c>
    </row>
    <row r="2371" spans="1:6">
      <c r="A2371" s="94">
        <v>3080000</v>
      </c>
      <c r="B2371" s="94">
        <v>3080000</v>
      </c>
      <c r="C2371" s="94">
        <v>3080000</v>
      </c>
      <c r="D2371" s="94">
        <v>3080000</v>
      </c>
      <c r="E2371" s="95">
        <v>40353</v>
      </c>
      <c r="F2371" s="96" t="s">
        <v>3539</v>
      </c>
    </row>
    <row r="2372" spans="1:6">
      <c r="A2372" s="94">
        <v>3080000</v>
      </c>
      <c r="B2372" s="94">
        <v>3080000</v>
      </c>
      <c r="C2372" s="94">
        <v>3080000</v>
      </c>
      <c r="D2372" s="94">
        <v>3080000</v>
      </c>
      <c r="E2372" s="95">
        <v>40352</v>
      </c>
      <c r="F2372" s="96" t="s">
        <v>3540</v>
      </c>
    </row>
    <row r="2373" spans="1:6">
      <c r="A2373" s="94">
        <v>3120000</v>
      </c>
      <c r="B2373" s="94">
        <v>3120000</v>
      </c>
      <c r="C2373" s="94">
        <v>3120000</v>
      </c>
      <c r="D2373" s="94">
        <v>3120000</v>
      </c>
      <c r="E2373" s="95">
        <v>40351</v>
      </c>
      <c r="F2373" s="96" t="s">
        <v>3541</v>
      </c>
    </row>
    <row r="2374" spans="1:6">
      <c r="A2374" s="94">
        <v>3100000</v>
      </c>
      <c r="B2374" s="94">
        <v>3100000</v>
      </c>
      <c r="C2374" s="94">
        <v>3100000</v>
      </c>
      <c r="D2374" s="94">
        <v>3100000</v>
      </c>
      <c r="E2374" s="95">
        <v>40349</v>
      </c>
      <c r="F2374" s="96" t="s">
        <v>3542</v>
      </c>
    </row>
    <row r="2375" spans="1:6">
      <c r="A2375" s="94">
        <v>3060000</v>
      </c>
      <c r="B2375" s="94">
        <v>3060000</v>
      </c>
      <c r="C2375" s="94">
        <v>3060000</v>
      </c>
      <c r="D2375" s="94">
        <v>3060000</v>
      </c>
      <c r="E2375" s="95">
        <v>40348</v>
      </c>
      <c r="F2375" s="96" t="s">
        <v>3543</v>
      </c>
    </row>
    <row r="2376" spans="1:6">
      <c r="A2376" s="94">
        <v>3060000</v>
      </c>
      <c r="B2376" s="94">
        <v>3060000</v>
      </c>
      <c r="C2376" s="94">
        <v>3060000</v>
      </c>
      <c r="D2376" s="94">
        <v>3060000</v>
      </c>
      <c r="E2376" s="95">
        <v>40346</v>
      </c>
      <c r="F2376" s="96" t="s">
        <v>3544</v>
      </c>
    </row>
    <row r="2377" spans="1:6">
      <c r="A2377" s="94">
        <v>3040000</v>
      </c>
      <c r="B2377" s="94">
        <v>3040000</v>
      </c>
      <c r="C2377" s="94">
        <v>3040000</v>
      </c>
      <c r="D2377" s="94">
        <v>3040000</v>
      </c>
      <c r="E2377" s="95">
        <v>40345</v>
      </c>
      <c r="F2377" s="96" t="s">
        <v>3545</v>
      </c>
    </row>
    <row r="2378" spans="1:6">
      <c r="A2378" s="94">
        <v>3080000</v>
      </c>
      <c r="B2378" s="94">
        <v>3080000</v>
      </c>
      <c r="C2378" s="94">
        <v>3080000</v>
      </c>
      <c r="D2378" s="94">
        <v>3080000</v>
      </c>
      <c r="E2378" s="95">
        <v>40344</v>
      </c>
      <c r="F2378" s="96" t="s">
        <v>3546</v>
      </c>
    </row>
    <row r="2379" spans="1:6">
      <c r="A2379" s="94">
        <v>3075000</v>
      </c>
      <c r="B2379" s="94">
        <v>3075000</v>
      </c>
      <c r="C2379" s="94">
        <v>3075000</v>
      </c>
      <c r="D2379" s="94">
        <v>3075000</v>
      </c>
      <c r="E2379" s="95">
        <v>40343</v>
      </c>
      <c r="F2379" s="96" t="s">
        <v>3547</v>
      </c>
    </row>
    <row r="2380" spans="1:6">
      <c r="A2380" s="94">
        <v>3085000</v>
      </c>
      <c r="B2380" s="94">
        <v>3085000</v>
      </c>
      <c r="C2380" s="94">
        <v>3085000</v>
      </c>
      <c r="D2380" s="94">
        <v>3085000</v>
      </c>
      <c r="E2380" s="95">
        <v>40342</v>
      </c>
      <c r="F2380" s="96" t="s">
        <v>3548</v>
      </c>
    </row>
    <row r="2381" spans="1:6">
      <c r="A2381" s="94">
        <v>3110000</v>
      </c>
      <c r="B2381" s="94">
        <v>3110000</v>
      </c>
      <c r="C2381" s="94">
        <v>3110000</v>
      </c>
      <c r="D2381" s="94">
        <v>3110000</v>
      </c>
      <c r="E2381" s="95">
        <v>40341</v>
      </c>
      <c r="F2381" s="96" t="s">
        <v>3549</v>
      </c>
    </row>
    <row r="2382" spans="1:6">
      <c r="A2382" s="94">
        <v>3100000</v>
      </c>
      <c r="B2382" s="94">
        <v>3100000</v>
      </c>
      <c r="C2382" s="94">
        <v>3100000</v>
      </c>
      <c r="D2382" s="94">
        <v>3100000</v>
      </c>
      <c r="E2382" s="95">
        <v>40339</v>
      </c>
      <c r="F2382" s="96" t="s">
        <v>3550</v>
      </c>
    </row>
    <row r="2383" spans="1:6">
      <c r="A2383" s="94">
        <v>3070000</v>
      </c>
      <c r="B2383" s="94">
        <v>3070000</v>
      </c>
      <c r="C2383" s="94">
        <v>3070000</v>
      </c>
      <c r="D2383" s="94">
        <v>3070000</v>
      </c>
      <c r="E2383" s="95">
        <v>40338</v>
      </c>
      <c r="F2383" s="96" t="s">
        <v>3551</v>
      </c>
    </row>
    <row r="2384" spans="1:6">
      <c r="A2384" s="94">
        <v>3020000</v>
      </c>
      <c r="B2384" s="94">
        <v>3020000</v>
      </c>
      <c r="C2384" s="94">
        <v>3020000</v>
      </c>
      <c r="D2384" s="94">
        <v>3020000</v>
      </c>
      <c r="E2384" s="95">
        <v>40337</v>
      </c>
      <c r="F2384" s="96" t="s">
        <v>3552</v>
      </c>
    </row>
    <row r="2385" spans="1:6">
      <c r="A2385" s="94">
        <v>3015000</v>
      </c>
      <c r="B2385" s="94">
        <v>3015000</v>
      </c>
      <c r="C2385" s="94">
        <v>3015000</v>
      </c>
      <c r="D2385" s="94">
        <v>3015000</v>
      </c>
      <c r="E2385" s="95">
        <v>40336</v>
      </c>
      <c r="F2385" s="96" t="s">
        <v>3553</v>
      </c>
    </row>
    <row r="2386" spans="1:6">
      <c r="A2386" s="94">
        <v>3020000</v>
      </c>
      <c r="B2386" s="94">
        <v>3020000</v>
      </c>
      <c r="C2386" s="94">
        <v>3020000</v>
      </c>
      <c r="D2386" s="94">
        <v>3020000</v>
      </c>
      <c r="E2386" s="95">
        <v>40335</v>
      </c>
      <c r="F2386" s="96" t="s">
        <v>3554</v>
      </c>
    </row>
    <row r="2387" spans="1:6">
      <c r="A2387" s="94">
        <v>3040000</v>
      </c>
      <c r="B2387" s="94">
        <v>3040000</v>
      </c>
      <c r="C2387" s="94">
        <v>3040000</v>
      </c>
      <c r="D2387" s="94">
        <v>3040000</v>
      </c>
      <c r="E2387" s="95">
        <v>40332</v>
      </c>
      <c r="F2387" s="96" t="s">
        <v>3555</v>
      </c>
    </row>
    <row r="2388" spans="1:6">
      <c r="A2388" s="94">
        <v>3000000</v>
      </c>
      <c r="B2388" s="94">
        <v>3000000</v>
      </c>
      <c r="C2388" s="94">
        <v>3000000</v>
      </c>
      <c r="D2388" s="94">
        <v>3000000</v>
      </c>
      <c r="E2388" s="95">
        <v>40331</v>
      </c>
      <c r="F2388" s="96" t="s">
        <v>3556</v>
      </c>
    </row>
    <row r="2389" spans="1:6">
      <c r="A2389" s="94">
        <v>2980000</v>
      </c>
      <c r="B2389" s="94">
        <v>2980000</v>
      </c>
      <c r="C2389" s="94">
        <v>2980000</v>
      </c>
      <c r="D2389" s="94">
        <v>2980000</v>
      </c>
      <c r="E2389" s="95">
        <v>40330</v>
      </c>
      <c r="F2389" s="96" t="s">
        <v>3557</v>
      </c>
    </row>
    <row r="2390" spans="1:6">
      <c r="A2390" s="94">
        <v>2970000</v>
      </c>
      <c r="B2390" s="94">
        <v>2970000</v>
      </c>
      <c r="C2390" s="94">
        <v>2970000</v>
      </c>
      <c r="D2390" s="94">
        <v>2970000</v>
      </c>
      <c r="E2390" s="95">
        <v>40329</v>
      </c>
      <c r="F2390" s="96" t="s">
        <v>3558</v>
      </c>
    </row>
    <row r="2391" spans="1:6">
      <c r="A2391" s="94">
        <v>2970000</v>
      </c>
      <c r="B2391" s="94">
        <v>2970000</v>
      </c>
      <c r="C2391" s="94">
        <v>2970000</v>
      </c>
      <c r="D2391" s="94">
        <v>2970000</v>
      </c>
      <c r="E2391" s="95">
        <v>40328</v>
      </c>
      <c r="F2391" s="96" t="s">
        <v>3559</v>
      </c>
    </row>
    <row r="2392" spans="1:6">
      <c r="A2392" s="94">
        <v>2960000</v>
      </c>
      <c r="B2392" s="94">
        <v>2960000</v>
      </c>
      <c r="C2392" s="94">
        <v>2960000</v>
      </c>
      <c r="D2392" s="94">
        <v>2960000</v>
      </c>
      <c r="E2392" s="95">
        <v>40327</v>
      </c>
      <c r="F2392" s="96" t="s">
        <v>3560</v>
      </c>
    </row>
    <row r="2393" spans="1:6">
      <c r="A2393" s="94">
        <v>2950000</v>
      </c>
      <c r="B2393" s="94">
        <v>2950000</v>
      </c>
      <c r="C2393" s="94">
        <v>2950000</v>
      </c>
      <c r="D2393" s="94">
        <v>2950000</v>
      </c>
      <c r="E2393" s="95">
        <v>40325</v>
      </c>
      <c r="F2393" s="96" t="s">
        <v>3561</v>
      </c>
    </row>
    <row r="2394" spans="1:6">
      <c r="A2394" s="94">
        <v>2910000</v>
      </c>
      <c r="B2394" s="94">
        <v>2910000</v>
      </c>
      <c r="C2394" s="94">
        <v>2910000</v>
      </c>
      <c r="D2394" s="94">
        <v>2910000</v>
      </c>
      <c r="E2394" s="95">
        <v>40324</v>
      </c>
      <c r="F2394" s="96" t="s">
        <v>3562</v>
      </c>
    </row>
    <row r="2395" spans="1:6">
      <c r="A2395" s="94">
        <v>2900000</v>
      </c>
      <c r="B2395" s="94">
        <v>2900000</v>
      </c>
      <c r="C2395" s="94">
        <v>2900000</v>
      </c>
      <c r="D2395" s="94">
        <v>2900000</v>
      </c>
      <c r="E2395" s="95">
        <v>40323</v>
      </c>
      <c r="F2395" s="96" t="s">
        <v>3563</v>
      </c>
    </row>
    <row r="2396" spans="1:6">
      <c r="A2396" s="94">
        <v>2880000</v>
      </c>
      <c r="B2396" s="94">
        <v>2880000</v>
      </c>
      <c r="C2396" s="94">
        <v>2880000</v>
      </c>
      <c r="D2396" s="94">
        <v>2880000</v>
      </c>
      <c r="E2396" s="95">
        <v>40322</v>
      </c>
      <c r="F2396" s="96" t="s">
        <v>3564</v>
      </c>
    </row>
    <row r="2397" spans="1:6">
      <c r="A2397" s="94">
        <v>2920000</v>
      </c>
      <c r="B2397" s="94">
        <v>2920000</v>
      </c>
      <c r="C2397" s="94">
        <v>2920000</v>
      </c>
      <c r="D2397" s="94">
        <v>2920000</v>
      </c>
      <c r="E2397" s="95">
        <v>40318</v>
      </c>
      <c r="F2397" s="96" t="s">
        <v>3565</v>
      </c>
    </row>
    <row r="2398" spans="1:6">
      <c r="A2398" s="94">
        <v>2880000</v>
      </c>
      <c r="B2398" s="94">
        <v>2880000</v>
      </c>
      <c r="C2398" s="94">
        <v>2880000</v>
      </c>
      <c r="D2398" s="94">
        <v>2880000</v>
      </c>
      <c r="E2398" s="95">
        <v>40321</v>
      </c>
      <c r="F2398" s="96" t="s">
        <v>3566</v>
      </c>
    </row>
    <row r="2399" spans="1:6">
      <c r="A2399" s="94">
        <v>2920000</v>
      </c>
      <c r="B2399" s="94">
        <v>2920000</v>
      </c>
      <c r="C2399" s="94">
        <v>2920000</v>
      </c>
      <c r="D2399" s="94">
        <v>2920000</v>
      </c>
      <c r="E2399" s="95">
        <v>40317</v>
      </c>
      <c r="F2399" s="96" t="s">
        <v>3567</v>
      </c>
    </row>
    <row r="2400" spans="1:6">
      <c r="A2400" s="94">
        <v>2900000</v>
      </c>
      <c r="B2400" s="94">
        <v>2900000</v>
      </c>
      <c r="C2400" s="94">
        <v>2900000</v>
      </c>
      <c r="D2400" s="94">
        <v>2900000</v>
      </c>
      <c r="E2400" s="95">
        <v>40320</v>
      </c>
      <c r="F2400" s="96" t="s">
        <v>3568</v>
      </c>
    </row>
    <row r="2401" spans="1:6">
      <c r="A2401" s="94">
        <v>2930000</v>
      </c>
      <c r="B2401" s="94">
        <v>2930000</v>
      </c>
      <c r="C2401" s="94">
        <v>2930000</v>
      </c>
      <c r="D2401" s="94">
        <v>2930000</v>
      </c>
      <c r="E2401" s="95">
        <v>40316</v>
      </c>
      <c r="F2401" s="96" t="s">
        <v>3569</v>
      </c>
    </row>
    <row r="2402" spans="1:6">
      <c r="A2402" s="94">
        <v>2950000</v>
      </c>
      <c r="B2402" s="94">
        <v>2950000</v>
      </c>
      <c r="C2402" s="94">
        <v>2950000</v>
      </c>
      <c r="D2402" s="94">
        <v>2950000</v>
      </c>
      <c r="E2402" s="95">
        <v>40313</v>
      </c>
      <c r="F2402" s="96" t="s">
        <v>3570</v>
      </c>
    </row>
    <row r="2403" spans="1:6">
      <c r="A2403" s="94">
        <v>2950000</v>
      </c>
      <c r="B2403" s="94">
        <v>2950000</v>
      </c>
      <c r="C2403" s="94">
        <v>2950000</v>
      </c>
      <c r="D2403" s="94">
        <v>2950000</v>
      </c>
      <c r="E2403" s="95">
        <v>40311</v>
      </c>
      <c r="F2403" s="96" t="s">
        <v>3571</v>
      </c>
    </row>
    <row r="2404" spans="1:6">
      <c r="A2404" s="94">
        <v>2880000</v>
      </c>
      <c r="B2404" s="94">
        <v>2880000</v>
      </c>
      <c r="C2404" s="94">
        <v>2880000</v>
      </c>
      <c r="D2404" s="94">
        <v>2880000</v>
      </c>
      <c r="E2404" s="95">
        <v>40310</v>
      </c>
      <c r="F2404" s="96" t="s">
        <v>3572</v>
      </c>
    </row>
    <row r="2405" spans="1:6">
      <c r="A2405" s="94">
        <v>2870000</v>
      </c>
      <c r="B2405" s="94">
        <v>2870000</v>
      </c>
      <c r="C2405" s="94">
        <v>2870000</v>
      </c>
      <c r="D2405" s="94">
        <v>2870000</v>
      </c>
      <c r="E2405" s="95">
        <v>40309</v>
      </c>
      <c r="F2405" s="96" t="s">
        <v>3573</v>
      </c>
    </row>
    <row r="2406" spans="1:6">
      <c r="A2406" s="94">
        <v>2890000</v>
      </c>
      <c r="B2406" s="94">
        <v>2890000</v>
      </c>
      <c r="C2406" s="94">
        <v>2890000</v>
      </c>
      <c r="D2406" s="94">
        <v>2890000</v>
      </c>
      <c r="E2406" s="95">
        <v>40308</v>
      </c>
      <c r="F2406" s="96" t="s">
        <v>3574</v>
      </c>
    </row>
    <row r="2407" spans="1:6">
      <c r="A2407" s="94">
        <v>2900000</v>
      </c>
      <c r="B2407" s="94">
        <v>2900000</v>
      </c>
      <c r="C2407" s="94">
        <v>2900000</v>
      </c>
      <c r="D2407" s="94">
        <v>2900000</v>
      </c>
      <c r="E2407" s="95">
        <v>40307</v>
      </c>
      <c r="F2407" s="96" t="s">
        <v>3575</v>
      </c>
    </row>
    <row r="2408" spans="1:6">
      <c r="A2408" s="94">
        <v>2820000</v>
      </c>
      <c r="B2408" s="94">
        <v>2820000</v>
      </c>
      <c r="C2408" s="94">
        <v>2820000</v>
      </c>
      <c r="D2408" s="94">
        <v>2820000</v>
      </c>
      <c r="E2408" s="95">
        <v>40306</v>
      </c>
      <c r="F2408" s="96" t="s">
        <v>3576</v>
      </c>
    </row>
    <row r="2409" spans="1:6">
      <c r="A2409" s="94">
        <v>2870000</v>
      </c>
      <c r="B2409" s="94">
        <v>2870000</v>
      </c>
      <c r="C2409" s="94">
        <v>2870000</v>
      </c>
      <c r="D2409" s="94">
        <v>2870000</v>
      </c>
      <c r="E2409" s="95">
        <v>40304</v>
      </c>
      <c r="F2409" s="96" t="s">
        <v>3577</v>
      </c>
    </row>
    <row r="2410" spans="1:6">
      <c r="A2410" s="94">
        <v>2825000</v>
      </c>
      <c r="B2410" s="94">
        <v>2825000</v>
      </c>
      <c r="C2410" s="94">
        <v>2825000</v>
      </c>
      <c r="D2410" s="94">
        <v>2825000</v>
      </c>
      <c r="E2410" s="95">
        <v>40303</v>
      </c>
      <c r="F2410" s="96" t="s">
        <v>3578</v>
      </c>
    </row>
    <row r="2411" spans="1:6">
      <c r="A2411" s="94">
        <v>2820000</v>
      </c>
      <c r="B2411" s="94">
        <v>2820000</v>
      </c>
      <c r="C2411" s="94">
        <v>2820000</v>
      </c>
      <c r="D2411" s="94">
        <v>2820000</v>
      </c>
      <c r="E2411" s="95">
        <v>40302</v>
      </c>
      <c r="F2411" s="96" t="s">
        <v>3579</v>
      </c>
    </row>
    <row r="2412" spans="1:6">
      <c r="A2412" s="94">
        <v>2830000</v>
      </c>
      <c r="B2412" s="94">
        <v>2830000</v>
      </c>
      <c r="C2412" s="94">
        <v>2830000</v>
      </c>
      <c r="D2412" s="94">
        <v>2830000</v>
      </c>
      <c r="E2412" s="95">
        <v>40301</v>
      </c>
      <c r="F2412" s="96" t="s">
        <v>3580</v>
      </c>
    </row>
    <row r="2413" spans="1:6">
      <c r="A2413" s="94">
        <v>2830000</v>
      </c>
      <c r="B2413" s="94">
        <v>2830000</v>
      </c>
      <c r="C2413" s="94">
        <v>2830000</v>
      </c>
      <c r="D2413" s="94">
        <v>2830000</v>
      </c>
      <c r="E2413" s="95">
        <v>40300</v>
      </c>
      <c r="F2413" s="96" t="s">
        <v>3581</v>
      </c>
    </row>
    <row r="2414" spans="1:6">
      <c r="A2414" s="94">
        <v>2780000</v>
      </c>
      <c r="B2414" s="94">
        <v>2780000</v>
      </c>
      <c r="C2414" s="94">
        <v>2780000</v>
      </c>
      <c r="D2414" s="94">
        <v>2780000</v>
      </c>
      <c r="E2414" s="95">
        <v>40299</v>
      </c>
      <c r="F2414" s="96" t="s">
        <v>3582</v>
      </c>
    </row>
    <row r="2415" spans="1:6">
      <c r="A2415" s="94">
        <v>2780000</v>
      </c>
      <c r="B2415" s="94">
        <v>2780000</v>
      </c>
      <c r="C2415" s="94">
        <v>2780000</v>
      </c>
      <c r="D2415" s="94">
        <v>2780000</v>
      </c>
      <c r="E2415" s="95">
        <v>40297</v>
      </c>
      <c r="F2415" s="96" t="s">
        <v>3583</v>
      </c>
    </row>
    <row r="2416" spans="1:6">
      <c r="A2416" s="94">
        <v>2850000</v>
      </c>
      <c r="B2416" s="94">
        <v>2850000</v>
      </c>
      <c r="C2416" s="94">
        <v>2850000</v>
      </c>
      <c r="D2416" s="94">
        <v>2850000</v>
      </c>
      <c r="E2416" s="95">
        <v>40296</v>
      </c>
      <c r="F2416" s="96" t="s">
        <v>3584</v>
      </c>
    </row>
    <row r="2417" spans="1:6">
      <c r="A2417" s="94">
        <v>2750000</v>
      </c>
      <c r="B2417" s="94">
        <v>2750000</v>
      </c>
      <c r="C2417" s="94">
        <v>2750000</v>
      </c>
      <c r="D2417" s="94">
        <v>2750000</v>
      </c>
      <c r="E2417" s="95">
        <v>40295</v>
      </c>
      <c r="F2417" s="96" t="s">
        <v>3585</v>
      </c>
    </row>
    <row r="2418" spans="1:6">
      <c r="A2418" s="94">
        <v>2770000</v>
      </c>
      <c r="B2418" s="94">
        <v>2770000</v>
      </c>
      <c r="C2418" s="94">
        <v>2770000</v>
      </c>
      <c r="D2418" s="94">
        <v>2770000</v>
      </c>
      <c r="E2418" s="95">
        <v>40293</v>
      </c>
      <c r="F2418" s="96" t="s">
        <v>3586</v>
      </c>
    </row>
    <row r="2419" spans="1:6">
      <c r="A2419" s="94">
        <v>2740000</v>
      </c>
      <c r="B2419" s="94">
        <v>2740000</v>
      </c>
      <c r="C2419" s="94">
        <v>2740000</v>
      </c>
      <c r="D2419" s="94">
        <v>2740000</v>
      </c>
      <c r="E2419" s="95">
        <v>40292</v>
      </c>
      <c r="F2419" s="96" t="s">
        <v>3587</v>
      </c>
    </row>
    <row r="2420" spans="1:6">
      <c r="A2420" s="94">
        <v>2730000</v>
      </c>
      <c r="B2420" s="94">
        <v>2730000</v>
      </c>
      <c r="C2420" s="94">
        <v>2730000</v>
      </c>
      <c r="D2420" s="94">
        <v>2730000</v>
      </c>
      <c r="E2420" s="95">
        <v>40290</v>
      </c>
      <c r="F2420" s="96" t="s">
        <v>3588</v>
      </c>
    </row>
    <row r="2421" spans="1:6">
      <c r="A2421" s="94">
        <v>2710000</v>
      </c>
      <c r="B2421" s="94">
        <v>2710000</v>
      </c>
      <c r="C2421" s="94">
        <v>2710000</v>
      </c>
      <c r="D2421" s="94">
        <v>2710000</v>
      </c>
      <c r="E2421" s="95">
        <v>40289</v>
      </c>
      <c r="F2421" s="96" t="s">
        <v>3589</v>
      </c>
    </row>
    <row r="2422" spans="1:6">
      <c r="A2422" s="94">
        <v>2710000</v>
      </c>
      <c r="B2422" s="94">
        <v>2710000</v>
      </c>
      <c r="C2422" s="94">
        <v>2710000</v>
      </c>
      <c r="D2422" s="94">
        <v>2710000</v>
      </c>
      <c r="E2422" s="95">
        <v>40288</v>
      </c>
      <c r="F2422" s="96" t="s">
        <v>3590</v>
      </c>
    </row>
    <row r="2423" spans="1:6">
      <c r="A2423" s="94">
        <v>2715000</v>
      </c>
      <c r="B2423" s="94">
        <v>2715000</v>
      </c>
      <c r="C2423" s="94">
        <v>2715000</v>
      </c>
      <c r="D2423" s="94">
        <v>2715000</v>
      </c>
      <c r="E2423" s="95">
        <v>40287</v>
      </c>
      <c r="F2423" s="96" t="s">
        <v>3591</v>
      </c>
    </row>
    <row r="2424" spans="1:6">
      <c r="A2424" s="94">
        <v>2720000</v>
      </c>
      <c r="B2424" s="94">
        <v>2720000</v>
      </c>
      <c r="C2424" s="94">
        <v>2720000</v>
      </c>
      <c r="D2424" s="94">
        <v>2720000</v>
      </c>
      <c r="E2424" s="95">
        <v>40286</v>
      </c>
      <c r="F2424" s="96" t="s">
        <v>3592</v>
      </c>
    </row>
    <row r="2425" spans="1:6">
      <c r="A2425" s="94">
        <v>2740000</v>
      </c>
      <c r="B2425" s="94">
        <v>2740000</v>
      </c>
      <c r="C2425" s="94">
        <v>2740000</v>
      </c>
      <c r="D2425" s="94">
        <v>2740000</v>
      </c>
      <c r="E2425" s="95">
        <v>40285</v>
      </c>
      <c r="F2425" s="96" t="s">
        <v>3593</v>
      </c>
    </row>
    <row r="2426" spans="1:6">
      <c r="A2426" s="94">
        <v>2745000</v>
      </c>
      <c r="B2426" s="94">
        <v>2745000</v>
      </c>
      <c r="C2426" s="94">
        <v>2745000</v>
      </c>
      <c r="D2426" s="94">
        <v>2745000</v>
      </c>
      <c r="E2426" s="95">
        <v>40283</v>
      </c>
      <c r="F2426" s="96" t="s">
        <v>3594</v>
      </c>
    </row>
    <row r="2427" spans="1:6">
      <c r="A2427" s="94">
        <v>2750000</v>
      </c>
      <c r="B2427" s="94">
        <v>2750000</v>
      </c>
      <c r="C2427" s="94">
        <v>2750000</v>
      </c>
      <c r="D2427" s="94">
        <v>2750000</v>
      </c>
      <c r="E2427" s="95">
        <v>40282</v>
      </c>
      <c r="F2427" s="96" t="s">
        <v>3595</v>
      </c>
    </row>
    <row r="2428" spans="1:6">
      <c r="A2428" s="94">
        <v>2760000</v>
      </c>
      <c r="B2428" s="94">
        <v>2760000</v>
      </c>
      <c r="C2428" s="94">
        <v>2760000</v>
      </c>
      <c r="D2428" s="94">
        <v>2760000</v>
      </c>
      <c r="E2428" s="95">
        <v>40281</v>
      </c>
      <c r="F2428" s="96" t="s">
        <v>3596</v>
      </c>
    </row>
    <row r="2429" spans="1:6">
      <c r="A2429" s="94">
        <v>2750000</v>
      </c>
      <c r="B2429" s="94">
        <v>2750000</v>
      </c>
      <c r="C2429" s="94">
        <v>2750000</v>
      </c>
      <c r="D2429" s="94">
        <v>2750000</v>
      </c>
      <c r="E2429" s="95">
        <v>40280</v>
      </c>
      <c r="F2429" s="96" t="s">
        <v>3597</v>
      </c>
    </row>
    <row r="2430" spans="1:6">
      <c r="A2430" s="94">
        <v>2720000</v>
      </c>
      <c r="B2430" s="94">
        <v>2720000</v>
      </c>
      <c r="C2430" s="94">
        <v>2720000</v>
      </c>
      <c r="D2430" s="94">
        <v>2720000</v>
      </c>
      <c r="E2430" s="95">
        <v>40278</v>
      </c>
      <c r="F2430" s="96" t="s">
        <v>3598</v>
      </c>
    </row>
    <row r="2431" spans="1:6">
      <c r="A2431" s="94">
        <v>2710000</v>
      </c>
      <c r="B2431" s="94">
        <v>2710000</v>
      </c>
      <c r="C2431" s="94">
        <v>2710000</v>
      </c>
      <c r="D2431" s="94">
        <v>2710000</v>
      </c>
      <c r="E2431" s="95">
        <v>40276</v>
      </c>
      <c r="F2431" s="96" t="s">
        <v>3599</v>
      </c>
    </row>
    <row r="2432" spans="1:6">
      <c r="A2432" s="94">
        <v>2680000</v>
      </c>
      <c r="B2432" s="94">
        <v>2680000</v>
      </c>
      <c r="C2432" s="94">
        <v>2680000</v>
      </c>
      <c r="D2432" s="94">
        <v>2680000</v>
      </c>
      <c r="E2432" s="95">
        <v>40275</v>
      </c>
      <c r="F2432" s="96" t="s">
        <v>3600</v>
      </c>
    </row>
    <row r="2433" spans="1:6">
      <c r="A2433" s="94">
        <v>2680000</v>
      </c>
      <c r="B2433" s="94">
        <v>2680000</v>
      </c>
      <c r="C2433" s="94">
        <v>2680000</v>
      </c>
      <c r="D2433" s="94">
        <v>2680000</v>
      </c>
      <c r="E2433" s="95">
        <v>40274</v>
      </c>
      <c r="F2433" s="96" t="s">
        <v>3601</v>
      </c>
    </row>
    <row r="2434" spans="1:6">
      <c r="A2434" s="94">
        <v>2680000</v>
      </c>
      <c r="B2434" s="94">
        <v>2680000</v>
      </c>
      <c r="C2434" s="94">
        <v>2680000</v>
      </c>
      <c r="D2434" s="94">
        <v>2680000</v>
      </c>
      <c r="E2434" s="95">
        <v>40273</v>
      </c>
      <c r="F2434" s="96" t="s">
        <v>3602</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customWidth="1"/>
    <col min="2" max="2" width="13.7109375" customWidth="1"/>
    <col min="3" max="3" width="10.7109375" bestFit="1" customWidth="1"/>
    <col min="4" max="7" width="15.140625" bestFit="1" customWidth="1"/>
    <col min="9" max="9" width="17.28515625" hidden="1" customWidth="1"/>
    <col min="10" max="10" width="14.140625" hidden="1" customWidth="1"/>
    <col min="11" max="11" width="15.140625" hidden="1" customWidth="1"/>
    <col min="12" max="12" width="15.85546875" hidden="1" customWidth="1"/>
    <col min="13" max="13" width="12.7109375" hidden="1" customWidth="1"/>
    <col min="14" max="14" width="15.85546875" hidden="1" customWidth="1"/>
    <col min="15" max="15" width="14.85546875" bestFit="1" customWidth="1"/>
    <col min="16" max="16" width="14.85546875" style="99" customWidth="1"/>
    <col min="17" max="17" width="20.28515625" style="99" bestFit="1" customWidth="1"/>
    <col min="19" max="19" width="20.7109375" customWidth="1"/>
    <col min="20" max="20" width="14.140625" bestFit="1" customWidth="1"/>
    <col min="21" max="21" width="16.140625" bestFit="1" customWidth="1"/>
    <col min="22" max="22" width="15.85546875" bestFit="1" customWidth="1"/>
    <col min="23" max="23" width="14.140625" bestFit="1" customWidth="1"/>
    <col min="24" max="24" width="15.85546875" bestFit="1" customWidth="1"/>
    <col min="25" max="25" width="23.85546875" bestFit="1" customWidth="1"/>
    <col min="26" max="26" width="16.140625" bestFit="1" customWidth="1"/>
  </cols>
  <sheetData>
    <row r="1" spans="1:35">
      <c r="A1" t="s">
        <v>3603</v>
      </c>
      <c r="B1" t="s">
        <v>1312</v>
      </c>
      <c r="C1" t="s">
        <v>1311</v>
      </c>
      <c r="D1" t="s">
        <v>1307</v>
      </c>
      <c r="E1" t="s">
        <v>1308</v>
      </c>
      <c r="F1" t="s">
        <v>1309</v>
      </c>
      <c r="G1" t="s">
        <v>1310</v>
      </c>
      <c r="I1" t="s">
        <v>3611</v>
      </c>
      <c r="J1" t="s">
        <v>1091</v>
      </c>
      <c r="K1" t="s">
        <v>1198</v>
      </c>
      <c r="L1" t="s">
        <v>3612</v>
      </c>
      <c r="M1" t="s">
        <v>3613</v>
      </c>
      <c r="N1" t="s">
        <v>191</v>
      </c>
      <c r="O1" t="s">
        <v>3616</v>
      </c>
      <c r="P1" s="99" t="s">
        <v>3617</v>
      </c>
      <c r="Q1" s="99" t="s">
        <v>3618</v>
      </c>
      <c r="R1" t="s">
        <v>900</v>
      </c>
      <c r="S1" t="s">
        <v>3614</v>
      </c>
      <c r="T1" t="s">
        <v>1091</v>
      </c>
      <c r="U1" t="s">
        <v>1198</v>
      </c>
      <c r="V1" t="s">
        <v>3615</v>
      </c>
      <c r="W1" t="s">
        <v>3613</v>
      </c>
      <c r="X1" t="s">
        <v>191</v>
      </c>
    </row>
    <row r="2" spans="1:35">
      <c r="A2">
        <v>1</v>
      </c>
      <c r="B2" s="96" t="s">
        <v>3602</v>
      </c>
      <c r="C2" s="95">
        <v>40273</v>
      </c>
      <c r="D2" s="82">
        <v>2680000</v>
      </c>
      <c r="E2" s="82">
        <v>2680000</v>
      </c>
      <c r="F2" s="82">
        <v>2680000</v>
      </c>
      <c r="G2" s="82">
        <v>2680000</v>
      </c>
      <c r="I2" s="82">
        <f>G2*1.1</f>
        <v>2948000.0000000005</v>
      </c>
      <c r="J2" s="82">
        <f>G2/3</f>
        <v>893333.33333333337</v>
      </c>
      <c r="K2" s="7">
        <f>G270</f>
        <v>3930000</v>
      </c>
      <c r="L2" s="7">
        <f>K2-I2</f>
        <v>981999.99999999953</v>
      </c>
      <c r="M2" s="7">
        <f t="shared" ref="M2:M65" si="0">J2*$AI$6/200</f>
        <v>111666.66666666669</v>
      </c>
      <c r="N2" s="7">
        <f t="shared" ref="N2:N7" si="1">L2+M2</f>
        <v>1093666.6666666663</v>
      </c>
      <c r="R2">
        <v>1</v>
      </c>
      <c r="S2" s="7">
        <f>G2*1.1</f>
        <v>2948000.0000000005</v>
      </c>
      <c r="T2" s="7">
        <f>G2/3</f>
        <v>893333.33333333337</v>
      </c>
      <c r="U2" s="7">
        <f>G270</f>
        <v>3930000</v>
      </c>
      <c r="V2" s="7">
        <f>(U2-S2)*R2</f>
        <v>981999.99999999953</v>
      </c>
      <c r="W2" s="7">
        <f>(T2*$AI$6/200)*R2</f>
        <v>111666.66666666669</v>
      </c>
      <c r="X2" s="7">
        <f>V2+W2</f>
        <v>1093666.6666666663</v>
      </c>
    </row>
    <row r="3" spans="1:35">
      <c r="A3">
        <v>2</v>
      </c>
      <c r="B3" s="96" t="s">
        <v>3601</v>
      </c>
      <c r="C3" s="95">
        <v>40274</v>
      </c>
      <c r="D3" s="82">
        <v>2680000</v>
      </c>
      <c r="E3" s="82">
        <v>2680000</v>
      </c>
      <c r="F3" s="82">
        <v>2680000</v>
      </c>
      <c r="G3" s="82">
        <v>2680000</v>
      </c>
      <c r="I3" s="97">
        <v>0</v>
      </c>
      <c r="J3" s="97">
        <v>0</v>
      </c>
      <c r="K3" s="97">
        <v>0</v>
      </c>
      <c r="M3" s="7">
        <f t="shared" si="0"/>
        <v>0</v>
      </c>
      <c r="N3" s="7">
        <f t="shared" si="1"/>
        <v>0</v>
      </c>
      <c r="O3" s="7">
        <f>G3-G2</f>
        <v>0</v>
      </c>
      <c r="P3" s="99">
        <f t="shared" ref="P3:P66" si="2">O3/G2</f>
        <v>0</v>
      </c>
      <c r="R3">
        <v>0</v>
      </c>
      <c r="S3" s="7">
        <f t="shared" ref="S3:S66" si="3">G3*1.1</f>
        <v>2948000.0000000005</v>
      </c>
      <c r="T3" s="7">
        <f t="shared" ref="T3:T66" si="4">G3/3</f>
        <v>893333.33333333337</v>
      </c>
      <c r="U3" s="7">
        <f t="shared" ref="U3:U66" si="5">G271</f>
        <v>4020000</v>
      </c>
      <c r="V3" s="7">
        <f t="shared" ref="V3:V66" si="6">(U3-S3)*R3</f>
        <v>0</v>
      </c>
      <c r="W3" s="7">
        <f t="shared" ref="W3:W66" si="7">(T3*$AI$6/200)*R3</f>
        <v>0</v>
      </c>
      <c r="X3" s="7">
        <f t="shared" ref="X3:X66" si="8">V3+W3</f>
        <v>0</v>
      </c>
    </row>
    <row r="4" spans="1:35">
      <c r="A4">
        <v>3</v>
      </c>
      <c r="B4" s="96" t="s">
        <v>3600</v>
      </c>
      <c r="C4" s="95">
        <v>40275</v>
      </c>
      <c r="D4" s="82">
        <v>2680000</v>
      </c>
      <c r="E4" s="82">
        <v>2680000</v>
      </c>
      <c r="F4" s="82">
        <v>2680000</v>
      </c>
      <c r="G4" s="82">
        <v>2680000</v>
      </c>
      <c r="I4" s="97">
        <v>0</v>
      </c>
      <c r="J4" s="97">
        <v>0</v>
      </c>
      <c r="K4" s="97">
        <v>0</v>
      </c>
      <c r="M4" s="7">
        <f t="shared" si="0"/>
        <v>0</v>
      </c>
      <c r="N4" s="7">
        <f t="shared" si="1"/>
        <v>0</v>
      </c>
      <c r="O4" s="7">
        <f t="shared" ref="O4:O67" si="9">G4-G3</f>
        <v>0</v>
      </c>
      <c r="P4" s="99">
        <f t="shared" si="2"/>
        <v>0</v>
      </c>
      <c r="R4">
        <v>0</v>
      </c>
      <c r="S4" s="7">
        <f t="shared" si="3"/>
        <v>2948000.0000000005</v>
      </c>
      <c r="T4" s="7">
        <f t="shared" si="4"/>
        <v>893333.33333333337</v>
      </c>
      <c r="U4" s="7">
        <f t="shared" si="5"/>
        <v>4040000</v>
      </c>
      <c r="V4" s="7">
        <f t="shared" si="6"/>
        <v>0</v>
      </c>
      <c r="W4" s="7">
        <f t="shared" si="7"/>
        <v>0</v>
      </c>
      <c r="X4" s="7">
        <f t="shared" si="8"/>
        <v>0</v>
      </c>
      <c r="AB4" t="s">
        <v>3604</v>
      </c>
      <c r="AC4" t="s">
        <v>3605</v>
      </c>
      <c r="AD4" t="s">
        <v>3606</v>
      </c>
      <c r="AE4" t="s">
        <v>3607</v>
      </c>
      <c r="AH4" t="s">
        <v>3608</v>
      </c>
      <c r="AI4" s="82">
        <v>100000000</v>
      </c>
    </row>
    <row r="5" spans="1:35">
      <c r="A5">
        <v>4</v>
      </c>
      <c r="B5" s="96" t="s">
        <v>3599</v>
      </c>
      <c r="C5" s="95">
        <v>40276</v>
      </c>
      <c r="D5" s="82">
        <v>2710000</v>
      </c>
      <c r="E5" s="82">
        <v>2710000</v>
      </c>
      <c r="F5" s="82">
        <v>2710000</v>
      </c>
      <c r="G5" s="82">
        <v>2710000</v>
      </c>
      <c r="I5" s="97">
        <v>0</v>
      </c>
      <c r="J5" s="97">
        <v>0</v>
      </c>
      <c r="K5" s="97">
        <v>0</v>
      </c>
      <c r="M5" s="7">
        <f t="shared" si="0"/>
        <v>0</v>
      </c>
      <c r="N5" s="7">
        <f t="shared" si="1"/>
        <v>0</v>
      </c>
      <c r="O5" s="7">
        <f t="shared" si="9"/>
        <v>30000</v>
      </c>
      <c r="P5" s="99">
        <f t="shared" si="2"/>
        <v>1.1194029850746268E-2</v>
      </c>
      <c r="R5">
        <v>0</v>
      </c>
      <c r="S5" s="7">
        <f t="shared" si="3"/>
        <v>2981000.0000000005</v>
      </c>
      <c r="T5" s="7">
        <f t="shared" si="4"/>
        <v>903333.33333333337</v>
      </c>
      <c r="U5" s="7">
        <f t="shared" si="5"/>
        <v>4060000</v>
      </c>
      <c r="V5" s="7">
        <f t="shared" si="6"/>
        <v>0</v>
      </c>
      <c r="W5" s="7">
        <f t="shared" si="7"/>
        <v>0</v>
      </c>
      <c r="X5" s="7">
        <f t="shared" si="8"/>
        <v>0</v>
      </c>
    </row>
    <row r="6" spans="1:35">
      <c r="A6">
        <v>5</v>
      </c>
      <c r="B6" s="96" t="s">
        <v>3598</v>
      </c>
      <c r="C6" s="95">
        <v>40278</v>
      </c>
      <c r="D6" s="82">
        <v>2720000</v>
      </c>
      <c r="E6" s="82">
        <v>2720000</v>
      </c>
      <c r="F6" s="82">
        <v>2720000</v>
      </c>
      <c r="G6" s="82">
        <v>2720000</v>
      </c>
      <c r="I6" s="98">
        <v>0</v>
      </c>
      <c r="J6" s="98">
        <v>0</v>
      </c>
      <c r="K6" s="98">
        <v>0</v>
      </c>
      <c r="M6" s="7">
        <f t="shared" si="0"/>
        <v>0</v>
      </c>
      <c r="N6" s="7">
        <f t="shared" si="1"/>
        <v>0</v>
      </c>
      <c r="O6" s="7">
        <f t="shared" si="9"/>
        <v>10000</v>
      </c>
      <c r="P6" s="99">
        <f t="shared" si="2"/>
        <v>3.6900369003690036E-3</v>
      </c>
      <c r="R6">
        <v>0</v>
      </c>
      <c r="S6" s="7">
        <f t="shared" si="3"/>
        <v>2992000.0000000005</v>
      </c>
      <c r="T6" s="7">
        <f t="shared" si="4"/>
        <v>906666.66666666663</v>
      </c>
      <c r="U6" s="7">
        <f t="shared" si="5"/>
        <v>4140000</v>
      </c>
      <c r="V6" s="7">
        <f t="shared" si="6"/>
        <v>0</v>
      </c>
      <c r="W6" s="7">
        <f t="shared" si="7"/>
        <v>0</v>
      </c>
      <c r="X6" s="7">
        <f t="shared" si="8"/>
        <v>0</v>
      </c>
      <c r="AH6" t="s">
        <v>3609</v>
      </c>
      <c r="AI6">
        <v>25</v>
      </c>
    </row>
    <row r="7" spans="1:35">
      <c r="A7">
        <v>6</v>
      </c>
      <c r="B7" s="96" t="s">
        <v>3597</v>
      </c>
      <c r="C7" s="95">
        <v>40280</v>
      </c>
      <c r="D7" s="82">
        <v>2750000</v>
      </c>
      <c r="E7" s="82">
        <v>2750000</v>
      </c>
      <c r="F7" s="82">
        <v>2750000</v>
      </c>
      <c r="G7" s="82">
        <v>2750000</v>
      </c>
      <c r="I7" s="82">
        <f>G7*1.1</f>
        <v>3025000.0000000005</v>
      </c>
      <c r="J7" s="82">
        <f>G7/3</f>
        <v>916666.66666666663</v>
      </c>
      <c r="K7" s="7">
        <f>G275</f>
        <v>4140000</v>
      </c>
      <c r="L7" s="7">
        <f>K7-I7</f>
        <v>1114999.9999999995</v>
      </c>
      <c r="M7" s="7">
        <f t="shared" si="0"/>
        <v>114583.33333333331</v>
      </c>
      <c r="N7" s="7">
        <f t="shared" si="1"/>
        <v>1229583.3333333328</v>
      </c>
      <c r="O7" s="7">
        <f t="shared" si="9"/>
        <v>30000</v>
      </c>
      <c r="P7" s="99">
        <f t="shared" si="2"/>
        <v>1.1029411764705883E-2</v>
      </c>
      <c r="Q7" s="99">
        <f>SUM(P2:P6)</f>
        <v>1.4884066751115272E-2</v>
      </c>
      <c r="R7">
        <v>1</v>
      </c>
      <c r="S7" s="7">
        <f t="shared" si="3"/>
        <v>3025000.0000000005</v>
      </c>
      <c r="T7" s="7">
        <f t="shared" si="4"/>
        <v>916666.66666666663</v>
      </c>
      <c r="U7" s="7">
        <f t="shared" si="5"/>
        <v>4140000</v>
      </c>
      <c r="V7" s="7">
        <f t="shared" si="6"/>
        <v>1114999.9999999995</v>
      </c>
      <c r="W7" s="7">
        <f t="shared" si="7"/>
        <v>114583.33333333331</v>
      </c>
      <c r="X7" s="7">
        <f t="shared" si="8"/>
        <v>1229583.3333333328</v>
      </c>
    </row>
    <row r="8" spans="1:35">
      <c r="A8">
        <v>7</v>
      </c>
      <c r="B8" s="96" t="s">
        <v>3596</v>
      </c>
      <c r="C8" s="95">
        <v>40281</v>
      </c>
      <c r="D8" s="82">
        <v>2760000</v>
      </c>
      <c r="E8" s="82">
        <v>2760000</v>
      </c>
      <c r="F8" s="82">
        <v>2760000</v>
      </c>
      <c r="G8" s="82">
        <v>2760000</v>
      </c>
      <c r="I8" s="97">
        <v>0</v>
      </c>
      <c r="J8" s="97">
        <v>0</v>
      </c>
      <c r="K8" s="97">
        <v>0</v>
      </c>
      <c r="M8" s="7">
        <f t="shared" si="0"/>
        <v>0</v>
      </c>
      <c r="N8" s="7">
        <f t="shared" ref="N8:N71" si="10">L8+M8</f>
        <v>0</v>
      </c>
      <c r="O8" s="7">
        <f t="shared" si="9"/>
        <v>10000</v>
      </c>
      <c r="P8" s="99">
        <f t="shared" si="2"/>
        <v>3.6363636363636364E-3</v>
      </c>
      <c r="Q8" s="99">
        <f>SUM(P3:P7)</f>
        <v>2.5913478515821153E-2</v>
      </c>
      <c r="S8" s="7">
        <f t="shared" si="3"/>
        <v>3036000.0000000005</v>
      </c>
      <c r="T8" s="7">
        <f t="shared" si="4"/>
        <v>920000</v>
      </c>
      <c r="U8" s="7">
        <f t="shared" si="5"/>
        <v>4190000</v>
      </c>
      <c r="V8" s="7">
        <f t="shared" si="6"/>
        <v>0</v>
      </c>
      <c r="W8" s="7">
        <f t="shared" si="7"/>
        <v>0</v>
      </c>
      <c r="X8" s="7">
        <f t="shared" si="8"/>
        <v>0</v>
      </c>
    </row>
    <row r="9" spans="1:35">
      <c r="A9">
        <v>8</v>
      </c>
      <c r="B9" s="96" t="s">
        <v>3595</v>
      </c>
      <c r="C9" s="95">
        <v>40282</v>
      </c>
      <c r="D9" s="82">
        <v>2750000</v>
      </c>
      <c r="E9" s="82">
        <v>2750000</v>
      </c>
      <c r="F9" s="82">
        <v>2750000</v>
      </c>
      <c r="G9" s="82">
        <v>2750000</v>
      </c>
      <c r="I9" s="97">
        <v>0</v>
      </c>
      <c r="J9" s="97">
        <v>0</v>
      </c>
      <c r="K9" s="97">
        <v>0</v>
      </c>
      <c r="M9" s="7">
        <f t="shared" si="0"/>
        <v>0</v>
      </c>
      <c r="N9" s="7">
        <f t="shared" si="10"/>
        <v>0</v>
      </c>
      <c r="O9" s="7">
        <f t="shared" si="9"/>
        <v>-10000</v>
      </c>
      <c r="P9" s="99">
        <f t="shared" si="2"/>
        <v>-3.6231884057971015E-3</v>
      </c>
      <c r="Q9" s="99">
        <f t="shared" ref="Q9:Q71" si="11">SUM(P4:P8)</f>
        <v>2.9549842152184789E-2</v>
      </c>
      <c r="S9" s="7">
        <f t="shared" si="3"/>
        <v>3025000.0000000005</v>
      </c>
      <c r="T9" s="7">
        <f t="shared" si="4"/>
        <v>916666.66666666663</v>
      </c>
      <c r="U9" s="7">
        <f t="shared" si="5"/>
        <v>4200000</v>
      </c>
      <c r="V9" s="7">
        <f t="shared" si="6"/>
        <v>0</v>
      </c>
      <c r="W9" s="7">
        <f t="shared" si="7"/>
        <v>0</v>
      </c>
      <c r="X9" s="7">
        <f t="shared" si="8"/>
        <v>0</v>
      </c>
    </row>
    <row r="10" spans="1:35">
      <c r="A10">
        <v>9</v>
      </c>
      <c r="B10" s="96" t="s">
        <v>3594</v>
      </c>
      <c r="C10" s="95">
        <v>40283</v>
      </c>
      <c r="D10" s="82">
        <v>2745000</v>
      </c>
      <c r="E10" s="82">
        <v>2745000</v>
      </c>
      <c r="F10" s="82">
        <v>2745000</v>
      </c>
      <c r="G10" s="82">
        <v>2745000</v>
      </c>
      <c r="I10" s="97">
        <v>0</v>
      </c>
      <c r="J10" s="97">
        <v>0</v>
      </c>
      <c r="K10" s="97">
        <v>0</v>
      </c>
      <c r="M10" s="7">
        <f t="shared" si="0"/>
        <v>0</v>
      </c>
      <c r="N10" s="7">
        <f t="shared" si="10"/>
        <v>0</v>
      </c>
      <c r="O10" s="7">
        <f t="shared" si="9"/>
        <v>-5000</v>
      </c>
      <c r="P10" s="99">
        <f t="shared" si="2"/>
        <v>-1.8181818181818182E-3</v>
      </c>
      <c r="Q10" s="99">
        <f t="shared" si="11"/>
        <v>2.5926653746387689E-2</v>
      </c>
      <c r="S10" s="7">
        <f t="shared" si="3"/>
        <v>3019500.0000000005</v>
      </c>
      <c r="T10" s="7">
        <f t="shared" si="4"/>
        <v>915000</v>
      </c>
      <c r="U10" s="7">
        <f t="shared" si="5"/>
        <v>4300000</v>
      </c>
      <c r="V10" s="7">
        <f t="shared" si="6"/>
        <v>0</v>
      </c>
      <c r="W10" s="7">
        <f t="shared" si="7"/>
        <v>0</v>
      </c>
      <c r="X10" s="7">
        <f t="shared" si="8"/>
        <v>0</v>
      </c>
      <c r="AH10" t="s">
        <v>3610</v>
      </c>
      <c r="AI10" s="82">
        <f>AI4*(1+AI6/100)^8</f>
        <v>596046447.75390625</v>
      </c>
    </row>
    <row r="11" spans="1:35">
      <c r="A11">
        <v>10</v>
      </c>
      <c r="B11" s="96" t="s">
        <v>3593</v>
      </c>
      <c r="C11" s="95">
        <v>40285</v>
      </c>
      <c r="D11" s="82">
        <v>2740000</v>
      </c>
      <c r="E11" s="82">
        <v>2740000</v>
      </c>
      <c r="F11" s="82">
        <v>2740000</v>
      </c>
      <c r="G11" s="82">
        <v>2740000</v>
      </c>
      <c r="I11" s="98">
        <v>0</v>
      </c>
      <c r="J11" s="98">
        <v>0</v>
      </c>
      <c r="K11" s="98">
        <v>0</v>
      </c>
      <c r="M11" s="7">
        <f t="shared" si="0"/>
        <v>0</v>
      </c>
      <c r="N11" s="7">
        <f t="shared" si="10"/>
        <v>0</v>
      </c>
      <c r="O11" s="7">
        <f t="shared" si="9"/>
        <v>-5000</v>
      </c>
      <c r="P11" s="99">
        <f t="shared" si="2"/>
        <v>-1.8214936247723133E-3</v>
      </c>
      <c r="Q11" s="99">
        <f t="shared" si="11"/>
        <v>1.2914442077459603E-2</v>
      </c>
      <c r="S11" s="7">
        <f t="shared" si="3"/>
        <v>3014000.0000000005</v>
      </c>
      <c r="T11" s="7">
        <f t="shared" si="4"/>
        <v>913333.33333333337</v>
      </c>
      <c r="U11" s="7">
        <f t="shared" si="5"/>
        <v>4300000</v>
      </c>
      <c r="V11" s="7">
        <f t="shared" si="6"/>
        <v>0</v>
      </c>
      <c r="W11" s="7">
        <f t="shared" si="7"/>
        <v>0</v>
      </c>
      <c r="X11" s="7">
        <f t="shared" si="8"/>
        <v>0</v>
      </c>
    </row>
    <row r="12" spans="1:35">
      <c r="A12">
        <v>11</v>
      </c>
      <c r="B12" s="96" t="s">
        <v>3592</v>
      </c>
      <c r="C12" s="95">
        <v>40286</v>
      </c>
      <c r="D12" s="82">
        <v>2720000</v>
      </c>
      <c r="E12" s="82">
        <v>2720000</v>
      </c>
      <c r="F12" s="82">
        <v>2720000</v>
      </c>
      <c r="G12" s="82">
        <v>2720000</v>
      </c>
      <c r="I12" s="82">
        <f>G12*1.1</f>
        <v>2992000.0000000005</v>
      </c>
      <c r="J12" s="82">
        <f>G12/3</f>
        <v>906666.66666666663</v>
      </c>
      <c r="K12" s="7">
        <f>G280</f>
        <v>4370000</v>
      </c>
      <c r="L12" s="7">
        <f>K12-I12</f>
        <v>1377999.9999999995</v>
      </c>
      <c r="M12" s="7">
        <f t="shared" si="0"/>
        <v>113333.33333333331</v>
      </c>
      <c r="N12" s="7">
        <f t="shared" si="10"/>
        <v>1491333.3333333328</v>
      </c>
      <c r="O12" s="7">
        <f t="shared" si="9"/>
        <v>-20000</v>
      </c>
      <c r="P12" s="99">
        <f t="shared" si="2"/>
        <v>-7.2992700729927005E-3</v>
      </c>
      <c r="Q12" s="99">
        <f t="shared" si="11"/>
        <v>7.4029115523182873E-3</v>
      </c>
      <c r="R12">
        <v>1</v>
      </c>
      <c r="S12" s="7">
        <f t="shared" si="3"/>
        <v>2992000.0000000005</v>
      </c>
      <c r="T12" s="7">
        <f t="shared" si="4"/>
        <v>906666.66666666663</v>
      </c>
      <c r="U12" s="7">
        <f t="shared" si="5"/>
        <v>4370000</v>
      </c>
      <c r="V12" s="7">
        <f t="shared" si="6"/>
        <v>1377999.9999999995</v>
      </c>
      <c r="W12" s="7">
        <f t="shared" si="7"/>
        <v>113333.33333333331</v>
      </c>
      <c r="X12" s="7">
        <f t="shared" si="8"/>
        <v>1491333.3333333328</v>
      </c>
    </row>
    <row r="13" spans="1:35">
      <c r="A13">
        <v>12</v>
      </c>
      <c r="B13" s="96" t="s">
        <v>3591</v>
      </c>
      <c r="C13" s="95">
        <v>40287</v>
      </c>
      <c r="D13" s="82">
        <v>2715000</v>
      </c>
      <c r="E13" s="82">
        <v>2715000</v>
      </c>
      <c r="F13" s="82">
        <v>2715000</v>
      </c>
      <c r="G13" s="82">
        <v>2715000</v>
      </c>
      <c r="I13" s="97">
        <v>0</v>
      </c>
      <c r="J13" s="97">
        <v>0</v>
      </c>
      <c r="K13" s="97">
        <v>0</v>
      </c>
      <c r="M13" s="7">
        <f t="shared" si="0"/>
        <v>0</v>
      </c>
      <c r="N13" s="7">
        <f t="shared" si="10"/>
        <v>0</v>
      </c>
      <c r="O13" s="7">
        <f t="shared" si="9"/>
        <v>-5000</v>
      </c>
      <c r="P13" s="99">
        <f t="shared" si="2"/>
        <v>-1.838235294117647E-3</v>
      </c>
      <c r="Q13" s="99">
        <f t="shared" si="11"/>
        <v>-1.0925770285380297E-2</v>
      </c>
      <c r="S13" s="7">
        <f t="shared" si="3"/>
        <v>2986500.0000000005</v>
      </c>
      <c r="T13" s="7">
        <f t="shared" si="4"/>
        <v>905000</v>
      </c>
      <c r="U13" s="7">
        <f t="shared" si="5"/>
        <v>4450000</v>
      </c>
      <c r="V13" s="7">
        <f t="shared" si="6"/>
        <v>0</v>
      </c>
      <c r="W13" s="7">
        <f t="shared" si="7"/>
        <v>0</v>
      </c>
      <c r="X13" s="7">
        <f t="shared" si="8"/>
        <v>0</v>
      </c>
    </row>
    <row r="14" spans="1:35">
      <c r="A14">
        <v>13</v>
      </c>
      <c r="B14" s="96" t="s">
        <v>3590</v>
      </c>
      <c r="C14" s="95">
        <v>40288</v>
      </c>
      <c r="D14" s="82">
        <v>2710000</v>
      </c>
      <c r="E14" s="82">
        <v>2710000</v>
      </c>
      <c r="F14" s="82">
        <v>2710000</v>
      </c>
      <c r="G14" s="82">
        <v>2710000</v>
      </c>
      <c r="I14" s="97">
        <v>0</v>
      </c>
      <c r="J14" s="97">
        <v>0</v>
      </c>
      <c r="K14" s="97">
        <v>0</v>
      </c>
      <c r="M14" s="7">
        <f t="shared" si="0"/>
        <v>0</v>
      </c>
      <c r="N14" s="7">
        <f t="shared" si="10"/>
        <v>0</v>
      </c>
      <c r="O14" s="7">
        <f t="shared" si="9"/>
        <v>-5000</v>
      </c>
      <c r="P14" s="99">
        <f t="shared" si="2"/>
        <v>-1.841620626151013E-3</v>
      </c>
      <c r="Q14" s="99">
        <f t="shared" si="11"/>
        <v>-1.640036921586158E-2</v>
      </c>
      <c r="S14" s="7">
        <f t="shared" si="3"/>
        <v>2981000.0000000005</v>
      </c>
      <c r="T14" s="7">
        <f t="shared" si="4"/>
        <v>903333.33333333337</v>
      </c>
      <c r="U14" s="7">
        <f t="shared" si="5"/>
        <v>4300000</v>
      </c>
      <c r="V14" s="7">
        <f t="shared" si="6"/>
        <v>0</v>
      </c>
      <c r="W14" s="7">
        <f t="shared" si="7"/>
        <v>0</v>
      </c>
      <c r="X14" s="7">
        <f t="shared" si="8"/>
        <v>0</v>
      </c>
    </row>
    <row r="15" spans="1:35">
      <c r="A15">
        <v>14</v>
      </c>
      <c r="B15" s="96" t="s">
        <v>3589</v>
      </c>
      <c r="C15" s="95">
        <v>40289</v>
      </c>
      <c r="D15" s="82">
        <v>2710000</v>
      </c>
      <c r="E15" s="82">
        <v>2710000</v>
      </c>
      <c r="F15" s="82">
        <v>2710000</v>
      </c>
      <c r="G15" s="82">
        <v>2710000</v>
      </c>
      <c r="I15" s="97">
        <v>0</v>
      </c>
      <c r="J15" s="97">
        <v>0</v>
      </c>
      <c r="K15" s="97">
        <v>0</v>
      </c>
      <c r="M15" s="7">
        <f t="shared" si="0"/>
        <v>0</v>
      </c>
      <c r="N15" s="7">
        <f t="shared" si="10"/>
        <v>0</v>
      </c>
      <c r="O15" s="7">
        <f t="shared" si="9"/>
        <v>0</v>
      </c>
      <c r="P15" s="99">
        <f t="shared" si="2"/>
        <v>0</v>
      </c>
      <c r="Q15" s="99">
        <f>SUM(P10:P14)</f>
        <v>-1.4618801436215493E-2</v>
      </c>
      <c r="S15" s="7">
        <f t="shared" si="3"/>
        <v>2981000.0000000005</v>
      </c>
      <c r="T15" s="7">
        <f t="shared" si="4"/>
        <v>903333.33333333337</v>
      </c>
      <c r="U15" s="7">
        <f t="shared" si="5"/>
        <v>4200000</v>
      </c>
      <c r="V15" s="7">
        <f t="shared" si="6"/>
        <v>0</v>
      </c>
      <c r="W15" s="7">
        <f t="shared" si="7"/>
        <v>0</v>
      </c>
      <c r="X15" s="7">
        <f t="shared" si="8"/>
        <v>0</v>
      </c>
    </row>
    <row r="16" spans="1:35">
      <c r="A16">
        <v>15</v>
      </c>
      <c r="B16" s="96" t="s">
        <v>3588</v>
      </c>
      <c r="C16" s="95">
        <v>40290</v>
      </c>
      <c r="D16" s="82">
        <v>2730000</v>
      </c>
      <c r="E16" s="82">
        <v>2730000</v>
      </c>
      <c r="F16" s="82">
        <v>2730000</v>
      </c>
      <c r="G16" s="82">
        <v>2730000</v>
      </c>
      <c r="I16" s="98">
        <v>0</v>
      </c>
      <c r="J16" s="98">
        <v>0</v>
      </c>
      <c r="K16" s="98">
        <v>0</v>
      </c>
      <c r="M16" s="7">
        <f t="shared" si="0"/>
        <v>0</v>
      </c>
      <c r="N16" s="7">
        <f t="shared" si="10"/>
        <v>0</v>
      </c>
      <c r="O16" s="7">
        <f t="shared" si="9"/>
        <v>20000</v>
      </c>
      <c r="P16" s="99">
        <f t="shared" si="2"/>
        <v>7.3800738007380072E-3</v>
      </c>
      <c r="Q16" s="99">
        <f t="shared" si="11"/>
        <v>-1.2800619618033674E-2</v>
      </c>
      <c r="S16" s="7">
        <f t="shared" si="3"/>
        <v>3003000.0000000005</v>
      </c>
      <c r="T16" s="7">
        <f t="shared" si="4"/>
        <v>910000</v>
      </c>
      <c r="U16" s="7">
        <f t="shared" si="5"/>
        <v>4280000</v>
      </c>
      <c r="V16" s="7">
        <f t="shared" si="6"/>
        <v>0</v>
      </c>
      <c r="W16" s="7">
        <f t="shared" si="7"/>
        <v>0</v>
      </c>
      <c r="X16" s="7">
        <f t="shared" si="8"/>
        <v>0</v>
      </c>
    </row>
    <row r="17" spans="1:24">
      <c r="A17">
        <v>16</v>
      </c>
      <c r="B17" s="96" t="s">
        <v>3587</v>
      </c>
      <c r="C17" s="95">
        <v>40292</v>
      </c>
      <c r="D17" s="82">
        <v>2740000</v>
      </c>
      <c r="E17" s="82">
        <v>2740000</v>
      </c>
      <c r="F17" s="82">
        <v>2740000</v>
      </c>
      <c r="G17" s="82">
        <v>2740000</v>
      </c>
      <c r="I17" s="82">
        <f>G17*1.1</f>
        <v>3014000.0000000005</v>
      </c>
      <c r="J17" s="82">
        <f>G17/3</f>
        <v>913333.33333333337</v>
      </c>
      <c r="K17" s="7">
        <f>G285</f>
        <v>4350000</v>
      </c>
      <c r="L17" s="7">
        <f>K17-I17</f>
        <v>1335999.9999999995</v>
      </c>
      <c r="M17" s="7">
        <f t="shared" si="0"/>
        <v>114166.66666666669</v>
      </c>
      <c r="N17" s="7">
        <f t="shared" si="10"/>
        <v>1450166.6666666663</v>
      </c>
      <c r="O17" s="7">
        <f t="shared" si="9"/>
        <v>10000</v>
      </c>
      <c r="P17" s="99">
        <f t="shared" si="2"/>
        <v>3.663003663003663E-3</v>
      </c>
      <c r="Q17" s="99">
        <f t="shared" si="11"/>
        <v>-3.5990521925233542E-3</v>
      </c>
      <c r="R17">
        <v>1</v>
      </c>
      <c r="S17" s="7">
        <f t="shared" si="3"/>
        <v>3014000.0000000005</v>
      </c>
      <c r="T17" s="7">
        <f t="shared" si="4"/>
        <v>913333.33333333337</v>
      </c>
      <c r="U17" s="7">
        <f t="shared" si="5"/>
        <v>4350000</v>
      </c>
      <c r="V17" s="7">
        <f t="shared" si="6"/>
        <v>1335999.9999999995</v>
      </c>
      <c r="W17" s="7">
        <f t="shared" si="7"/>
        <v>114166.66666666669</v>
      </c>
      <c r="X17" s="7">
        <f t="shared" si="8"/>
        <v>1450166.6666666663</v>
      </c>
    </row>
    <row r="18" spans="1:24">
      <c r="A18">
        <v>17</v>
      </c>
      <c r="B18" s="96" t="s">
        <v>3586</v>
      </c>
      <c r="C18" s="95">
        <v>40293</v>
      </c>
      <c r="D18" s="82">
        <v>2770000</v>
      </c>
      <c r="E18" s="82">
        <v>2770000</v>
      </c>
      <c r="F18" s="82">
        <v>2770000</v>
      </c>
      <c r="G18" s="82">
        <v>2770000</v>
      </c>
      <c r="I18" s="97">
        <v>0</v>
      </c>
      <c r="J18" s="97">
        <v>0</v>
      </c>
      <c r="K18" s="97">
        <v>0</v>
      </c>
      <c r="M18" s="7">
        <f t="shared" si="0"/>
        <v>0</v>
      </c>
      <c r="N18" s="7">
        <f t="shared" si="10"/>
        <v>0</v>
      </c>
      <c r="O18" s="7">
        <f t="shared" si="9"/>
        <v>30000</v>
      </c>
      <c r="P18" s="99">
        <f t="shared" si="2"/>
        <v>1.0948905109489052E-2</v>
      </c>
      <c r="Q18" s="99">
        <f t="shared" si="11"/>
        <v>7.3632215434730102E-3</v>
      </c>
      <c r="S18" s="7">
        <f t="shared" si="3"/>
        <v>3047000.0000000005</v>
      </c>
      <c r="T18" s="7">
        <f t="shared" si="4"/>
        <v>923333.33333333337</v>
      </c>
      <c r="U18" s="7">
        <f t="shared" si="5"/>
        <v>4250000</v>
      </c>
      <c r="V18" s="7">
        <f t="shared" si="6"/>
        <v>0</v>
      </c>
      <c r="W18" s="7">
        <f t="shared" si="7"/>
        <v>0</v>
      </c>
      <c r="X18" s="7">
        <f t="shared" si="8"/>
        <v>0</v>
      </c>
    </row>
    <row r="19" spans="1:24">
      <c r="A19">
        <v>18</v>
      </c>
      <c r="B19" s="96" t="s">
        <v>3585</v>
      </c>
      <c r="C19" s="95">
        <v>40295</v>
      </c>
      <c r="D19" s="82">
        <v>2750000</v>
      </c>
      <c r="E19" s="82">
        <v>2750000</v>
      </c>
      <c r="F19" s="82">
        <v>2750000</v>
      </c>
      <c r="G19" s="82">
        <v>2750000</v>
      </c>
      <c r="I19" s="97">
        <v>0</v>
      </c>
      <c r="J19" s="97">
        <v>0</v>
      </c>
      <c r="K19" s="97">
        <v>0</v>
      </c>
      <c r="M19" s="7">
        <f t="shared" si="0"/>
        <v>0</v>
      </c>
      <c r="N19" s="7">
        <f t="shared" si="10"/>
        <v>0</v>
      </c>
      <c r="O19" s="7">
        <f t="shared" si="9"/>
        <v>-20000</v>
      </c>
      <c r="P19" s="99">
        <f t="shared" si="2"/>
        <v>-7.2202166064981952E-3</v>
      </c>
      <c r="Q19" s="99">
        <f t="shared" si="11"/>
        <v>2.0150361947079708E-2</v>
      </c>
      <c r="S19" s="7">
        <f t="shared" si="3"/>
        <v>3025000.0000000005</v>
      </c>
      <c r="T19" s="7">
        <f t="shared" si="4"/>
        <v>916666.66666666663</v>
      </c>
      <c r="U19" s="7">
        <f t="shared" si="5"/>
        <v>4180000</v>
      </c>
      <c r="V19" s="7">
        <f t="shared" si="6"/>
        <v>0</v>
      </c>
      <c r="W19" s="7">
        <f t="shared" si="7"/>
        <v>0</v>
      </c>
      <c r="X19" s="7">
        <f t="shared" si="8"/>
        <v>0</v>
      </c>
    </row>
    <row r="20" spans="1:24">
      <c r="A20">
        <v>19</v>
      </c>
      <c r="B20" s="96" t="s">
        <v>3584</v>
      </c>
      <c r="C20" s="95">
        <v>40296</v>
      </c>
      <c r="D20" s="82">
        <v>2850000</v>
      </c>
      <c r="E20" s="82">
        <v>2850000</v>
      </c>
      <c r="F20" s="82">
        <v>2850000</v>
      </c>
      <c r="G20" s="82">
        <v>2850000</v>
      </c>
      <c r="I20" s="97">
        <v>0</v>
      </c>
      <c r="J20" s="97">
        <v>0</v>
      </c>
      <c r="K20" s="97">
        <v>0</v>
      </c>
      <c r="M20" s="7">
        <f t="shared" si="0"/>
        <v>0</v>
      </c>
      <c r="N20" s="7">
        <f t="shared" si="10"/>
        <v>0</v>
      </c>
      <c r="O20" s="7">
        <f t="shared" si="9"/>
        <v>100000</v>
      </c>
      <c r="P20" s="99">
        <f t="shared" si="2"/>
        <v>3.6363636363636362E-2</v>
      </c>
      <c r="Q20" s="99">
        <f t="shared" si="11"/>
        <v>1.4771765966732525E-2</v>
      </c>
      <c r="S20" s="7">
        <f t="shared" si="3"/>
        <v>3135000.0000000005</v>
      </c>
      <c r="T20" s="7">
        <f t="shared" si="4"/>
        <v>950000</v>
      </c>
      <c r="U20" s="7">
        <f t="shared" si="5"/>
        <v>4160000</v>
      </c>
      <c r="V20" s="7">
        <f t="shared" si="6"/>
        <v>0</v>
      </c>
      <c r="W20" s="7">
        <f t="shared" si="7"/>
        <v>0</v>
      </c>
      <c r="X20" s="7">
        <f t="shared" si="8"/>
        <v>0</v>
      </c>
    </row>
    <row r="21" spans="1:24">
      <c r="A21">
        <v>20</v>
      </c>
      <c r="B21" s="96" t="s">
        <v>3583</v>
      </c>
      <c r="C21" s="95">
        <v>40297</v>
      </c>
      <c r="D21" s="82">
        <v>2780000</v>
      </c>
      <c r="E21" s="82">
        <v>2780000</v>
      </c>
      <c r="F21" s="82">
        <v>2780000</v>
      </c>
      <c r="G21" s="82">
        <v>2780000</v>
      </c>
      <c r="I21" s="98">
        <v>0</v>
      </c>
      <c r="J21" s="98">
        <v>0</v>
      </c>
      <c r="K21" s="98">
        <v>0</v>
      </c>
      <c r="M21" s="7">
        <f t="shared" si="0"/>
        <v>0</v>
      </c>
      <c r="N21" s="7">
        <f t="shared" si="10"/>
        <v>0</v>
      </c>
      <c r="O21" s="7">
        <f t="shared" si="9"/>
        <v>-70000</v>
      </c>
      <c r="P21" s="99">
        <f t="shared" si="2"/>
        <v>-2.456140350877193E-2</v>
      </c>
      <c r="Q21" s="99">
        <f t="shared" si="11"/>
        <v>5.1135402330368888E-2</v>
      </c>
      <c r="S21" s="7">
        <f t="shared" si="3"/>
        <v>3058000.0000000005</v>
      </c>
      <c r="T21" s="7">
        <f t="shared" si="4"/>
        <v>926666.66666666663</v>
      </c>
      <c r="U21" s="7">
        <f t="shared" si="5"/>
        <v>4230000</v>
      </c>
      <c r="V21" s="7">
        <f t="shared" si="6"/>
        <v>0</v>
      </c>
      <c r="W21" s="7">
        <f t="shared" si="7"/>
        <v>0</v>
      </c>
      <c r="X21" s="7">
        <f t="shared" si="8"/>
        <v>0</v>
      </c>
    </row>
    <row r="22" spans="1:24">
      <c r="A22">
        <v>21</v>
      </c>
      <c r="B22" s="96" t="s">
        <v>3582</v>
      </c>
      <c r="C22" s="95">
        <v>40299</v>
      </c>
      <c r="D22" s="82">
        <v>2780000</v>
      </c>
      <c r="E22" s="82">
        <v>2780000</v>
      </c>
      <c r="F22" s="82">
        <v>2780000</v>
      </c>
      <c r="G22" s="82">
        <v>2780000</v>
      </c>
      <c r="I22" s="82">
        <f>G22*1.1</f>
        <v>3058000.0000000005</v>
      </c>
      <c r="J22" s="82">
        <f>G22/3</f>
        <v>926666.66666666663</v>
      </c>
      <c r="K22" s="7">
        <f>G290</f>
        <v>4250000</v>
      </c>
      <c r="L22" s="7">
        <f>K22-I22</f>
        <v>1191999.9999999995</v>
      </c>
      <c r="M22" s="7">
        <f t="shared" si="0"/>
        <v>115833.33333333331</v>
      </c>
      <c r="N22" s="7">
        <f t="shared" si="10"/>
        <v>1307833.3333333328</v>
      </c>
      <c r="O22" s="7">
        <f t="shared" si="9"/>
        <v>0</v>
      </c>
      <c r="P22" s="99">
        <f t="shared" si="2"/>
        <v>0</v>
      </c>
      <c r="Q22" s="99">
        <f>SUM(P17:P21)</f>
        <v>1.9193925020858954E-2</v>
      </c>
      <c r="R22">
        <v>1</v>
      </c>
      <c r="S22" s="7">
        <f t="shared" si="3"/>
        <v>3058000.0000000005</v>
      </c>
      <c r="T22" s="7">
        <f t="shared" si="4"/>
        <v>926666.66666666663</v>
      </c>
      <c r="U22" s="7">
        <f t="shared" si="5"/>
        <v>4250000</v>
      </c>
      <c r="V22" s="7">
        <f t="shared" si="6"/>
        <v>1191999.9999999995</v>
      </c>
      <c r="W22" s="7">
        <f t="shared" si="7"/>
        <v>115833.33333333331</v>
      </c>
      <c r="X22" s="7">
        <f t="shared" si="8"/>
        <v>1307833.3333333328</v>
      </c>
    </row>
    <row r="23" spans="1:24">
      <c r="A23">
        <v>22</v>
      </c>
      <c r="B23" s="96" t="s">
        <v>3581</v>
      </c>
      <c r="C23" s="95">
        <v>40300</v>
      </c>
      <c r="D23" s="82">
        <v>2830000</v>
      </c>
      <c r="E23" s="82">
        <v>2830000</v>
      </c>
      <c r="F23" s="82">
        <v>2830000</v>
      </c>
      <c r="G23" s="82">
        <v>2830000</v>
      </c>
      <c r="I23" s="97">
        <v>0</v>
      </c>
      <c r="J23" s="97">
        <v>0</v>
      </c>
      <c r="K23" s="97">
        <v>0</v>
      </c>
      <c r="M23" s="7">
        <f t="shared" si="0"/>
        <v>0</v>
      </c>
      <c r="N23" s="7">
        <f t="shared" si="10"/>
        <v>0</v>
      </c>
      <c r="O23" s="7">
        <f t="shared" si="9"/>
        <v>50000</v>
      </c>
      <c r="P23" s="99">
        <f t="shared" si="2"/>
        <v>1.7985611510791366E-2</v>
      </c>
      <c r="Q23" s="99">
        <f t="shared" si="11"/>
        <v>1.553092135785529E-2</v>
      </c>
      <c r="S23" s="7">
        <f t="shared" si="3"/>
        <v>3113000.0000000005</v>
      </c>
      <c r="T23" s="7">
        <f t="shared" si="4"/>
        <v>943333.33333333337</v>
      </c>
      <c r="U23" s="7">
        <f t="shared" si="5"/>
        <v>4250000</v>
      </c>
      <c r="V23" s="7">
        <f t="shared" si="6"/>
        <v>0</v>
      </c>
      <c r="W23" s="7">
        <f t="shared" si="7"/>
        <v>0</v>
      </c>
      <c r="X23" s="7">
        <f t="shared" si="8"/>
        <v>0</v>
      </c>
    </row>
    <row r="24" spans="1:24">
      <c r="A24">
        <v>23</v>
      </c>
      <c r="B24" s="96" t="s">
        <v>3580</v>
      </c>
      <c r="C24" s="95">
        <v>40301</v>
      </c>
      <c r="D24" s="82">
        <v>2830000</v>
      </c>
      <c r="E24" s="82">
        <v>2830000</v>
      </c>
      <c r="F24" s="82">
        <v>2830000</v>
      </c>
      <c r="G24" s="82">
        <v>2830000</v>
      </c>
      <c r="I24" s="97">
        <v>0</v>
      </c>
      <c r="J24" s="97">
        <v>0</v>
      </c>
      <c r="K24" s="97">
        <v>0</v>
      </c>
      <c r="M24" s="7">
        <f t="shared" si="0"/>
        <v>0</v>
      </c>
      <c r="N24" s="7">
        <f t="shared" si="10"/>
        <v>0</v>
      </c>
      <c r="O24" s="7">
        <f t="shared" si="9"/>
        <v>0</v>
      </c>
      <c r="P24" s="99">
        <f t="shared" si="2"/>
        <v>0</v>
      </c>
      <c r="Q24" s="99">
        <f t="shared" si="11"/>
        <v>2.2567627759157605E-2</v>
      </c>
      <c r="S24" s="7">
        <f t="shared" si="3"/>
        <v>3113000.0000000005</v>
      </c>
      <c r="T24" s="7">
        <f t="shared" si="4"/>
        <v>943333.33333333337</v>
      </c>
      <c r="U24" s="7">
        <f t="shared" si="5"/>
        <v>4230000</v>
      </c>
      <c r="V24" s="7">
        <f t="shared" si="6"/>
        <v>0</v>
      </c>
      <c r="W24" s="7">
        <f t="shared" si="7"/>
        <v>0</v>
      </c>
      <c r="X24" s="7">
        <f t="shared" si="8"/>
        <v>0</v>
      </c>
    </row>
    <row r="25" spans="1:24">
      <c r="A25">
        <v>24</v>
      </c>
      <c r="B25" s="96" t="s">
        <v>3579</v>
      </c>
      <c r="C25" s="95">
        <v>40302</v>
      </c>
      <c r="D25" s="82">
        <v>2820000</v>
      </c>
      <c r="E25" s="82">
        <v>2820000</v>
      </c>
      <c r="F25" s="82">
        <v>2820000</v>
      </c>
      <c r="G25" s="82">
        <v>2820000</v>
      </c>
      <c r="I25" s="97">
        <v>0</v>
      </c>
      <c r="J25" s="97">
        <v>0</v>
      </c>
      <c r="K25" s="97">
        <v>0</v>
      </c>
      <c r="M25" s="7">
        <f t="shared" si="0"/>
        <v>0</v>
      </c>
      <c r="N25" s="7">
        <f t="shared" si="10"/>
        <v>0</v>
      </c>
      <c r="O25" s="7">
        <f t="shared" si="9"/>
        <v>-10000</v>
      </c>
      <c r="P25" s="99">
        <f t="shared" si="2"/>
        <v>-3.5335689045936395E-3</v>
      </c>
      <c r="Q25" s="99">
        <f t="shared" si="11"/>
        <v>2.9787844365655798E-2</v>
      </c>
      <c r="S25" s="7">
        <f t="shared" si="3"/>
        <v>3102000.0000000005</v>
      </c>
      <c r="T25" s="7">
        <f t="shared" si="4"/>
        <v>940000</v>
      </c>
      <c r="U25" s="7">
        <f t="shared" si="5"/>
        <v>4230000</v>
      </c>
      <c r="V25" s="7">
        <f t="shared" si="6"/>
        <v>0</v>
      </c>
      <c r="W25" s="7">
        <f t="shared" si="7"/>
        <v>0</v>
      </c>
      <c r="X25" s="7">
        <f t="shared" si="8"/>
        <v>0</v>
      </c>
    </row>
    <row r="26" spans="1:24">
      <c r="A26">
        <v>25</v>
      </c>
      <c r="B26" s="96" t="s">
        <v>3578</v>
      </c>
      <c r="C26" s="95">
        <v>40303</v>
      </c>
      <c r="D26" s="82">
        <v>2825000</v>
      </c>
      <c r="E26" s="82">
        <v>2825000</v>
      </c>
      <c r="F26" s="82">
        <v>2825000</v>
      </c>
      <c r="G26" s="82">
        <v>2825000</v>
      </c>
      <c r="I26" s="98">
        <v>0</v>
      </c>
      <c r="J26" s="98">
        <v>0</v>
      </c>
      <c r="K26" s="98">
        <v>0</v>
      </c>
      <c r="M26" s="7">
        <f t="shared" si="0"/>
        <v>0</v>
      </c>
      <c r="N26" s="7">
        <f t="shared" si="10"/>
        <v>0</v>
      </c>
      <c r="O26" s="7">
        <f t="shared" si="9"/>
        <v>5000</v>
      </c>
      <c r="P26" s="99">
        <f t="shared" si="2"/>
        <v>1.7730496453900709E-3</v>
      </c>
      <c r="Q26" s="99">
        <f t="shared" si="11"/>
        <v>-1.0109360902574204E-2</v>
      </c>
      <c r="S26" s="7">
        <f t="shared" si="3"/>
        <v>3107500.0000000005</v>
      </c>
      <c r="T26" s="7">
        <f t="shared" si="4"/>
        <v>941666.66666666663</v>
      </c>
      <c r="U26" s="7">
        <f t="shared" si="5"/>
        <v>4220000</v>
      </c>
      <c r="V26" s="7">
        <f t="shared" si="6"/>
        <v>0</v>
      </c>
      <c r="W26" s="7">
        <f t="shared" si="7"/>
        <v>0</v>
      </c>
      <c r="X26" s="7">
        <f t="shared" si="8"/>
        <v>0</v>
      </c>
    </row>
    <row r="27" spans="1:24">
      <c r="A27">
        <v>26</v>
      </c>
      <c r="B27" s="96" t="s">
        <v>3577</v>
      </c>
      <c r="C27" s="95">
        <v>40304</v>
      </c>
      <c r="D27" s="82">
        <v>2870000</v>
      </c>
      <c r="E27" s="82">
        <v>2870000</v>
      </c>
      <c r="F27" s="82">
        <v>2870000</v>
      </c>
      <c r="G27" s="82">
        <v>2870000</v>
      </c>
      <c r="I27" s="82">
        <f>G27*1.1</f>
        <v>3157000.0000000005</v>
      </c>
      <c r="J27" s="82">
        <f>G27/3</f>
        <v>956666.66666666663</v>
      </c>
      <c r="K27" s="7">
        <f>G295</f>
        <v>4200000</v>
      </c>
      <c r="L27" s="7">
        <f>K27-I27</f>
        <v>1042999.9999999995</v>
      </c>
      <c r="M27" s="7">
        <f t="shared" si="0"/>
        <v>119583.33333333331</v>
      </c>
      <c r="N27" s="7">
        <f t="shared" si="10"/>
        <v>1162583.3333333328</v>
      </c>
      <c r="O27" s="7">
        <f t="shared" si="9"/>
        <v>45000</v>
      </c>
      <c r="P27" s="99">
        <f t="shared" si="2"/>
        <v>1.5929203539823009E-2</v>
      </c>
      <c r="Q27" s="99">
        <f t="shared" si="11"/>
        <v>1.6225092251587796E-2</v>
      </c>
      <c r="R27">
        <v>1</v>
      </c>
      <c r="S27" s="7">
        <f t="shared" si="3"/>
        <v>3157000.0000000005</v>
      </c>
      <c r="T27" s="7">
        <f t="shared" si="4"/>
        <v>956666.66666666663</v>
      </c>
      <c r="U27" s="7">
        <f t="shared" si="5"/>
        <v>4200000</v>
      </c>
      <c r="V27" s="7">
        <f t="shared" si="6"/>
        <v>1042999.9999999995</v>
      </c>
      <c r="W27" s="7">
        <f t="shared" si="7"/>
        <v>119583.33333333331</v>
      </c>
      <c r="X27" s="7">
        <f t="shared" si="8"/>
        <v>1162583.3333333328</v>
      </c>
    </row>
    <row r="28" spans="1:24">
      <c r="A28">
        <v>27</v>
      </c>
      <c r="B28" s="96" t="s">
        <v>3576</v>
      </c>
      <c r="C28" s="95">
        <v>40306</v>
      </c>
      <c r="D28" s="82">
        <v>2820000</v>
      </c>
      <c r="E28" s="82">
        <v>2820000</v>
      </c>
      <c r="F28" s="82">
        <v>2820000</v>
      </c>
      <c r="G28" s="82">
        <v>2820000</v>
      </c>
      <c r="I28" s="97">
        <v>0</v>
      </c>
      <c r="J28" s="97">
        <v>0</v>
      </c>
      <c r="K28" s="97">
        <v>0</v>
      </c>
      <c r="M28" s="7">
        <f t="shared" si="0"/>
        <v>0</v>
      </c>
      <c r="N28" s="7">
        <f t="shared" si="10"/>
        <v>0</v>
      </c>
      <c r="O28" s="7">
        <f t="shared" si="9"/>
        <v>-50000</v>
      </c>
      <c r="P28" s="99">
        <f t="shared" si="2"/>
        <v>-1.7421602787456445E-2</v>
      </c>
      <c r="Q28" s="99">
        <f t="shared" si="11"/>
        <v>3.2154295791410804E-2</v>
      </c>
      <c r="S28" s="7">
        <f t="shared" si="3"/>
        <v>3102000.0000000005</v>
      </c>
      <c r="T28" s="7">
        <f t="shared" si="4"/>
        <v>940000</v>
      </c>
      <c r="U28" s="7">
        <f t="shared" si="5"/>
        <v>4200000</v>
      </c>
      <c r="V28" s="7">
        <f t="shared" si="6"/>
        <v>0</v>
      </c>
      <c r="W28" s="7">
        <f t="shared" si="7"/>
        <v>0</v>
      </c>
      <c r="X28" s="7">
        <f t="shared" si="8"/>
        <v>0</v>
      </c>
    </row>
    <row r="29" spans="1:24">
      <c r="A29">
        <v>28</v>
      </c>
      <c r="B29" s="96" t="s">
        <v>3575</v>
      </c>
      <c r="C29" s="95">
        <v>40307</v>
      </c>
      <c r="D29" s="82">
        <v>2900000</v>
      </c>
      <c r="E29" s="82">
        <v>2900000</v>
      </c>
      <c r="F29" s="82">
        <v>2900000</v>
      </c>
      <c r="G29" s="82">
        <v>2900000</v>
      </c>
      <c r="I29" s="97">
        <v>0</v>
      </c>
      <c r="J29" s="97">
        <v>0</v>
      </c>
      <c r="K29" s="97">
        <v>0</v>
      </c>
      <c r="M29" s="7">
        <f t="shared" si="0"/>
        <v>0</v>
      </c>
      <c r="N29" s="7">
        <f t="shared" si="10"/>
        <v>0</v>
      </c>
      <c r="O29" s="7">
        <f t="shared" si="9"/>
        <v>80000</v>
      </c>
      <c r="P29" s="99">
        <f t="shared" si="2"/>
        <v>2.8368794326241134E-2</v>
      </c>
      <c r="Q29" s="99">
        <f t="shared" si="11"/>
        <v>-3.2529185068370051E-3</v>
      </c>
      <c r="S29" s="7">
        <f t="shared" si="3"/>
        <v>3190000.0000000005</v>
      </c>
      <c r="T29" s="7">
        <f t="shared" si="4"/>
        <v>966666.66666666663</v>
      </c>
      <c r="U29" s="7">
        <f t="shared" si="5"/>
        <v>4210000</v>
      </c>
      <c r="V29" s="7">
        <f t="shared" si="6"/>
        <v>0</v>
      </c>
      <c r="W29" s="7">
        <f t="shared" si="7"/>
        <v>0</v>
      </c>
      <c r="X29" s="7">
        <f t="shared" si="8"/>
        <v>0</v>
      </c>
    </row>
    <row r="30" spans="1:24">
      <c r="A30">
        <v>29</v>
      </c>
      <c r="B30" s="96" t="s">
        <v>3574</v>
      </c>
      <c r="C30" s="95">
        <v>40308</v>
      </c>
      <c r="D30" s="82">
        <v>2890000</v>
      </c>
      <c r="E30" s="82">
        <v>2890000</v>
      </c>
      <c r="F30" s="82">
        <v>2890000</v>
      </c>
      <c r="G30" s="82">
        <v>2890000</v>
      </c>
      <c r="I30" s="97">
        <v>0</v>
      </c>
      <c r="J30" s="97">
        <v>0</v>
      </c>
      <c r="K30" s="97">
        <v>0</v>
      </c>
      <c r="M30" s="7">
        <f t="shared" si="0"/>
        <v>0</v>
      </c>
      <c r="N30" s="7">
        <f t="shared" si="10"/>
        <v>0</v>
      </c>
      <c r="O30" s="7">
        <f t="shared" si="9"/>
        <v>-10000</v>
      </c>
      <c r="P30" s="99">
        <f t="shared" si="2"/>
        <v>-3.4482758620689655E-3</v>
      </c>
      <c r="Q30" s="99">
        <f t="shared" si="11"/>
        <v>2.5115875819404131E-2</v>
      </c>
      <c r="S30" s="7">
        <f t="shared" si="3"/>
        <v>3179000.0000000005</v>
      </c>
      <c r="T30" s="7">
        <f t="shared" si="4"/>
        <v>963333.33333333337</v>
      </c>
      <c r="U30" s="7">
        <f t="shared" si="5"/>
        <v>4250000</v>
      </c>
      <c r="V30" s="7">
        <f t="shared" si="6"/>
        <v>0</v>
      </c>
      <c r="W30" s="7">
        <f t="shared" si="7"/>
        <v>0</v>
      </c>
      <c r="X30" s="7">
        <f t="shared" si="8"/>
        <v>0</v>
      </c>
    </row>
    <row r="31" spans="1:24">
      <c r="A31">
        <v>30</v>
      </c>
      <c r="B31" s="96" t="s">
        <v>3573</v>
      </c>
      <c r="C31" s="95">
        <v>40309</v>
      </c>
      <c r="D31" s="82">
        <v>2870000</v>
      </c>
      <c r="E31" s="82">
        <v>2870000</v>
      </c>
      <c r="F31" s="82">
        <v>2870000</v>
      </c>
      <c r="G31" s="82">
        <v>2870000</v>
      </c>
      <c r="I31" s="98">
        <v>0</v>
      </c>
      <c r="J31" s="98">
        <v>0</v>
      </c>
      <c r="K31" s="98">
        <v>0</v>
      </c>
      <c r="M31" s="7">
        <f t="shared" si="0"/>
        <v>0</v>
      </c>
      <c r="N31" s="7">
        <f t="shared" si="10"/>
        <v>0</v>
      </c>
      <c r="O31" s="7">
        <f t="shared" si="9"/>
        <v>-20000</v>
      </c>
      <c r="P31" s="99">
        <f t="shared" si="2"/>
        <v>-6.920415224913495E-3</v>
      </c>
      <c r="Q31" s="99">
        <f t="shared" si="11"/>
        <v>2.5201168861928802E-2</v>
      </c>
      <c r="S31" s="7">
        <f t="shared" si="3"/>
        <v>3157000.0000000005</v>
      </c>
      <c r="T31" s="7">
        <f t="shared" si="4"/>
        <v>956666.66666666663</v>
      </c>
      <c r="U31" s="7">
        <f t="shared" si="5"/>
        <v>4270000</v>
      </c>
      <c r="V31" s="7">
        <f t="shared" si="6"/>
        <v>0</v>
      </c>
      <c r="W31" s="7">
        <f t="shared" si="7"/>
        <v>0</v>
      </c>
      <c r="X31" s="7">
        <f t="shared" si="8"/>
        <v>0</v>
      </c>
    </row>
    <row r="32" spans="1:24">
      <c r="A32">
        <v>31</v>
      </c>
      <c r="B32" s="96" t="s">
        <v>3572</v>
      </c>
      <c r="C32" s="95">
        <v>40310</v>
      </c>
      <c r="D32" s="82">
        <v>2880000</v>
      </c>
      <c r="E32" s="82">
        <v>2880000</v>
      </c>
      <c r="F32" s="82">
        <v>2880000</v>
      </c>
      <c r="G32" s="82">
        <v>2880000</v>
      </c>
      <c r="I32" s="82">
        <f>G32*1.1</f>
        <v>3168000.0000000005</v>
      </c>
      <c r="J32" s="82">
        <f>G32/3</f>
        <v>960000</v>
      </c>
      <c r="K32" s="7">
        <f>G300</f>
        <v>4250000</v>
      </c>
      <c r="L32" s="7">
        <f>K32-I32</f>
        <v>1081999.9999999995</v>
      </c>
      <c r="M32" s="7">
        <f t="shared" si="0"/>
        <v>120000</v>
      </c>
      <c r="N32" s="7">
        <f t="shared" si="10"/>
        <v>1201999.9999999995</v>
      </c>
      <c r="O32" s="7">
        <f t="shared" si="9"/>
        <v>10000</v>
      </c>
      <c r="P32" s="99">
        <f t="shared" si="2"/>
        <v>3.4843205574912892E-3</v>
      </c>
      <c r="Q32" s="99">
        <f t="shared" si="11"/>
        <v>1.6507703991625239E-2</v>
      </c>
      <c r="R32">
        <v>1</v>
      </c>
      <c r="S32" s="7">
        <f t="shared" si="3"/>
        <v>3168000.0000000005</v>
      </c>
      <c r="T32" s="7">
        <f t="shared" si="4"/>
        <v>960000</v>
      </c>
      <c r="U32" s="7">
        <f t="shared" si="5"/>
        <v>4250000</v>
      </c>
      <c r="V32" s="7">
        <f t="shared" si="6"/>
        <v>1081999.9999999995</v>
      </c>
      <c r="W32" s="7">
        <f t="shared" si="7"/>
        <v>120000</v>
      </c>
      <c r="X32" s="7">
        <f t="shared" si="8"/>
        <v>1201999.9999999995</v>
      </c>
    </row>
    <row r="33" spans="1:24">
      <c r="A33">
        <v>32</v>
      </c>
      <c r="B33" s="96" t="s">
        <v>3571</v>
      </c>
      <c r="C33" s="95">
        <v>40311</v>
      </c>
      <c r="D33" s="82">
        <v>2950000</v>
      </c>
      <c r="E33" s="82">
        <v>2950000</v>
      </c>
      <c r="F33" s="82">
        <v>2950000</v>
      </c>
      <c r="G33" s="82">
        <v>2950000</v>
      </c>
      <c r="I33" s="97">
        <v>0</v>
      </c>
      <c r="J33" s="97">
        <v>0</v>
      </c>
      <c r="K33" s="97">
        <v>0</v>
      </c>
      <c r="M33" s="7">
        <f t="shared" si="0"/>
        <v>0</v>
      </c>
      <c r="N33" s="7">
        <f t="shared" si="10"/>
        <v>0</v>
      </c>
      <c r="O33" s="7">
        <f t="shared" si="9"/>
        <v>70000</v>
      </c>
      <c r="P33" s="99">
        <f t="shared" si="2"/>
        <v>2.4305555555555556E-2</v>
      </c>
      <c r="Q33" s="99">
        <f t="shared" si="11"/>
        <v>4.0628210092935177E-3</v>
      </c>
      <c r="S33" s="7">
        <f t="shared" si="3"/>
        <v>3245000.0000000005</v>
      </c>
      <c r="T33" s="7">
        <f t="shared" si="4"/>
        <v>983333.33333333337</v>
      </c>
      <c r="U33" s="7">
        <f t="shared" si="5"/>
        <v>4220000</v>
      </c>
      <c r="V33" s="7">
        <f t="shared" si="6"/>
        <v>0</v>
      </c>
      <c r="W33" s="7">
        <f t="shared" si="7"/>
        <v>0</v>
      </c>
      <c r="X33" s="7">
        <f t="shared" si="8"/>
        <v>0</v>
      </c>
    </row>
    <row r="34" spans="1:24">
      <c r="A34">
        <v>33</v>
      </c>
      <c r="B34" s="96" t="s">
        <v>3570</v>
      </c>
      <c r="C34" s="95">
        <v>40313</v>
      </c>
      <c r="D34" s="82">
        <v>2950000</v>
      </c>
      <c r="E34" s="82">
        <v>2950000</v>
      </c>
      <c r="F34" s="82">
        <v>2950000</v>
      </c>
      <c r="G34" s="82">
        <v>2950000</v>
      </c>
      <c r="I34" s="97">
        <v>0</v>
      </c>
      <c r="J34" s="97">
        <v>0</v>
      </c>
      <c r="K34" s="97">
        <v>0</v>
      </c>
      <c r="M34" s="7">
        <f t="shared" si="0"/>
        <v>0</v>
      </c>
      <c r="N34" s="7">
        <f t="shared" si="10"/>
        <v>0</v>
      </c>
      <c r="O34" s="7">
        <f t="shared" si="9"/>
        <v>0</v>
      </c>
      <c r="P34" s="99">
        <f t="shared" si="2"/>
        <v>0</v>
      </c>
      <c r="Q34" s="99">
        <f t="shared" si="11"/>
        <v>4.5789979352305513E-2</v>
      </c>
      <c r="S34" s="7">
        <f t="shared" si="3"/>
        <v>3245000.0000000005</v>
      </c>
      <c r="T34" s="7">
        <f t="shared" si="4"/>
        <v>983333.33333333337</v>
      </c>
      <c r="U34" s="7">
        <f t="shared" si="5"/>
        <v>4220000</v>
      </c>
      <c r="V34" s="7">
        <f t="shared" si="6"/>
        <v>0</v>
      </c>
      <c r="W34" s="7">
        <f t="shared" si="7"/>
        <v>0</v>
      </c>
      <c r="X34" s="7">
        <f t="shared" si="8"/>
        <v>0</v>
      </c>
    </row>
    <row r="35" spans="1:24">
      <c r="A35">
        <v>34</v>
      </c>
      <c r="B35" s="96" t="s">
        <v>3569</v>
      </c>
      <c r="C35" s="95">
        <v>40316</v>
      </c>
      <c r="D35" s="82">
        <v>2930000</v>
      </c>
      <c r="E35" s="82">
        <v>2930000</v>
      </c>
      <c r="F35" s="82">
        <v>2930000</v>
      </c>
      <c r="G35" s="82">
        <v>2930000</v>
      </c>
      <c r="I35" s="97">
        <v>0</v>
      </c>
      <c r="J35" s="97">
        <v>0</v>
      </c>
      <c r="K35" s="97">
        <v>0</v>
      </c>
      <c r="M35" s="7">
        <f t="shared" si="0"/>
        <v>0</v>
      </c>
      <c r="N35" s="7">
        <f t="shared" si="10"/>
        <v>0</v>
      </c>
      <c r="O35" s="7">
        <f t="shared" si="9"/>
        <v>-20000</v>
      </c>
      <c r="P35" s="99">
        <f t="shared" si="2"/>
        <v>-6.7796610169491523E-3</v>
      </c>
      <c r="Q35" s="99">
        <f t="shared" si="11"/>
        <v>1.7421185026064386E-2</v>
      </c>
      <c r="S35" s="7">
        <f t="shared" si="3"/>
        <v>3223000.0000000005</v>
      </c>
      <c r="T35" s="7">
        <f t="shared" si="4"/>
        <v>976666.66666666663</v>
      </c>
      <c r="U35" s="7">
        <f t="shared" si="5"/>
        <v>4200000</v>
      </c>
      <c r="V35" s="7">
        <f t="shared" si="6"/>
        <v>0</v>
      </c>
      <c r="W35" s="7">
        <f t="shared" si="7"/>
        <v>0</v>
      </c>
      <c r="X35" s="7">
        <f t="shared" si="8"/>
        <v>0</v>
      </c>
    </row>
    <row r="36" spans="1:24">
      <c r="A36">
        <v>35</v>
      </c>
      <c r="B36" s="96" t="s">
        <v>3568</v>
      </c>
      <c r="C36" s="95">
        <v>40320</v>
      </c>
      <c r="D36" s="82">
        <v>2900000</v>
      </c>
      <c r="E36" s="82">
        <v>2900000</v>
      </c>
      <c r="F36" s="82">
        <v>2900000</v>
      </c>
      <c r="G36" s="82">
        <v>2900000</v>
      </c>
      <c r="I36" s="98">
        <v>0</v>
      </c>
      <c r="J36" s="98">
        <v>0</v>
      </c>
      <c r="K36" s="98">
        <v>0</v>
      </c>
      <c r="M36" s="7">
        <f t="shared" si="0"/>
        <v>0</v>
      </c>
      <c r="N36" s="7">
        <f t="shared" si="10"/>
        <v>0</v>
      </c>
      <c r="O36" s="7">
        <f t="shared" si="9"/>
        <v>-30000</v>
      </c>
      <c r="P36" s="99">
        <f t="shared" si="2"/>
        <v>-1.0238907849829351E-2</v>
      </c>
      <c r="Q36" s="99">
        <f t="shared" si="11"/>
        <v>1.4089799871184198E-2</v>
      </c>
      <c r="S36" s="7">
        <f t="shared" si="3"/>
        <v>3190000.0000000005</v>
      </c>
      <c r="T36" s="7">
        <f t="shared" si="4"/>
        <v>966666.66666666663</v>
      </c>
      <c r="U36" s="7">
        <f t="shared" si="5"/>
        <v>4215000</v>
      </c>
      <c r="V36" s="7">
        <f t="shared" si="6"/>
        <v>0</v>
      </c>
      <c r="W36" s="7">
        <f t="shared" si="7"/>
        <v>0</v>
      </c>
      <c r="X36" s="7">
        <f t="shared" si="8"/>
        <v>0</v>
      </c>
    </row>
    <row r="37" spans="1:24">
      <c r="A37">
        <v>36</v>
      </c>
      <c r="B37" s="96" t="s">
        <v>3567</v>
      </c>
      <c r="C37" s="95">
        <v>40317</v>
      </c>
      <c r="D37" s="82">
        <v>2920000</v>
      </c>
      <c r="E37" s="82">
        <v>2920000</v>
      </c>
      <c r="F37" s="82">
        <v>2920000</v>
      </c>
      <c r="G37" s="82">
        <v>2920000</v>
      </c>
      <c r="I37" s="82">
        <f>G37*1.1</f>
        <v>3212000.0000000005</v>
      </c>
      <c r="J37" s="82">
        <f>G37/3</f>
        <v>973333.33333333337</v>
      </c>
      <c r="K37" s="7">
        <f>G305</f>
        <v>4230000</v>
      </c>
      <c r="L37" s="7">
        <f>K37-I37</f>
        <v>1017999.9999999995</v>
      </c>
      <c r="M37" s="7">
        <f t="shared" si="0"/>
        <v>121666.66666666669</v>
      </c>
      <c r="N37" s="7">
        <f t="shared" si="10"/>
        <v>1139666.6666666663</v>
      </c>
      <c r="O37" s="7">
        <f t="shared" si="9"/>
        <v>20000</v>
      </c>
      <c r="P37" s="99">
        <f t="shared" si="2"/>
        <v>6.8965517241379309E-3</v>
      </c>
      <c r="Q37" s="99">
        <f t="shared" si="11"/>
        <v>1.077130724626834E-2</v>
      </c>
      <c r="R37">
        <v>1</v>
      </c>
      <c r="S37" s="7">
        <f t="shared" si="3"/>
        <v>3212000.0000000005</v>
      </c>
      <c r="T37" s="7">
        <f t="shared" si="4"/>
        <v>973333.33333333337</v>
      </c>
      <c r="U37" s="7">
        <f t="shared" si="5"/>
        <v>4230000</v>
      </c>
      <c r="V37" s="7">
        <f t="shared" si="6"/>
        <v>1017999.9999999995</v>
      </c>
      <c r="W37" s="7">
        <f t="shared" si="7"/>
        <v>121666.66666666669</v>
      </c>
      <c r="X37" s="7">
        <f t="shared" si="8"/>
        <v>1139666.6666666663</v>
      </c>
    </row>
    <row r="38" spans="1:24">
      <c r="A38">
        <v>37</v>
      </c>
      <c r="B38" s="96" t="s">
        <v>3566</v>
      </c>
      <c r="C38" s="95">
        <v>40321</v>
      </c>
      <c r="D38" s="82">
        <v>2880000</v>
      </c>
      <c r="E38" s="82">
        <v>2880000</v>
      </c>
      <c r="F38" s="82">
        <v>2880000</v>
      </c>
      <c r="G38" s="82">
        <v>2880000</v>
      </c>
      <c r="I38" s="97">
        <v>0</v>
      </c>
      <c r="J38" s="97">
        <v>0</v>
      </c>
      <c r="K38" s="97">
        <v>0</v>
      </c>
      <c r="M38" s="7">
        <f t="shared" si="0"/>
        <v>0</v>
      </c>
      <c r="N38" s="7">
        <f t="shared" si="10"/>
        <v>0</v>
      </c>
      <c r="O38" s="7">
        <f t="shared" si="9"/>
        <v>-40000</v>
      </c>
      <c r="P38" s="99">
        <f t="shared" si="2"/>
        <v>-1.3698630136986301E-2</v>
      </c>
      <c r="Q38" s="99">
        <f t="shared" si="11"/>
        <v>1.4183538412914982E-2</v>
      </c>
      <c r="S38" s="7">
        <f t="shared" si="3"/>
        <v>3168000.0000000005</v>
      </c>
      <c r="T38" s="7">
        <f t="shared" si="4"/>
        <v>960000</v>
      </c>
      <c r="U38" s="7">
        <f t="shared" si="5"/>
        <v>4200000</v>
      </c>
      <c r="V38" s="7">
        <f t="shared" si="6"/>
        <v>0</v>
      </c>
      <c r="W38" s="7">
        <f t="shared" si="7"/>
        <v>0</v>
      </c>
      <c r="X38" s="7">
        <f t="shared" si="8"/>
        <v>0</v>
      </c>
    </row>
    <row r="39" spans="1:24">
      <c r="A39">
        <v>38</v>
      </c>
      <c r="B39" s="96" t="s">
        <v>3565</v>
      </c>
      <c r="C39" s="95">
        <v>40318</v>
      </c>
      <c r="D39" s="82">
        <v>2920000</v>
      </c>
      <c r="E39" s="82">
        <v>2920000</v>
      </c>
      <c r="F39" s="82">
        <v>2920000</v>
      </c>
      <c r="G39" s="82">
        <v>2920000</v>
      </c>
      <c r="I39" s="97">
        <v>0</v>
      </c>
      <c r="J39" s="97">
        <v>0</v>
      </c>
      <c r="K39" s="97">
        <v>0</v>
      </c>
      <c r="M39" s="7">
        <f t="shared" si="0"/>
        <v>0</v>
      </c>
      <c r="N39" s="7">
        <f t="shared" si="10"/>
        <v>0</v>
      </c>
      <c r="O39" s="7">
        <f t="shared" si="9"/>
        <v>40000</v>
      </c>
      <c r="P39" s="99">
        <f t="shared" si="2"/>
        <v>1.3888888888888888E-2</v>
      </c>
      <c r="Q39" s="99">
        <f t="shared" si="11"/>
        <v>-2.3820647279626874E-2</v>
      </c>
      <c r="S39" s="7">
        <f t="shared" si="3"/>
        <v>3212000.0000000005</v>
      </c>
      <c r="T39" s="7">
        <f t="shared" si="4"/>
        <v>973333.33333333337</v>
      </c>
      <c r="U39" s="7">
        <f t="shared" si="5"/>
        <v>4370000</v>
      </c>
      <c r="V39" s="7">
        <f t="shared" si="6"/>
        <v>0</v>
      </c>
      <c r="W39" s="7">
        <f t="shared" si="7"/>
        <v>0</v>
      </c>
      <c r="X39" s="7">
        <f t="shared" si="8"/>
        <v>0</v>
      </c>
    </row>
    <row r="40" spans="1:24">
      <c r="A40">
        <v>39</v>
      </c>
      <c r="B40" s="96" t="s">
        <v>3564</v>
      </c>
      <c r="C40" s="95">
        <v>40322</v>
      </c>
      <c r="D40" s="82">
        <v>2880000</v>
      </c>
      <c r="E40" s="82">
        <v>2880000</v>
      </c>
      <c r="F40" s="82">
        <v>2880000</v>
      </c>
      <c r="G40" s="82">
        <v>2880000</v>
      </c>
      <c r="I40" s="97">
        <v>0</v>
      </c>
      <c r="J40" s="97">
        <v>0</v>
      </c>
      <c r="K40" s="97">
        <v>0</v>
      </c>
      <c r="M40" s="7">
        <f t="shared" si="0"/>
        <v>0</v>
      </c>
      <c r="N40" s="7">
        <f t="shared" si="10"/>
        <v>0</v>
      </c>
      <c r="O40" s="7">
        <f t="shared" si="9"/>
        <v>-40000</v>
      </c>
      <c r="P40" s="99">
        <f t="shared" si="2"/>
        <v>-1.3698630136986301E-2</v>
      </c>
      <c r="Q40" s="99">
        <f t="shared" si="11"/>
        <v>-9.931758390737986E-3</v>
      </c>
      <c r="S40" s="7">
        <f t="shared" si="3"/>
        <v>3168000.0000000005</v>
      </c>
      <c r="T40" s="7">
        <f t="shared" si="4"/>
        <v>960000</v>
      </c>
      <c r="U40" s="7">
        <f t="shared" si="5"/>
        <v>4380000</v>
      </c>
      <c r="V40" s="7">
        <f t="shared" si="6"/>
        <v>0</v>
      </c>
      <c r="W40" s="7">
        <f t="shared" si="7"/>
        <v>0</v>
      </c>
      <c r="X40" s="7">
        <f t="shared" si="8"/>
        <v>0</v>
      </c>
    </row>
    <row r="41" spans="1:24">
      <c r="A41">
        <v>40</v>
      </c>
      <c r="B41" s="96" t="s">
        <v>3563</v>
      </c>
      <c r="C41" s="95">
        <v>40323</v>
      </c>
      <c r="D41" s="82">
        <v>2900000</v>
      </c>
      <c r="E41" s="82">
        <v>2900000</v>
      </c>
      <c r="F41" s="82">
        <v>2900000</v>
      </c>
      <c r="G41" s="82">
        <v>2900000</v>
      </c>
      <c r="I41" s="98">
        <v>0</v>
      </c>
      <c r="J41" s="98">
        <v>0</v>
      </c>
      <c r="K41" s="98">
        <v>0</v>
      </c>
      <c r="M41" s="7">
        <f t="shared" si="0"/>
        <v>0</v>
      </c>
      <c r="N41" s="7">
        <f t="shared" si="10"/>
        <v>0</v>
      </c>
      <c r="O41" s="7">
        <f t="shared" si="9"/>
        <v>20000</v>
      </c>
      <c r="P41" s="99">
        <f t="shared" si="2"/>
        <v>6.9444444444444441E-3</v>
      </c>
      <c r="Q41" s="99">
        <f t="shared" si="11"/>
        <v>-1.6850727510775133E-2</v>
      </c>
      <c r="S41" s="7">
        <f t="shared" si="3"/>
        <v>3190000.0000000005</v>
      </c>
      <c r="T41" s="7">
        <f t="shared" si="4"/>
        <v>966666.66666666663</v>
      </c>
      <c r="U41" s="7">
        <f t="shared" si="5"/>
        <v>4210000</v>
      </c>
      <c r="V41" s="7">
        <f t="shared" si="6"/>
        <v>0</v>
      </c>
      <c r="W41" s="7">
        <f t="shared" si="7"/>
        <v>0</v>
      </c>
      <c r="X41" s="7">
        <f t="shared" si="8"/>
        <v>0</v>
      </c>
    </row>
    <row r="42" spans="1:24">
      <c r="A42">
        <v>41</v>
      </c>
      <c r="B42" s="96" t="s">
        <v>3562</v>
      </c>
      <c r="C42" s="95">
        <v>40324</v>
      </c>
      <c r="D42" s="82">
        <v>2910000</v>
      </c>
      <c r="E42" s="82">
        <v>2910000</v>
      </c>
      <c r="F42" s="82">
        <v>2910000</v>
      </c>
      <c r="G42" s="82">
        <v>2910000</v>
      </c>
      <c r="I42" s="82">
        <f>G42*1.1</f>
        <v>3201000.0000000005</v>
      </c>
      <c r="J42" s="82">
        <f>G42/3</f>
        <v>970000</v>
      </c>
      <c r="K42" s="7">
        <f>G310</f>
        <v>4350000</v>
      </c>
      <c r="L42" s="7">
        <f>K42-I42</f>
        <v>1148999.9999999995</v>
      </c>
      <c r="M42" s="7">
        <f t="shared" si="0"/>
        <v>121250</v>
      </c>
      <c r="N42" s="7">
        <f t="shared" si="10"/>
        <v>1270249.9999999995</v>
      </c>
      <c r="O42" s="7">
        <f t="shared" si="9"/>
        <v>10000</v>
      </c>
      <c r="P42" s="99">
        <f t="shared" si="2"/>
        <v>3.4482758620689655E-3</v>
      </c>
      <c r="Q42" s="99">
        <f t="shared" si="11"/>
        <v>3.326247834986619E-4</v>
      </c>
      <c r="R42">
        <v>1</v>
      </c>
      <c r="S42" s="7">
        <f t="shared" si="3"/>
        <v>3201000.0000000005</v>
      </c>
      <c r="T42" s="7">
        <f t="shared" si="4"/>
        <v>970000</v>
      </c>
      <c r="U42" s="7">
        <f t="shared" si="5"/>
        <v>4350000</v>
      </c>
      <c r="V42" s="7">
        <f t="shared" si="6"/>
        <v>1148999.9999999995</v>
      </c>
      <c r="W42" s="7">
        <f t="shared" si="7"/>
        <v>121250</v>
      </c>
      <c r="X42" s="7">
        <f t="shared" si="8"/>
        <v>1270249.9999999995</v>
      </c>
    </row>
    <row r="43" spans="1:24">
      <c r="A43">
        <v>42</v>
      </c>
      <c r="B43" s="96" t="s">
        <v>3561</v>
      </c>
      <c r="C43" s="95">
        <v>40325</v>
      </c>
      <c r="D43" s="82">
        <v>2950000</v>
      </c>
      <c r="E43" s="82">
        <v>2950000</v>
      </c>
      <c r="F43" s="82">
        <v>2950000</v>
      </c>
      <c r="G43" s="82">
        <v>2950000</v>
      </c>
      <c r="I43" s="97">
        <v>0</v>
      </c>
      <c r="J43" s="97">
        <v>0</v>
      </c>
      <c r="K43" s="97">
        <v>0</v>
      </c>
      <c r="M43" s="7">
        <f t="shared" si="0"/>
        <v>0</v>
      </c>
      <c r="N43" s="7">
        <f t="shared" si="10"/>
        <v>0</v>
      </c>
      <c r="O43" s="7">
        <f t="shared" si="9"/>
        <v>40000</v>
      </c>
      <c r="P43" s="99">
        <f t="shared" si="2"/>
        <v>1.3745704467353952E-2</v>
      </c>
      <c r="Q43" s="99">
        <f t="shared" si="11"/>
        <v>-3.1156510785703036E-3</v>
      </c>
      <c r="S43" s="7">
        <f t="shared" si="3"/>
        <v>3245000.0000000005</v>
      </c>
      <c r="T43" s="7">
        <f t="shared" si="4"/>
        <v>983333.33333333337</v>
      </c>
      <c r="U43" s="7">
        <f t="shared" si="5"/>
        <v>4480000</v>
      </c>
      <c r="V43" s="7">
        <f t="shared" si="6"/>
        <v>0</v>
      </c>
      <c r="W43" s="7">
        <f t="shared" si="7"/>
        <v>0</v>
      </c>
      <c r="X43" s="7">
        <f t="shared" si="8"/>
        <v>0</v>
      </c>
    </row>
    <row r="44" spans="1:24">
      <c r="A44">
        <v>43</v>
      </c>
      <c r="B44" s="96" t="s">
        <v>3560</v>
      </c>
      <c r="C44" s="95">
        <v>40327</v>
      </c>
      <c r="D44" s="82">
        <v>2960000</v>
      </c>
      <c r="E44" s="82">
        <v>2960000</v>
      </c>
      <c r="F44" s="82">
        <v>2960000</v>
      </c>
      <c r="G44" s="82">
        <v>2960000</v>
      </c>
      <c r="I44" s="97">
        <v>0</v>
      </c>
      <c r="J44" s="97">
        <v>0</v>
      </c>
      <c r="K44" s="97">
        <v>0</v>
      </c>
      <c r="M44" s="7">
        <f t="shared" si="0"/>
        <v>0</v>
      </c>
      <c r="N44" s="7">
        <f t="shared" si="10"/>
        <v>0</v>
      </c>
      <c r="O44" s="7">
        <f t="shared" si="9"/>
        <v>10000</v>
      </c>
      <c r="P44" s="99">
        <f t="shared" si="2"/>
        <v>3.3898305084745762E-3</v>
      </c>
      <c r="Q44" s="99">
        <f t="shared" si="11"/>
        <v>2.4328683525769949E-2</v>
      </c>
      <c r="S44" s="7">
        <f t="shared" si="3"/>
        <v>3256000.0000000005</v>
      </c>
      <c r="T44" s="7">
        <f t="shared" si="4"/>
        <v>986666.66666666663</v>
      </c>
      <c r="U44" s="7">
        <f t="shared" si="5"/>
        <v>4450000</v>
      </c>
      <c r="V44" s="7">
        <f t="shared" si="6"/>
        <v>0</v>
      </c>
      <c r="W44" s="7">
        <f t="shared" si="7"/>
        <v>0</v>
      </c>
      <c r="X44" s="7">
        <f t="shared" si="8"/>
        <v>0</v>
      </c>
    </row>
    <row r="45" spans="1:24">
      <c r="A45">
        <v>44</v>
      </c>
      <c r="B45" s="96" t="s">
        <v>3559</v>
      </c>
      <c r="C45" s="95">
        <v>40328</v>
      </c>
      <c r="D45" s="82">
        <v>2970000</v>
      </c>
      <c r="E45" s="82">
        <v>2970000</v>
      </c>
      <c r="F45" s="82">
        <v>2970000</v>
      </c>
      <c r="G45" s="82">
        <v>2970000</v>
      </c>
      <c r="I45" s="97">
        <v>0</v>
      </c>
      <c r="J45" s="97">
        <v>0</v>
      </c>
      <c r="K45" s="97">
        <v>0</v>
      </c>
      <c r="M45" s="7">
        <f t="shared" si="0"/>
        <v>0</v>
      </c>
      <c r="N45" s="7">
        <f t="shared" si="10"/>
        <v>0</v>
      </c>
      <c r="O45" s="7">
        <f t="shared" si="9"/>
        <v>10000</v>
      </c>
      <c r="P45" s="99">
        <f t="shared" si="2"/>
        <v>3.3783783783783786E-3</v>
      </c>
      <c r="Q45" s="99">
        <f t="shared" si="11"/>
        <v>1.3829625145355637E-2</v>
      </c>
      <c r="S45" s="7">
        <f t="shared" si="3"/>
        <v>3267000.0000000005</v>
      </c>
      <c r="T45" s="7">
        <f t="shared" si="4"/>
        <v>990000</v>
      </c>
      <c r="U45" s="7">
        <f t="shared" si="5"/>
        <v>4400000</v>
      </c>
      <c r="V45" s="7">
        <f t="shared" si="6"/>
        <v>0</v>
      </c>
      <c r="W45" s="7">
        <f t="shared" si="7"/>
        <v>0</v>
      </c>
      <c r="X45" s="7">
        <f t="shared" si="8"/>
        <v>0</v>
      </c>
    </row>
    <row r="46" spans="1:24">
      <c r="A46">
        <v>45</v>
      </c>
      <c r="B46" s="96" t="s">
        <v>3558</v>
      </c>
      <c r="C46" s="95">
        <v>40329</v>
      </c>
      <c r="D46" s="82">
        <v>2970000</v>
      </c>
      <c r="E46" s="82">
        <v>2970000</v>
      </c>
      <c r="F46" s="82">
        <v>2970000</v>
      </c>
      <c r="G46" s="82">
        <v>2970000</v>
      </c>
      <c r="I46" s="98">
        <v>0</v>
      </c>
      <c r="J46" s="98">
        <v>0</v>
      </c>
      <c r="K46" s="98">
        <v>0</v>
      </c>
      <c r="M46" s="7">
        <f t="shared" si="0"/>
        <v>0</v>
      </c>
      <c r="N46" s="7">
        <f t="shared" si="10"/>
        <v>0</v>
      </c>
      <c r="O46" s="7">
        <f t="shared" si="9"/>
        <v>0</v>
      </c>
      <c r="P46" s="99">
        <f t="shared" si="2"/>
        <v>0</v>
      </c>
      <c r="Q46" s="99">
        <f t="shared" si="11"/>
        <v>3.0906633660720315E-2</v>
      </c>
      <c r="S46" s="7">
        <f t="shared" si="3"/>
        <v>3267000.0000000005</v>
      </c>
      <c r="T46" s="7">
        <f t="shared" si="4"/>
        <v>990000</v>
      </c>
      <c r="U46" s="7">
        <f t="shared" si="5"/>
        <v>4380000</v>
      </c>
      <c r="V46" s="7">
        <f t="shared" si="6"/>
        <v>0</v>
      </c>
      <c r="W46" s="7">
        <f t="shared" si="7"/>
        <v>0</v>
      </c>
      <c r="X46" s="7">
        <f t="shared" si="8"/>
        <v>0</v>
      </c>
    </row>
    <row r="47" spans="1:24">
      <c r="A47">
        <v>46</v>
      </c>
      <c r="B47" s="96" t="s">
        <v>3557</v>
      </c>
      <c r="C47" s="95">
        <v>40330</v>
      </c>
      <c r="D47" s="82">
        <v>2980000</v>
      </c>
      <c r="E47" s="82">
        <v>2980000</v>
      </c>
      <c r="F47" s="82">
        <v>2980000</v>
      </c>
      <c r="G47" s="82">
        <v>2980000</v>
      </c>
      <c r="I47" s="82">
        <f>G47*1.1</f>
        <v>3278000.0000000005</v>
      </c>
      <c r="J47" s="82">
        <f>G47/3</f>
        <v>993333.33333333337</v>
      </c>
      <c r="K47" s="7">
        <f>G315</f>
        <v>4400000</v>
      </c>
      <c r="L47" s="7">
        <f>K47-I47</f>
        <v>1121999.9999999995</v>
      </c>
      <c r="M47" s="7">
        <f t="shared" si="0"/>
        <v>124166.66666666669</v>
      </c>
      <c r="N47" s="7">
        <f t="shared" si="10"/>
        <v>1246166.6666666663</v>
      </c>
      <c r="O47" s="7">
        <f t="shared" si="9"/>
        <v>10000</v>
      </c>
      <c r="P47" s="99">
        <f t="shared" si="2"/>
        <v>3.3670033670033669E-3</v>
      </c>
      <c r="Q47" s="99">
        <f t="shared" si="11"/>
        <v>2.3962189216275871E-2</v>
      </c>
      <c r="R47">
        <v>1</v>
      </c>
      <c r="S47" s="7">
        <f t="shared" si="3"/>
        <v>3278000.0000000005</v>
      </c>
      <c r="T47" s="7">
        <f t="shared" si="4"/>
        <v>993333.33333333337</v>
      </c>
      <c r="U47" s="7">
        <f t="shared" si="5"/>
        <v>4400000</v>
      </c>
      <c r="V47" s="7">
        <f t="shared" si="6"/>
        <v>1121999.9999999995</v>
      </c>
      <c r="W47" s="7">
        <f t="shared" si="7"/>
        <v>124166.66666666669</v>
      </c>
      <c r="X47" s="7">
        <f t="shared" si="8"/>
        <v>1246166.6666666663</v>
      </c>
    </row>
    <row r="48" spans="1:24">
      <c r="A48">
        <v>47</v>
      </c>
      <c r="B48" s="96" t="s">
        <v>3556</v>
      </c>
      <c r="C48" s="95">
        <v>40331</v>
      </c>
      <c r="D48" s="82">
        <v>3000000</v>
      </c>
      <c r="E48" s="82">
        <v>3000000</v>
      </c>
      <c r="F48" s="82">
        <v>3000000</v>
      </c>
      <c r="G48" s="82">
        <v>3000000</v>
      </c>
      <c r="I48" s="97">
        <v>0</v>
      </c>
      <c r="J48" s="97">
        <v>0</v>
      </c>
      <c r="K48" s="97">
        <v>0</v>
      </c>
      <c r="M48" s="7">
        <f t="shared" si="0"/>
        <v>0</v>
      </c>
      <c r="N48" s="7">
        <f t="shared" si="10"/>
        <v>0</v>
      </c>
      <c r="O48" s="7">
        <f t="shared" si="9"/>
        <v>20000</v>
      </c>
      <c r="P48" s="99">
        <f t="shared" si="2"/>
        <v>6.7114093959731542E-3</v>
      </c>
      <c r="Q48" s="99">
        <f t="shared" si="11"/>
        <v>2.3880916721210271E-2</v>
      </c>
      <c r="S48" s="7">
        <f t="shared" si="3"/>
        <v>3300000.0000000005</v>
      </c>
      <c r="T48" s="7">
        <f t="shared" si="4"/>
        <v>1000000</v>
      </c>
      <c r="U48" s="7">
        <f t="shared" si="5"/>
        <v>4400000</v>
      </c>
      <c r="V48" s="7">
        <f t="shared" si="6"/>
        <v>0</v>
      </c>
      <c r="W48" s="7">
        <f t="shared" si="7"/>
        <v>0</v>
      </c>
      <c r="X48" s="7">
        <f t="shared" si="8"/>
        <v>0</v>
      </c>
    </row>
    <row r="49" spans="1:24">
      <c r="A49">
        <v>48</v>
      </c>
      <c r="B49" s="96" t="s">
        <v>3555</v>
      </c>
      <c r="C49" s="95">
        <v>40332</v>
      </c>
      <c r="D49" s="82">
        <v>3040000</v>
      </c>
      <c r="E49" s="82">
        <v>3040000</v>
      </c>
      <c r="F49" s="82">
        <v>3040000</v>
      </c>
      <c r="G49" s="82">
        <v>3040000</v>
      </c>
      <c r="I49" s="97">
        <v>0</v>
      </c>
      <c r="J49" s="97">
        <v>0</v>
      </c>
      <c r="K49" s="97">
        <v>0</v>
      </c>
      <c r="M49" s="7">
        <f t="shared" si="0"/>
        <v>0</v>
      </c>
      <c r="N49" s="7">
        <f t="shared" si="10"/>
        <v>0</v>
      </c>
      <c r="O49" s="7">
        <f t="shared" si="9"/>
        <v>40000</v>
      </c>
      <c r="P49" s="99">
        <f t="shared" si="2"/>
        <v>1.3333333333333334E-2</v>
      </c>
      <c r="Q49" s="99">
        <f t="shared" si="11"/>
        <v>1.6846621649829478E-2</v>
      </c>
      <c r="S49" s="7">
        <f t="shared" si="3"/>
        <v>3344000.0000000005</v>
      </c>
      <c r="T49" s="7">
        <f t="shared" si="4"/>
        <v>1013333.3333333334</v>
      </c>
      <c r="U49" s="7">
        <f t="shared" si="5"/>
        <v>4420000</v>
      </c>
      <c r="V49" s="7">
        <f t="shared" si="6"/>
        <v>0</v>
      </c>
      <c r="W49" s="7">
        <f t="shared" si="7"/>
        <v>0</v>
      </c>
      <c r="X49" s="7">
        <f t="shared" si="8"/>
        <v>0</v>
      </c>
    </row>
    <row r="50" spans="1:24">
      <c r="A50">
        <v>49</v>
      </c>
      <c r="B50" s="96" t="s">
        <v>3554</v>
      </c>
      <c r="C50" s="95">
        <v>40335</v>
      </c>
      <c r="D50" s="82">
        <v>3020000</v>
      </c>
      <c r="E50" s="82">
        <v>3020000</v>
      </c>
      <c r="F50" s="82">
        <v>3020000</v>
      </c>
      <c r="G50" s="82">
        <v>3020000</v>
      </c>
      <c r="I50" s="97">
        <v>0</v>
      </c>
      <c r="J50" s="97">
        <v>0</v>
      </c>
      <c r="K50" s="97">
        <v>0</v>
      </c>
      <c r="M50" s="7">
        <f t="shared" si="0"/>
        <v>0</v>
      </c>
      <c r="N50" s="7">
        <f t="shared" si="10"/>
        <v>0</v>
      </c>
      <c r="O50" s="7">
        <f t="shared" si="9"/>
        <v>-20000</v>
      </c>
      <c r="P50" s="99">
        <f t="shared" si="2"/>
        <v>-6.5789473684210523E-3</v>
      </c>
      <c r="Q50" s="99">
        <f t="shared" si="11"/>
        <v>2.6790124474688232E-2</v>
      </c>
      <c r="S50" s="7">
        <f t="shared" si="3"/>
        <v>3322000.0000000005</v>
      </c>
      <c r="T50" s="7">
        <f t="shared" si="4"/>
        <v>1006666.6666666666</v>
      </c>
      <c r="U50" s="7">
        <f t="shared" si="5"/>
        <v>4470000</v>
      </c>
      <c r="V50" s="7">
        <f t="shared" si="6"/>
        <v>0</v>
      </c>
      <c r="W50" s="7">
        <f t="shared" si="7"/>
        <v>0</v>
      </c>
      <c r="X50" s="7">
        <f t="shared" si="8"/>
        <v>0</v>
      </c>
    </row>
    <row r="51" spans="1:24">
      <c r="A51">
        <v>50</v>
      </c>
      <c r="B51" s="96" t="s">
        <v>3553</v>
      </c>
      <c r="C51" s="95">
        <v>40336</v>
      </c>
      <c r="D51" s="82">
        <v>3015000</v>
      </c>
      <c r="E51" s="82">
        <v>3015000</v>
      </c>
      <c r="F51" s="82">
        <v>3015000</v>
      </c>
      <c r="G51" s="82">
        <v>3015000</v>
      </c>
      <c r="I51" s="98">
        <v>0</v>
      </c>
      <c r="J51" s="98">
        <v>0</v>
      </c>
      <c r="K51" s="98">
        <v>0</v>
      </c>
      <c r="M51" s="7">
        <f t="shared" si="0"/>
        <v>0</v>
      </c>
      <c r="N51" s="7">
        <f t="shared" si="10"/>
        <v>0</v>
      </c>
      <c r="O51" s="7">
        <f t="shared" si="9"/>
        <v>-5000</v>
      </c>
      <c r="P51" s="99">
        <f t="shared" si="2"/>
        <v>-1.6556291390728477E-3</v>
      </c>
      <c r="Q51" s="99">
        <f t="shared" si="11"/>
        <v>1.6832798727888801E-2</v>
      </c>
      <c r="S51" s="7">
        <f t="shared" si="3"/>
        <v>3316500.0000000005</v>
      </c>
      <c r="T51" s="7">
        <f t="shared" si="4"/>
        <v>1005000</v>
      </c>
      <c r="U51" s="7">
        <f t="shared" si="5"/>
        <v>4470000</v>
      </c>
      <c r="V51" s="7">
        <f t="shared" si="6"/>
        <v>0</v>
      </c>
      <c r="W51" s="7">
        <f t="shared" si="7"/>
        <v>0</v>
      </c>
      <c r="X51" s="7">
        <f t="shared" si="8"/>
        <v>0</v>
      </c>
    </row>
    <row r="52" spans="1:24">
      <c r="A52">
        <v>51</v>
      </c>
      <c r="B52" s="96" t="s">
        <v>3552</v>
      </c>
      <c r="C52" s="95">
        <v>40337</v>
      </c>
      <c r="D52" s="82">
        <v>3020000</v>
      </c>
      <c r="E52" s="82">
        <v>3020000</v>
      </c>
      <c r="F52" s="82">
        <v>3020000</v>
      </c>
      <c r="G52" s="82">
        <v>3020000</v>
      </c>
      <c r="I52" s="82">
        <f>G52*1.1</f>
        <v>3322000.0000000005</v>
      </c>
      <c r="J52" s="82">
        <f>G52/3</f>
        <v>1006666.6666666666</v>
      </c>
      <c r="K52" s="7">
        <f>G320</f>
        <v>4550000</v>
      </c>
      <c r="L52" s="7">
        <f>K52-I52</f>
        <v>1227999.9999999995</v>
      </c>
      <c r="M52" s="7">
        <f t="shared" si="0"/>
        <v>125833.33333333331</v>
      </c>
      <c r="N52" s="7">
        <f t="shared" si="10"/>
        <v>1353833.3333333328</v>
      </c>
      <c r="O52" s="7">
        <f t="shared" si="9"/>
        <v>5000</v>
      </c>
      <c r="P52" s="99">
        <f t="shared" si="2"/>
        <v>1.658374792703151E-3</v>
      </c>
      <c r="Q52" s="99">
        <f t="shared" si="11"/>
        <v>1.5177169588815953E-2</v>
      </c>
      <c r="R52">
        <v>1</v>
      </c>
      <c r="S52" s="7">
        <f t="shared" si="3"/>
        <v>3322000.0000000005</v>
      </c>
      <c r="T52" s="7">
        <f t="shared" si="4"/>
        <v>1006666.6666666666</v>
      </c>
      <c r="U52" s="7">
        <f t="shared" si="5"/>
        <v>4550000</v>
      </c>
      <c r="V52" s="7">
        <f t="shared" si="6"/>
        <v>1227999.9999999995</v>
      </c>
      <c r="W52" s="7">
        <f t="shared" si="7"/>
        <v>125833.33333333331</v>
      </c>
      <c r="X52" s="7">
        <f t="shared" si="8"/>
        <v>1353833.3333333328</v>
      </c>
    </row>
    <row r="53" spans="1:24">
      <c r="A53">
        <v>52</v>
      </c>
      <c r="B53" s="96" t="s">
        <v>3551</v>
      </c>
      <c r="C53" s="95">
        <v>40338</v>
      </c>
      <c r="D53" s="82">
        <v>3070000</v>
      </c>
      <c r="E53" s="82">
        <v>3070000</v>
      </c>
      <c r="F53" s="82">
        <v>3070000</v>
      </c>
      <c r="G53" s="82">
        <v>3070000</v>
      </c>
      <c r="I53" s="97">
        <v>0</v>
      </c>
      <c r="J53" s="97">
        <v>0</v>
      </c>
      <c r="K53" s="97">
        <v>0</v>
      </c>
      <c r="M53" s="7">
        <f t="shared" si="0"/>
        <v>0</v>
      </c>
      <c r="N53" s="7">
        <f t="shared" si="10"/>
        <v>0</v>
      </c>
      <c r="O53" s="7">
        <f t="shared" si="9"/>
        <v>50000</v>
      </c>
      <c r="P53" s="99">
        <f t="shared" si="2"/>
        <v>1.6556291390728478E-2</v>
      </c>
      <c r="Q53" s="99">
        <f t="shared" si="11"/>
        <v>1.3468541014515738E-2</v>
      </c>
      <c r="S53" s="7">
        <f t="shared" si="3"/>
        <v>3377000.0000000005</v>
      </c>
      <c r="T53" s="7">
        <f t="shared" si="4"/>
        <v>1023333.3333333334</v>
      </c>
      <c r="U53" s="7">
        <f t="shared" si="5"/>
        <v>4600000</v>
      </c>
      <c r="V53" s="7">
        <f t="shared" si="6"/>
        <v>0</v>
      </c>
      <c r="W53" s="7">
        <f t="shared" si="7"/>
        <v>0</v>
      </c>
      <c r="X53" s="7">
        <f t="shared" si="8"/>
        <v>0</v>
      </c>
    </row>
    <row r="54" spans="1:24">
      <c r="A54">
        <v>53</v>
      </c>
      <c r="B54" s="96" t="s">
        <v>3550</v>
      </c>
      <c r="C54" s="95">
        <v>40339</v>
      </c>
      <c r="D54" s="82">
        <v>3100000</v>
      </c>
      <c r="E54" s="82">
        <v>3100000</v>
      </c>
      <c r="F54" s="82">
        <v>3100000</v>
      </c>
      <c r="G54" s="82">
        <v>3100000</v>
      </c>
      <c r="I54" s="97">
        <v>0</v>
      </c>
      <c r="J54" s="97">
        <v>0</v>
      </c>
      <c r="K54" s="97">
        <v>0</v>
      </c>
      <c r="M54" s="7">
        <f t="shared" si="0"/>
        <v>0</v>
      </c>
      <c r="N54" s="7">
        <f t="shared" si="10"/>
        <v>0</v>
      </c>
      <c r="O54" s="7">
        <f t="shared" si="9"/>
        <v>30000</v>
      </c>
      <c r="P54" s="99">
        <f t="shared" si="2"/>
        <v>9.7719869706840382E-3</v>
      </c>
      <c r="Q54" s="99">
        <f t="shared" si="11"/>
        <v>2.3313423009271063E-2</v>
      </c>
      <c r="S54" s="7">
        <f t="shared" si="3"/>
        <v>3410000.0000000005</v>
      </c>
      <c r="T54" s="7">
        <f t="shared" si="4"/>
        <v>1033333.3333333334</v>
      </c>
      <c r="U54" s="7">
        <f t="shared" si="5"/>
        <v>4620000</v>
      </c>
      <c r="V54" s="7">
        <f t="shared" si="6"/>
        <v>0</v>
      </c>
      <c r="W54" s="7">
        <f t="shared" si="7"/>
        <v>0</v>
      </c>
      <c r="X54" s="7">
        <f t="shared" si="8"/>
        <v>0</v>
      </c>
    </row>
    <row r="55" spans="1:24">
      <c r="A55">
        <v>54</v>
      </c>
      <c r="B55" s="96" t="s">
        <v>3549</v>
      </c>
      <c r="C55" s="95">
        <v>40341</v>
      </c>
      <c r="D55" s="82">
        <v>3110000</v>
      </c>
      <c r="E55" s="82">
        <v>3110000</v>
      </c>
      <c r="F55" s="82">
        <v>3110000</v>
      </c>
      <c r="G55" s="82">
        <v>3110000</v>
      </c>
      <c r="I55" s="97">
        <v>0</v>
      </c>
      <c r="J55" s="97">
        <v>0</v>
      </c>
      <c r="K55" s="97">
        <v>0</v>
      </c>
      <c r="M55" s="7">
        <f t="shared" si="0"/>
        <v>0</v>
      </c>
      <c r="N55" s="7">
        <f t="shared" si="10"/>
        <v>0</v>
      </c>
      <c r="O55" s="7">
        <f t="shared" si="9"/>
        <v>10000</v>
      </c>
      <c r="P55" s="99">
        <f t="shared" si="2"/>
        <v>3.2258064516129032E-3</v>
      </c>
      <c r="Q55" s="99">
        <f t="shared" si="11"/>
        <v>1.975207664662177E-2</v>
      </c>
      <c r="S55" s="7">
        <f t="shared" si="3"/>
        <v>3421000.0000000005</v>
      </c>
      <c r="T55" s="7">
        <f t="shared" si="4"/>
        <v>1036666.6666666666</v>
      </c>
      <c r="U55" s="7">
        <f t="shared" si="5"/>
        <v>4560000</v>
      </c>
      <c r="V55" s="7">
        <f t="shared" si="6"/>
        <v>0</v>
      </c>
      <c r="W55" s="7">
        <f t="shared" si="7"/>
        <v>0</v>
      </c>
      <c r="X55" s="7">
        <f t="shared" si="8"/>
        <v>0</v>
      </c>
    </row>
    <row r="56" spans="1:24">
      <c r="A56">
        <v>55</v>
      </c>
      <c r="B56" s="96" t="s">
        <v>3548</v>
      </c>
      <c r="C56" s="95">
        <v>40342</v>
      </c>
      <c r="D56" s="82">
        <v>3085000</v>
      </c>
      <c r="E56" s="82">
        <v>3085000</v>
      </c>
      <c r="F56" s="82">
        <v>3085000</v>
      </c>
      <c r="G56" s="82">
        <v>3085000</v>
      </c>
      <c r="I56" s="98">
        <v>0</v>
      </c>
      <c r="J56" s="98">
        <v>0</v>
      </c>
      <c r="K56" s="98">
        <v>0</v>
      </c>
      <c r="M56" s="7">
        <f t="shared" si="0"/>
        <v>0</v>
      </c>
      <c r="N56" s="7">
        <f t="shared" si="10"/>
        <v>0</v>
      </c>
      <c r="O56" s="7">
        <f t="shared" si="9"/>
        <v>-25000</v>
      </c>
      <c r="P56" s="99">
        <f t="shared" si="2"/>
        <v>-8.0385852090032149E-3</v>
      </c>
      <c r="Q56" s="99">
        <f t="shared" si="11"/>
        <v>2.9556830466655727E-2</v>
      </c>
      <c r="S56" s="7">
        <f t="shared" si="3"/>
        <v>3393500.0000000005</v>
      </c>
      <c r="T56" s="7">
        <f t="shared" si="4"/>
        <v>1028333.3333333334</v>
      </c>
      <c r="U56" s="7">
        <f t="shared" si="5"/>
        <v>4600000</v>
      </c>
      <c r="V56" s="7">
        <f t="shared" si="6"/>
        <v>0</v>
      </c>
      <c r="W56" s="7">
        <f t="shared" si="7"/>
        <v>0</v>
      </c>
      <c r="X56" s="7">
        <f t="shared" si="8"/>
        <v>0</v>
      </c>
    </row>
    <row r="57" spans="1:24">
      <c r="A57">
        <v>56</v>
      </c>
      <c r="B57" s="96" t="s">
        <v>3547</v>
      </c>
      <c r="C57" s="95">
        <v>40343</v>
      </c>
      <c r="D57" s="82">
        <v>3075000</v>
      </c>
      <c r="E57" s="82">
        <v>3075000</v>
      </c>
      <c r="F57" s="82">
        <v>3075000</v>
      </c>
      <c r="G57" s="82">
        <v>3075000</v>
      </c>
      <c r="I57" s="82">
        <f>G57*1.1</f>
        <v>3382500.0000000005</v>
      </c>
      <c r="J57" s="82">
        <f>G57/3</f>
        <v>1025000</v>
      </c>
      <c r="K57" s="7">
        <f>G325</f>
        <v>4570000</v>
      </c>
      <c r="L57" s="7">
        <f>K57-I57</f>
        <v>1187499.9999999995</v>
      </c>
      <c r="M57" s="7">
        <f t="shared" si="0"/>
        <v>128125</v>
      </c>
      <c r="N57" s="7">
        <f t="shared" si="10"/>
        <v>1315624.9999999995</v>
      </c>
      <c r="O57" s="7">
        <f t="shared" si="9"/>
        <v>-10000</v>
      </c>
      <c r="P57" s="99">
        <f t="shared" si="2"/>
        <v>-3.2414910858995136E-3</v>
      </c>
      <c r="Q57" s="99">
        <f t="shared" si="11"/>
        <v>2.3173874396725355E-2</v>
      </c>
      <c r="R57">
        <v>1</v>
      </c>
      <c r="S57" s="7">
        <f t="shared" si="3"/>
        <v>3382500.0000000005</v>
      </c>
      <c r="T57" s="7">
        <f t="shared" si="4"/>
        <v>1025000</v>
      </c>
      <c r="U57" s="7">
        <f t="shared" si="5"/>
        <v>4570000</v>
      </c>
      <c r="V57" s="7">
        <f t="shared" si="6"/>
        <v>1187499.9999999995</v>
      </c>
      <c r="W57" s="7">
        <f t="shared" si="7"/>
        <v>128125</v>
      </c>
      <c r="X57" s="7">
        <f t="shared" si="8"/>
        <v>1315624.9999999995</v>
      </c>
    </row>
    <row r="58" spans="1:24">
      <c r="A58">
        <v>57</v>
      </c>
      <c r="B58" s="96" t="s">
        <v>3546</v>
      </c>
      <c r="C58" s="95">
        <v>40344</v>
      </c>
      <c r="D58" s="82">
        <v>3080000</v>
      </c>
      <c r="E58" s="82">
        <v>3080000</v>
      </c>
      <c r="F58" s="82">
        <v>3080000</v>
      </c>
      <c r="G58" s="82">
        <v>3080000</v>
      </c>
      <c r="I58" s="97">
        <v>0</v>
      </c>
      <c r="J58" s="97">
        <v>0</v>
      </c>
      <c r="K58" s="97">
        <v>0</v>
      </c>
      <c r="M58" s="7">
        <f t="shared" si="0"/>
        <v>0</v>
      </c>
      <c r="N58" s="7">
        <f t="shared" si="10"/>
        <v>0</v>
      </c>
      <c r="O58" s="7">
        <f t="shared" si="9"/>
        <v>5000</v>
      </c>
      <c r="P58" s="99">
        <f t="shared" si="2"/>
        <v>1.6260162601626016E-3</v>
      </c>
      <c r="Q58" s="99">
        <f t="shared" si="11"/>
        <v>1.8274008518122692E-2</v>
      </c>
      <c r="S58" s="7">
        <f t="shared" si="3"/>
        <v>3388000.0000000005</v>
      </c>
      <c r="T58" s="7">
        <f t="shared" si="4"/>
        <v>1026666.6666666666</v>
      </c>
      <c r="U58" s="7">
        <f t="shared" si="5"/>
        <v>4550000</v>
      </c>
      <c r="V58" s="7">
        <f t="shared" si="6"/>
        <v>0</v>
      </c>
      <c r="W58" s="7">
        <f t="shared" si="7"/>
        <v>0</v>
      </c>
      <c r="X58" s="7">
        <f t="shared" si="8"/>
        <v>0</v>
      </c>
    </row>
    <row r="59" spans="1:24">
      <c r="A59">
        <v>58</v>
      </c>
      <c r="B59" s="96" t="s">
        <v>3545</v>
      </c>
      <c r="C59" s="95">
        <v>40345</v>
      </c>
      <c r="D59" s="82">
        <v>3040000</v>
      </c>
      <c r="E59" s="82">
        <v>3040000</v>
      </c>
      <c r="F59" s="82">
        <v>3040000</v>
      </c>
      <c r="G59" s="82">
        <v>3040000</v>
      </c>
      <c r="I59" s="97">
        <v>0</v>
      </c>
      <c r="J59" s="97">
        <v>0</v>
      </c>
      <c r="K59" s="97">
        <v>0</v>
      </c>
      <c r="M59" s="7">
        <f t="shared" si="0"/>
        <v>0</v>
      </c>
      <c r="N59" s="7">
        <f t="shared" si="10"/>
        <v>0</v>
      </c>
      <c r="O59" s="7">
        <f t="shared" si="9"/>
        <v>-40000</v>
      </c>
      <c r="P59" s="99">
        <f t="shared" si="2"/>
        <v>-1.2987012987012988E-2</v>
      </c>
      <c r="Q59" s="99">
        <f t="shared" si="11"/>
        <v>3.3437333875568141E-3</v>
      </c>
      <c r="S59" s="7">
        <f t="shared" si="3"/>
        <v>3344000.0000000005</v>
      </c>
      <c r="T59" s="7">
        <f t="shared" si="4"/>
        <v>1013333.3333333334</v>
      </c>
      <c r="U59" s="7">
        <f t="shared" si="5"/>
        <v>4520000</v>
      </c>
      <c r="V59" s="7">
        <f t="shared" si="6"/>
        <v>0</v>
      </c>
      <c r="W59" s="7">
        <f t="shared" si="7"/>
        <v>0</v>
      </c>
      <c r="X59" s="7">
        <f t="shared" si="8"/>
        <v>0</v>
      </c>
    </row>
    <row r="60" spans="1:24">
      <c r="A60">
        <v>59</v>
      </c>
      <c r="B60" s="96" t="s">
        <v>3544</v>
      </c>
      <c r="C60" s="95">
        <v>40346</v>
      </c>
      <c r="D60" s="82">
        <v>3060000</v>
      </c>
      <c r="E60" s="82">
        <v>3060000</v>
      </c>
      <c r="F60" s="82">
        <v>3060000</v>
      </c>
      <c r="G60" s="82">
        <v>3060000</v>
      </c>
      <c r="I60" s="97">
        <v>0</v>
      </c>
      <c r="J60" s="97">
        <v>0</v>
      </c>
      <c r="K60" s="97">
        <v>0</v>
      </c>
      <c r="M60" s="7">
        <f t="shared" si="0"/>
        <v>0</v>
      </c>
      <c r="N60" s="7">
        <f t="shared" si="10"/>
        <v>0</v>
      </c>
      <c r="O60" s="7">
        <f t="shared" si="9"/>
        <v>20000</v>
      </c>
      <c r="P60" s="99">
        <f t="shared" si="2"/>
        <v>6.5789473684210523E-3</v>
      </c>
      <c r="Q60" s="99">
        <f t="shared" si="11"/>
        <v>-1.9415266570140213E-2</v>
      </c>
      <c r="S60" s="7">
        <f t="shared" si="3"/>
        <v>3366000.0000000005</v>
      </c>
      <c r="T60" s="7">
        <f t="shared" si="4"/>
        <v>1020000</v>
      </c>
      <c r="U60" s="7">
        <f t="shared" si="5"/>
        <v>4480000</v>
      </c>
      <c r="V60" s="7">
        <f t="shared" si="6"/>
        <v>0</v>
      </c>
      <c r="W60" s="7">
        <f t="shared" si="7"/>
        <v>0</v>
      </c>
      <c r="X60" s="7">
        <f t="shared" si="8"/>
        <v>0</v>
      </c>
    </row>
    <row r="61" spans="1:24">
      <c r="A61">
        <v>60</v>
      </c>
      <c r="B61" s="96" t="s">
        <v>3543</v>
      </c>
      <c r="C61" s="95">
        <v>40348</v>
      </c>
      <c r="D61" s="82">
        <v>3060000</v>
      </c>
      <c r="E61" s="82">
        <v>3060000</v>
      </c>
      <c r="F61" s="82">
        <v>3060000</v>
      </c>
      <c r="G61" s="82">
        <v>3060000</v>
      </c>
      <c r="I61" s="98">
        <v>0</v>
      </c>
      <c r="J61" s="98">
        <v>0</v>
      </c>
      <c r="K61" s="98">
        <v>0</v>
      </c>
      <c r="M61" s="7">
        <f t="shared" si="0"/>
        <v>0</v>
      </c>
      <c r="N61" s="7">
        <f t="shared" si="10"/>
        <v>0</v>
      </c>
      <c r="O61" s="7">
        <f t="shared" si="9"/>
        <v>0</v>
      </c>
      <c r="P61" s="99">
        <f t="shared" si="2"/>
        <v>0</v>
      </c>
      <c r="Q61" s="99">
        <f t="shared" si="11"/>
        <v>-1.6062125653332062E-2</v>
      </c>
      <c r="S61" s="7">
        <f t="shared" si="3"/>
        <v>3366000.0000000005</v>
      </c>
      <c r="T61" s="7">
        <f t="shared" si="4"/>
        <v>1020000</v>
      </c>
      <c r="U61" s="7">
        <f t="shared" si="5"/>
        <v>4470000</v>
      </c>
      <c r="V61" s="7">
        <f t="shared" si="6"/>
        <v>0</v>
      </c>
      <c r="W61" s="7">
        <f t="shared" si="7"/>
        <v>0</v>
      </c>
      <c r="X61" s="7">
        <f t="shared" si="8"/>
        <v>0</v>
      </c>
    </row>
    <row r="62" spans="1:24">
      <c r="A62">
        <v>61</v>
      </c>
      <c r="B62" s="96" t="s">
        <v>3542</v>
      </c>
      <c r="C62" s="95">
        <v>40349</v>
      </c>
      <c r="D62" s="82">
        <v>3100000</v>
      </c>
      <c r="E62" s="82">
        <v>3100000</v>
      </c>
      <c r="F62" s="82">
        <v>3100000</v>
      </c>
      <c r="G62" s="82">
        <v>3100000</v>
      </c>
      <c r="I62" s="82">
        <f>G62*1.1</f>
        <v>3410000.0000000005</v>
      </c>
      <c r="J62" s="82">
        <f>G62/3</f>
        <v>1033333.3333333334</v>
      </c>
      <c r="K62" s="7">
        <f>G330</f>
        <v>4420000</v>
      </c>
      <c r="L62" s="7">
        <f>K62-I62</f>
        <v>1009999.9999999995</v>
      </c>
      <c r="M62" s="7">
        <f t="shared" si="0"/>
        <v>129166.66666666669</v>
      </c>
      <c r="N62" s="7">
        <f t="shared" si="10"/>
        <v>1139166.6666666663</v>
      </c>
      <c r="O62" s="7">
        <f t="shared" si="9"/>
        <v>40000</v>
      </c>
      <c r="P62" s="99">
        <f t="shared" si="2"/>
        <v>1.3071895424836602E-2</v>
      </c>
      <c r="Q62" s="99">
        <f t="shared" si="11"/>
        <v>-8.0235404443288472E-3</v>
      </c>
      <c r="R62">
        <v>1</v>
      </c>
      <c r="S62" s="7">
        <f t="shared" si="3"/>
        <v>3410000.0000000005</v>
      </c>
      <c r="T62" s="7">
        <f t="shared" si="4"/>
        <v>1033333.3333333334</v>
      </c>
      <c r="U62" s="7">
        <f t="shared" si="5"/>
        <v>4420000</v>
      </c>
      <c r="V62" s="7">
        <f t="shared" si="6"/>
        <v>1009999.9999999995</v>
      </c>
      <c r="W62" s="7">
        <f t="shared" si="7"/>
        <v>129166.66666666669</v>
      </c>
      <c r="X62" s="7">
        <f t="shared" si="8"/>
        <v>1139166.6666666663</v>
      </c>
    </row>
    <row r="63" spans="1:24">
      <c r="A63">
        <v>62</v>
      </c>
      <c r="B63" s="96" t="s">
        <v>3541</v>
      </c>
      <c r="C63" s="95">
        <v>40351</v>
      </c>
      <c r="D63" s="82">
        <v>3120000</v>
      </c>
      <c r="E63" s="82">
        <v>3120000</v>
      </c>
      <c r="F63" s="82">
        <v>3120000</v>
      </c>
      <c r="G63" s="82">
        <v>3120000</v>
      </c>
      <c r="I63" s="97">
        <v>0</v>
      </c>
      <c r="J63" s="97">
        <v>0</v>
      </c>
      <c r="K63" s="97">
        <v>0</v>
      </c>
      <c r="M63" s="7">
        <f t="shared" si="0"/>
        <v>0</v>
      </c>
      <c r="N63" s="7">
        <f t="shared" si="10"/>
        <v>0</v>
      </c>
      <c r="O63" s="7">
        <f t="shared" si="9"/>
        <v>20000</v>
      </c>
      <c r="P63" s="99">
        <f t="shared" si="2"/>
        <v>6.4516129032258064E-3</v>
      </c>
      <c r="Q63" s="99">
        <f t="shared" si="11"/>
        <v>8.2898460664072669E-3</v>
      </c>
      <c r="S63" s="7">
        <f t="shared" si="3"/>
        <v>3432000.0000000005</v>
      </c>
      <c r="T63" s="7">
        <f t="shared" si="4"/>
        <v>1040000</v>
      </c>
      <c r="U63" s="7">
        <f t="shared" si="5"/>
        <v>4440000</v>
      </c>
      <c r="V63" s="7">
        <f t="shared" si="6"/>
        <v>0</v>
      </c>
      <c r="W63" s="7">
        <f t="shared" si="7"/>
        <v>0</v>
      </c>
      <c r="X63" s="7">
        <f t="shared" si="8"/>
        <v>0</v>
      </c>
    </row>
    <row r="64" spans="1:24">
      <c r="A64">
        <v>63</v>
      </c>
      <c r="B64" s="96" t="s">
        <v>3540</v>
      </c>
      <c r="C64" s="95">
        <v>40352</v>
      </c>
      <c r="D64" s="82">
        <v>3080000</v>
      </c>
      <c r="E64" s="82">
        <v>3080000</v>
      </c>
      <c r="F64" s="82">
        <v>3080000</v>
      </c>
      <c r="G64" s="82">
        <v>3080000</v>
      </c>
      <c r="I64" s="97">
        <v>0</v>
      </c>
      <c r="J64" s="97">
        <v>0</v>
      </c>
      <c r="K64" s="97">
        <v>0</v>
      </c>
      <c r="M64" s="7">
        <f t="shared" si="0"/>
        <v>0</v>
      </c>
      <c r="N64" s="7">
        <f t="shared" si="10"/>
        <v>0</v>
      </c>
      <c r="O64" s="7">
        <f t="shared" si="9"/>
        <v>-40000</v>
      </c>
      <c r="P64" s="99">
        <f t="shared" si="2"/>
        <v>-1.282051282051282E-2</v>
      </c>
      <c r="Q64" s="99">
        <f t="shared" si="11"/>
        <v>1.3115442709470473E-2</v>
      </c>
      <c r="S64" s="7">
        <f t="shared" si="3"/>
        <v>3388000.0000000005</v>
      </c>
      <c r="T64" s="7">
        <f t="shared" si="4"/>
        <v>1026666.6666666666</v>
      </c>
      <c r="U64" s="7">
        <f t="shared" si="5"/>
        <v>4350000</v>
      </c>
      <c r="V64" s="7">
        <f t="shared" si="6"/>
        <v>0</v>
      </c>
      <c r="W64" s="7">
        <f t="shared" si="7"/>
        <v>0</v>
      </c>
      <c r="X64" s="7">
        <f t="shared" si="8"/>
        <v>0</v>
      </c>
    </row>
    <row r="65" spans="1:24">
      <c r="A65">
        <v>64</v>
      </c>
      <c r="B65" s="96" t="s">
        <v>3539</v>
      </c>
      <c r="C65" s="95">
        <v>40353</v>
      </c>
      <c r="D65" s="82">
        <v>3080000</v>
      </c>
      <c r="E65" s="82">
        <v>3080000</v>
      </c>
      <c r="F65" s="82">
        <v>3080000</v>
      </c>
      <c r="G65" s="82">
        <v>3080000</v>
      </c>
      <c r="I65" s="97">
        <v>0</v>
      </c>
      <c r="J65" s="97">
        <v>0</v>
      </c>
      <c r="K65" s="97">
        <v>0</v>
      </c>
      <c r="M65" s="7">
        <f t="shared" si="0"/>
        <v>0</v>
      </c>
      <c r="N65" s="7">
        <f t="shared" si="10"/>
        <v>0</v>
      </c>
      <c r="O65" s="7">
        <f t="shared" si="9"/>
        <v>0</v>
      </c>
      <c r="P65" s="99">
        <f t="shared" si="2"/>
        <v>0</v>
      </c>
      <c r="Q65" s="99">
        <f t="shared" si="11"/>
        <v>1.3281942875970641E-2</v>
      </c>
      <c r="S65" s="7">
        <f t="shared" si="3"/>
        <v>3388000.0000000005</v>
      </c>
      <c r="T65" s="7">
        <f t="shared" si="4"/>
        <v>1026666.6666666666</v>
      </c>
      <c r="U65" s="7">
        <f t="shared" si="5"/>
        <v>4280000</v>
      </c>
      <c r="V65" s="7">
        <f t="shared" si="6"/>
        <v>0</v>
      </c>
      <c r="W65" s="7">
        <f t="shared" si="7"/>
        <v>0</v>
      </c>
      <c r="X65" s="7">
        <f t="shared" si="8"/>
        <v>0</v>
      </c>
    </row>
    <row r="66" spans="1:24">
      <c r="A66">
        <v>65</v>
      </c>
      <c r="B66" s="96" t="s">
        <v>3538</v>
      </c>
      <c r="C66" s="95">
        <v>40356</v>
      </c>
      <c r="D66" s="82">
        <v>3085000</v>
      </c>
      <c r="E66" s="82">
        <v>3085000</v>
      </c>
      <c r="F66" s="82">
        <v>3085000</v>
      </c>
      <c r="G66" s="82">
        <v>3085000</v>
      </c>
      <c r="I66" s="98">
        <v>0</v>
      </c>
      <c r="J66" s="98">
        <v>0</v>
      </c>
      <c r="K66" s="98">
        <v>0</v>
      </c>
      <c r="M66" s="7">
        <f t="shared" ref="M66:M129" si="12">J66*$AI$6/200</f>
        <v>0</v>
      </c>
      <c r="N66" s="7">
        <f t="shared" si="10"/>
        <v>0</v>
      </c>
      <c r="O66" s="7">
        <f t="shared" si="9"/>
        <v>5000</v>
      </c>
      <c r="P66" s="99">
        <f t="shared" si="2"/>
        <v>1.6233766233766235E-3</v>
      </c>
      <c r="Q66" s="99">
        <f t="shared" si="11"/>
        <v>6.7029955075495889E-3</v>
      </c>
      <c r="S66" s="7">
        <f t="shared" si="3"/>
        <v>3393500.0000000005</v>
      </c>
      <c r="T66" s="7">
        <f t="shared" si="4"/>
        <v>1028333.3333333334</v>
      </c>
      <c r="U66" s="7">
        <f t="shared" si="5"/>
        <v>4280000</v>
      </c>
      <c r="V66" s="7">
        <f t="shared" si="6"/>
        <v>0</v>
      </c>
      <c r="W66" s="7">
        <f t="shared" si="7"/>
        <v>0</v>
      </c>
      <c r="X66" s="7">
        <f t="shared" si="8"/>
        <v>0</v>
      </c>
    </row>
    <row r="67" spans="1:24">
      <c r="A67">
        <v>66</v>
      </c>
      <c r="B67" s="96" t="s">
        <v>3537</v>
      </c>
      <c r="C67" s="95">
        <v>40357</v>
      </c>
      <c r="D67" s="82">
        <v>3120000</v>
      </c>
      <c r="E67" s="82">
        <v>3120000</v>
      </c>
      <c r="F67" s="82">
        <v>3120000</v>
      </c>
      <c r="G67" s="82">
        <v>3120000</v>
      </c>
      <c r="I67" s="82">
        <f>G67*1.1</f>
        <v>3432000.0000000005</v>
      </c>
      <c r="J67" s="82">
        <f>G67/3</f>
        <v>1040000</v>
      </c>
      <c r="K67" s="7">
        <f>G335</f>
        <v>4280000</v>
      </c>
      <c r="L67" s="7">
        <f>K67-I67</f>
        <v>847999.99999999953</v>
      </c>
      <c r="M67" s="7">
        <f t="shared" si="12"/>
        <v>130000</v>
      </c>
      <c r="N67" s="7">
        <f t="shared" si="10"/>
        <v>977999.99999999953</v>
      </c>
      <c r="O67" s="7">
        <f t="shared" si="9"/>
        <v>35000</v>
      </c>
      <c r="P67" s="99">
        <f t="shared" ref="P67:P130" si="13">O67/G66</f>
        <v>1.1345218800648298E-2</v>
      </c>
      <c r="Q67" s="99">
        <f t="shared" si="11"/>
        <v>8.3263721309262129E-3</v>
      </c>
      <c r="R67">
        <v>1</v>
      </c>
      <c r="S67" s="7">
        <f t="shared" ref="S67:S130" si="14">G67*1.1</f>
        <v>3432000.0000000005</v>
      </c>
      <c r="T67" s="7">
        <f t="shared" ref="T67:T130" si="15">G67/3</f>
        <v>1040000</v>
      </c>
      <c r="U67" s="7">
        <f t="shared" ref="U67:U130" si="16">G335</f>
        <v>4280000</v>
      </c>
      <c r="V67" s="7">
        <f t="shared" ref="V67:V130" si="17">(U67-S67)*R67</f>
        <v>847999.99999999953</v>
      </c>
      <c r="W67" s="7">
        <f t="shared" ref="W67:W130" si="18">(T67*$AI$6/200)*R67</f>
        <v>130000</v>
      </c>
      <c r="X67" s="7">
        <f t="shared" ref="X67:X130" si="19">V67+W67</f>
        <v>977999.99999999953</v>
      </c>
    </row>
    <row r="68" spans="1:24">
      <c r="A68">
        <v>67</v>
      </c>
      <c r="B68" s="96" t="s">
        <v>3536</v>
      </c>
      <c r="C68" s="95">
        <v>40358</v>
      </c>
      <c r="D68" s="82">
        <v>3120000</v>
      </c>
      <c r="E68" s="82">
        <v>3120000</v>
      </c>
      <c r="F68" s="82">
        <v>3120000</v>
      </c>
      <c r="G68" s="82">
        <v>3120000</v>
      </c>
      <c r="I68" s="97">
        <v>0</v>
      </c>
      <c r="J68" s="97">
        <v>0</v>
      </c>
      <c r="K68" s="97">
        <v>0</v>
      </c>
      <c r="M68" s="7">
        <f t="shared" si="12"/>
        <v>0</v>
      </c>
      <c r="N68" s="7">
        <f t="shared" si="10"/>
        <v>0</v>
      </c>
      <c r="O68" s="7">
        <f t="shared" ref="O68:O131" si="20">G68-G67</f>
        <v>0</v>
      </c>
      <c r="P68" s="99">
        <f t="shared" si="13"/>
        <v>0</v>
      </c>
      <c r="Q68" s="99">
        <f t="shared" si="11"/>
        <v>6.5996955067379078E-3</v>
      </c>
      <c r="S68" s="7">
        <f t="shared" si="14"/>
        <v>3432000.0000000005</v>
      </c>
      <c r="T68" s="7">
        <f t="shared" si="15"/>
        <v>1040000</v>
      </c>
      <c r="U68" s="7">
        <f t="shared" si="16"/>
        <v>4340000</v>
      </c>
      <c r="V68" s="7">
        <f t="shared" si="17"/>
        <v>0</v>
      </c>
      <c r="W68" s="7">
        <f t="shared" si="18"/>
        <v>0</v>
      </c>
      <c r="X68" s="7">
        <f t="shared" si="19"/>
        <v>0</v>
      </c>
    </row>
    <row r="69" spans="1:24">
      <c r="A69">
        <v>68</v>
      </c>
      <c r="B69" s="96" t="s">
        <v>3535</v>
      </c>
      <c r="C69" s="95">
        <v>40359</v>
      </c>
      <c r="D69" s="82">
        <v>3100000</v>
      </c>
      <c r="E69" s="82">
        <v>3100000</v>
      </c>
      <c r="F69" s="82">
        <v>3100000</v>
      </c>
      <c r="G69" s="82">
        <v>3100000</v>
      </c>
      <c r="I69" s="97">
        <v>0</v>
      </c>
      <c r="J69" s="97">
        <v>0</v>
      </c>
      <c r="K69" s="97">
        <v>0</v>
      </c>
      <c r="M69" s="7">
        <f t="shared" si="12"/>
        <v>0</v>
      </c>
      <c r="N69" s="7">
        <f t="shared" si="10"/>
        <v>0</v>
      </c>
      <c r="O69" s="7">
        <f t="shared" si="20"/>
        <v>-20000</v>
      </c>
      <c r="P69" s="99">
        <f t="shared" si="13"/>
        <v>-6.41025641025641E-3</v>
      </c>
      <c r="Q69" s="99">
        <f t="shared" si="11"/>
        <v>1.4808260351210217E-4</v>
      </c>
      <c r="S69" s="7">
        <f t="shared" si="14"/>
        <v>3410000.0000000005</v>
      </c>
      <c r="T69" s="7">
        <f t="shared" si="15"/>
        <v>1033333.3333333334</v>
      </c>
      <c r="U69" s="7">
        <f t="shared" si="16"/>
        <v>4310000</v>
      </c>
      <c r="V69" s="7">
        <f t="shared" si="17"/>
        <v>0</v>
      </c>
      <c r="W69" s="7">
        <f t="shared" si="18"/>
        <v>0</v>
      </c>
      <c r="X69" s="7">
        <f t="shared" si="19"/>
        <v>0</v>
      </c>
    </row>
    <row r="70" spans="1:24">
      <c r="A70">
        <v>69</v>
      </c>
      <c r="B70" s="96" t="s">
        <v>3534</v>
      </c>
      <c r="C70" s="95">
        <v>40360</v>
      </c>
      <c r="D70" s="82">
        <v>3120000</v>
      </c>
      <c r="E70" s="82">
        <v>3120000</v>
      </c>
      <c r="F70" s="82">
        <v>3120000</v>
      </c>
      <c r="G70" s="82">
        <v>3120000</v>
      </c>
      <c r="I70" s="97">
        <v>0</v>
      </c>
      <c r="J70" s="97">
        <v>0</v>
      </c>
      <c r="K70" s="97">
        <v>0</v>
      </c>
      <c r="M70" s="7">
        <f t="shared" si="12"/>
        <v>0</v>
      </c>
      <c r="N70" s="7">
        <f t="shared" si="10"/>
        <v>0</v>
      </c>
      <c r="O70" s="7">
        <f t="shared" si="20"/>
        <v>20000</v>
      </c>
      <c r="P70" s="99">
        <f t="shared" si="13"/>
        <v>6.4516129032258064E-3</v>
      </c>
      <c r="Q70" s="99">
        <f t="shared" si="11"/>
        <v>6.5583390137685122E-3</v>
      </c>
      <c r="S70" s="7">
        <f t="shared" si="14"/>
        <v>3432000.0000000005</v>
      </c>
      <c r="T70" s="7">
        <f t="shared" si="15"/>
        <v>1040000</v>
      </c>
      <c r="U70" s="7">
        <f t="shared" si="16"/>
        <v>4310000</v>
      </c>
      <c r="V70" s="7">
        <f t="shared" si="17"/>
        <v>0</v>
      </c>
      <c r="W70" s="7">
        <f t="shared" si="18"/>
        <v>0</v>
      </c>
      <c r="X70" s="7">
        <f t="shared" si="19"/>
        <v>0</v>
      </c>
    </row>
    <row r="71" spans="1:24">
      <c r="A71">
        <v>70</v>
      </c>
      <c r="B71" s="96" t="s">
        <v>3533</v>
      </c>
      <c r="C71" s="95">
        <v>40362</v>
      </c>
      <c r="D71" s="82">
        <v>3030000</v>
      </c>
      <c r="E71" s="82">
        <v>3030000</v>
      </c>
      <c r="F71" s="82">
        <v>3030000</v>
      </c>
      <c r="G71" s="82">
        <v>3030000</v>
      </c>
      <c r="I71" s="98">
        <v>0</v>
      </c>
      <c r="J71" s="98">
        <v>0</v>
      </c>
      <c r="K71" s="98">
        <v>0</v>
      </c>
      <c r="M71" s="7">
        <f t="shared" si="12"/>
        <v>0</v>
      </c>
      <c r="N71" s="7">
        <f t="shared" si="10"/>
        <v>0</v>
      </c>
      <c r="O71" s="7">
        <f t="shared" si="20"/>
        <v>-90000</v>
      </c>
      <c r="P71" s="99">
        <f t="shared" si="13"/>
        <v>-2.8846153846153848E-2</v>
      </c>
      <c r="Q71" s="99">
        <f t="shared" si="11"/>
        <v>1.300995191699432E-2</v>
      </c>
      <c r="S71" s="7">
        <f t="shared" si="14"/>
        <v>3333000.0000000005</v>
      </c>
      <c r="T71" s="7">
        <f t="shared" si="15"/>
        <v>1010000</v>
      </c>
      <c r="U71" s="7">
        <f t="shared" si="16"/>
        <v>4320000</v>
      </c>
      <c r="V71" s="7">
        <f t="shared" si="17"/>
        <v>0</v>
      </c>
      <c r="W71" s="7">
        <f t="shared" si="18"/>
        <v>0</v>
      </c>
      <c r="X71" s="7">
        <f t="shared" si="19"/>
        <v>0</v>
      </c>
    </row>
    <row r="72" spans="1:24">
      <c r="A72">
        <v>71</v>
      </c>
      <c r="B72" s="96" t="s">
        <v>3532</v>
      </c>
      <c r="C72" s="95">
        <v>40364</v>
      </c>
      <c r="D72" s="82">
        <v>3030000</v>
      </c>
      <c r="E72" s="82">
        <v>3030000</v>
      </c>
      <c r="F72" s="82">
        <v>3030000</v>
      </c>
      <c r="G72" s="82">
        <v>3030000</v>
      </c>
      <c r="I72" s="82">
        <f>G72*1.1</f>
        <v>3333000.0000000005</v>
      </c>
      <c r="J72" s="82">
        <f>G72/3</f>
        <v>1010000</v>
      </c>
      <c r="K72" s="7">
        <f>G340</f>
        <v>4320000</v>
      </c>
      <c r="L72" s="7">
        <f>K72-I72</f>
        <v>986999.99999999953</v>
      </c>
      <c r="M72" s="7">
        <f t="shared" si="12"/>
        <v>126250</v>
      </c>
      <c r="N72" s="7">
        <f t="shared" ref="N72:N135" si="21">L72+M72</f>
        <v>1113249.9999999995</v>
      </c>
      <c r="O72" s="7">
        <f t="shared" si="20"/>
        <v>0</v>
      </c>
      <c r="P72" s="99">
        <f t="shared" si="13"/>
        <v>0</v>
      </c>
      <c r="Q72" s="99">
        <f t="shared" ref="Q72:Q135" si="22">SUM(P67:P71)</f>
        <v>-1.7459578552536152E-2</v>
      </c>
      <c r="R72">
        <v>1</v>
      </c>
      <c r="S72" s="7">
        <f t="shared" si="14"/>
        <v>3333000.0000000005</v>
      </c>
      <c r="T72" s="7">
        <f t="shared" si="15"/>
        <v>1010000</v>
      </c>
      <c r="U72" s="7">
        <f t="shared" si="16"/>
        <v>4320000</v>
      </c>
      <c r="V72" s="7">
        <f t="shared" si="17"/>
        <v>986999.99999999953</v>
      </c>
      <c r="W72" s="7">
        <f t="shared" si="18"/>
        <v>126250</v>
      </c>
      <c r="X72" s="7">
        <f t="shared" si="19"/>
        <v>1113249.9999999995</v>
      </c>
    </row>
    <row r="73" spans="1:24">
      <c r="A73">
        <v>72</v>
      </c>
      <c r="B73" s="96" t="s">
        <v>3531</v>
      </c>
      <c r="C73" s="95">
        <v>40366</v>
      </c>
      <c r="D73" s="82">
        <v>3020000</v>
      </c>
      <c r="E73" s="82">
        <v>3020000</v>
      </c>
      <c r="F73" s="82">
        <v>3020000</v>
      </c>
      <c r="G73" s="82">
        <v>3020000</v>
      </c>
      <c r="I73" s="97">
        <v>0</v>
      </c>
      <c r="J73" s="97">
        <v>0</v>
      </c>
      <c r="K73" s="97">
        <v>0</v>
      </c>
      <c r="M73" s="7">
        <f t="shared" si="12"/>
        <v>0</v>
      </c>
      <c r="N73" s="7">
        <f t="shared" si="21"/>
        <v>0</v>
      </c>
      <c r="O73" s="7">
        <f t="shared" si="20"/>
        <v>-10000</v>
      </c>
      <c r="P73" s="99">
        <f t="shared" si="13"/>
        <v>-3.3003300330033004E-3</v>
      </c>
      <c r="Q73" s="99">
        <f t="shared" si="22"/>
        <v>-2.880479735318445E-2</v>
      </c>
      <c r="S73" s="7">
        <f t="shared" si="14"/>
        <v>3322000.0000000005</v>
      </c>
      <c r="T73" s="7">
        <f t="shared" si="15"/>
        <v>1006666.6666666666</v>
      </c>
      <c r="U73" s="7">
        <f t="shared" si="16"/>
        <v>4330000</v>
      </c>
      <c r="V73" s="7">
        <f t="shared" si="17"/>
        <v>0</v>
      </c>
      <c r="W73" s="7">
        <f t="shared" si="18"/>
        <v>0</v>
      </c>
      <c r="X73" s="7">
        <f t="shared" si="19"/>
        <v>0</v>
      </c>
    </row>
    <row r="74" spans="1:24">
      <c r="A74">
        <v>73</v>
      </c>
      <c r="B74" s="96" t="s">
        <v>3530</v>
      </c>
      <c r="C74" s="95">
        <v>40367</v>
      </c>
      <c r="D74" s="82">
        <v>3000000</v>
      </c>
      <c r="E74" s="82">
        <v>3000000</v>
      </c>
      <c r="F74" s="82">
        <v>3000000</v>
      </c>
      <c r="G74" s="82">
        <v>3000000</v>
      </c>
      <c r="I74" s="97">
        <v>0</v>
      </c>
      <c r="J74" s="97">
        <v>0</v>
      </c>
      <c r="K74" s="97">
        <v>0</v>
      </c>
      <c r="M74" s="7">
        <f t="shared" si="12"/>
        <v>0</v>
      </c>
      <c r="N74" s="7">
        <f t="shared" si="21"/>
        <v>0</v>
      </c>
      <c r="O74" s="7">
        <f t="shared" si="20"/>
        <v>-20000</v>
      </c>
      <c r="P74" s="99">
        <f t="shared" si="13"/>
        <v>-6.6225165562913907E-3</v>
      </c>
      <c r="Q74" s="99">
        <f t="shared" si="22"/>
        <v>-3.2105127386187753E-2</v>
      </c>
      <c r="S74" s="7">
        <f t="shared" si="14"/>
        <v>3300000.0000000005</v>
      </c>
      <c r="T74" s="7">
        <f t="shared" si="15"/>
        <v>1000000</v>
      </c>
      <c r="U74" s="7">
        <f t="shared" si="16"/>
        <v>4310000</v>
      </c>
      <c r="V74" s="7">
        <f t="shared" si="17"/>
        <v>0</v>
      </c>
      <c r="W74" s="7">
        <f t="shared" si="18"/>
        <v>0</v>
      </c>
      <c r="X74" s="7">
        <f t="shared" si="19"/>
        <v>0</v>
      </c>
    </row>
    <row r="75" spans="1:24">
      <c r="A75">
        <v>74</v>
      </c>
      <c r="B75" s="96" t="s">
        <v>3529</v>
      </c>
      <c r="C75" s="95">
        <v>40370</v>
      </c>
      <c r="D75" s="82">
        <v>3010000</v>
      </c>
      <c r="E75" s="82">
        <v>3010000</v>
      </c>
      <c r="F75" s="82">
        <v>3010000</v>
      </c>
      <c r="G75" s="82">
        <v>3010000</v>
      </c>
      <c r="I75" s="97">
        <v>0</v>
      </c>
      <c r="J75" s="97">
        <v>0</v>
      </c>
      <c r="K75" s="97">
        <v>0</v>
      </c>
      <c r="M75" s="7">
        <f t="shared" si="12"/>
        <v>0</v>
      </c>
      <c r="N75" s="7">
        <f t="shared" si="21"/>
        <v>0</v>
      </c>
      <c r="O75" s="7">
        <f t="shared" si="20"/>
        <v>10000</v>
      </c>
      <c r="P75" s="99">
        <f t="shared" si="13"/>
        <v>3.3333333333333335E-3</v>
      </c>
      <c r="Q75" s="99">
        <f t="shared" si="22"/>
        <v>-3.2317387532222734E-2</v>
      </c>
      <c r="S75" s="7">
        <f t="shared" si="14"/>
        <v>3311000.0000000005</v>
      </c>
      <c r="T75" s="7">
        <f t="shared" si="15"/>
        <v>1003333.3333333334</v>
      </c>
      <c r="U75" s="7">
        <f t="shared" si="16"/>
        <v>4300000</v>
      </c>
      <c r="V75" s="7">
        <f t="shared" si="17"/>
        <v>0</v>
      </c>
      <c r="W75" s="7">
        <f t="shared" si="18"/>
        <v>0</v>
      </c>
      <c r="X75" s="7">
        <f t="shared" si="19"/>
        <v>0</v>
      </c>
    </row>
    <row r="76" spans="1:24">
      <c r="A76">
        <v>75</v>
      </c>
      <c r="B76" s="96" t="s">
        <v>3528</v>
      </c>
      <c r="C76" s="95">
        <v>40371</v>
      </c>
      <c r="D76" s="82">
        <v>3020000</v>
      </c>
      <c r="E76" s="82">
        <v>3020000</v>
      </c>
      <c r="F76" s="82">
        <v>3020000</v>
      </c>
      <c r="G76" s="82">
        <v>3020000</v>
      </c>
      <c r="I76" s="98">
        <v>0</v>
      </c>
      <c r="J76" s="98">
        <v>0</v>
      </c>
      <c r="K76" s="98">
        <v>0</v>
      </c>
      <c r="M76" s="7">
        <f t="shared" si="12"/>
        <v>0</v>
      </c>
      <c r="N76" s="7">
        <f t="shared" si="21"/>
        <v>0</v>
      </c>
      <c r="O76" s="7">
        <f t="shared" si="20"/>
        <v>10000</v>
      </c>
      <c r="P76" s="99">
        <f t="shared" si="13"/>
        <v>3.3222591362126247E-3</v>
      </c>
      <c r="Q76" s="99">
        <f t="shared" si="22"/>
        <v>-3.5435667102115202E-2</v>
      </c>
      <c r="S76" s="7">
        <f t="shared" si="14"/>
        <v>3322000.0000000005</v>
      </c>
      <c r="T76" s="7">
        <f t="shared" si="15"/>
        <v>1006666.6666666666</v>
      </c>
      <c r="U76" s="7">
        <f t="shared" si="16"/>
        <v>4290000</v>
      </c>
      <c r="V76" s="7">
        <f t="shared" si="17"/>
        <v>0</v>
      </c>
      <c r="W76" s="7">
        <f t="shared" si="18"/>
        <v>0</v>
      </c>
      <c r="X76" s="7">
        <f t="shared" si="19"/>
        <v>0</v>
      </c>
    </row>
    <row r="77" spans="1:24">
      <c r="A77">
        <v>76</v>
      </c>
      <c r="B77" s="96" t="s">
        <v>3527</v>
      </c>
      <c r="C77" s="95">
        <v>40372</v>
      </c>
      <c r="D77" s="82">
        <v>3010000</v>
      </c>
      <c r="E77" s="82">
        <v>3010000</v>
      </c>
      <c r="F77" s="82">
        <v>3010000</v>
      </c>
      <c r="G77" s="82">
        <v>3010000</v>
      </c>
      <c r="I77" s="82">
        <f>G77*1.1</f>
        <v>3311000.0000000005</v>
      </c>
      <c r="J77" s="82">
        <f>G77/3</f>
        <v>1003333.3333333334</v>
      </c>
      <c r="K77" s="7">
        <f>G345</f>
        <v>4270000</v>
      </c>
      <c r="L77" s="7">
        <f>K77-I77</f>
        <v>958999.99999999953</v>
      </c>
      <c r="M77" s="7">
        <f t="shared" si="12"/>
        <v>125416.66666666669</v>
      </c>
      <c r="N77" s="7">
        <f t="shared" si="21"/>
        <v>1084416.6666666663</v>
      </c>
      <c r="O77" s="7">
        <f t="shared" si="20"/>
        <v>-10000</v>
      </c>
      <c r="P77" s="99">
        <f t="shared" si="13"/>
        <v>-3.3112582781456954E-3</v>
      </c>
      <c r="Q77" s="99">
        <f t="shared" si="22"/>
        <v>-3.2672541197487333E-3</v>
      </c>
      <c r="R77">
        <v>1</v>
      </c>
      <c r="S77" s="7">
        <f t="shared" si="14"/>
        <v>3311000.0000000005</v>
      </c>
      <c r="T77" s="7">
        <f t="shared" si="15"/>
        <v>1003333.3333333334</v>
      </c>
      <c r="U77" s="7">
        <f t="shared" si="16"/>
        <v>4270000</v>
      </c>
      <c r="V77" s="7">
        <f t="shared" si="17"/>
        <v>958999.99999999953</v>
      </c>
      <c r="W77" s="7">
        <f t="shared" si="18"/>
        <v>125416.66666666669</v>
      </c>
      <c r="X77" s="7">
        <f t="shared" si="19"/>
        <v>1084416.6666666663</v>
      </c>
    </row>
    <row r="78" spans="1:24">
      <c r="A78">
        <v>77</v>
      </c>
      <c r="B78" s="96" t="s">
        <v>3526</v>
      </c>
      <c r="C78" s="95">
        <v>40374</v>
      </c>
      <c r="D78" s="82">
        <v>3020000</v>
      </c>
      <c r="E78" s="82">
        <v>3020000</v>
      </c>
      <c r="F78" s="82">
        <v>3020000</v>
      </c>
      <c r="G78" s="82">
        <v>3020000</v>
      </c>
      <c r="I78" s="97">
        <v>0</v>
      </c>
      <c r="J78" s="97">
        <v>0</v>
      </c>
      <c r="K78" s="97">
        <v>0</v>
      </c>
      <c r="M78" s="7">
        <f t="shared" si="12"/>
        <v>0</v>
      </c>
      <c r="N78" s="7">
        <f t="shared" si="21"/>
        <v>0</v>
      </c>
      <c r="O78" s="7">
        <f t="shared" si="20"/>
        <v>10000</v>
      </c>
      <c r="P78" s="99">
        <f t="shared" si="13"/>
        <v>3.3222591362126247E-3</v>
      </c>
      <c r="Q78" s="99">
        <f t="shared" si="22"/>
        <v>-6.5785123978944291E-3</v>
      </c>
      <c r="S78" s="7">
        <f t="shared" si="14"/>
        <v>3322000.0000000005</v>
      </c>
      <c r="T78" s="7">
        <f t="shared" si="15"/>
        <v>1006666.6666666666</v>
      </c>
      <c r="U78" s="7">
        <f t="shared" si="16"/>
        <v>4260000</v>
      </c>
      <c r="V78" s="7">
        <f t="shared" si="17"/>
        <v>0</v>
      </c>
      <c r="W78" s="7">
        <f t="shared" si="18"/>
        <v>0</v>
      </c>
      <c r="X78" s="7">
        <f t="shared" si="19"/>
        <v>0</v>
      </c>
    </row>
    <row r="79" spans="1:24">
      <c r="A79">
        <v>78</v>
      </c>
      <c r="B79" s="96" t="s">
        <v>3525</v>
      </c>
      <c r="C79" s="95">
        <v>40376</v>
      </c>
      <c r="D79" s="82">
        <v>3020000</v>
      </c>
      <c r="E79" s="82">
        <v>3020000</v>
      </c>
      <c r="F79" s="82">
        <v>3020000</v>
      </c>
      <c r="G79" s="82">
        <v>3020000</v>
      </c>
      <c r="I79" s="97">
        <v>0</v>
      </c>
      <c r="J79" s="97">
        <v>0</v>
      </c>
      <c r="K79" s="97">
        <v>0</v>
      </c>
      <c r="M79" s="7">
        <f t="shared" si="12"/>
        <v>0</v>
      </c>
      <c r="N79" s="7">
        <f t="shared" si="21"/>
        <v>0</v>
      </c>
      <c r="O79" s="7">
        <f t="shared" si="20"/>
        <v>0</v>
      </c>
      <c r="P79" s="99">
        <f t="shared" si="13"/>
        <v>0</v>
      </c>
      <c r="Q79" s="99">
        <f t="shared" si="22"/>
        <v>4.4076771321496788E-5</v>
      </c>
      <c r="S79" s="7">
        <f t="shared" si="14"/>
        <v>3322000.0000000005</v>
      </c>
      <c r="T79" s="7">
        <f t="shared" si="15"/>
        <v>1006666.6666666666</v>
      </c>
      <c r="U79" s="7">
        <f t="shared" si="16"/>
        <v>4260000</v>
      </c>
      <c r="V79" s="7">
        <f t="shared" si="17"/>
        <v>0</v>
      </c>
      <c r="W79" s="7">
        <f t="shared" si="18"/>
        <v>0</v>
      </c>
      <c r="X79" s="7">
        <f t="shared" si="19"/>
        <v>0</v>
      </c>
    </row>
    <row r="80" spans="1:24">
      <c r="A80">
        <v>79</v>
      </c>
      <c r="B80" s="96" t="s">
        <v>3524</v>
      </c>
      <c r="C80" s="95">
        <v>40377</v>
      </c>
      <c r="D80" s="82">
        <v>2980000</v>
      </c>
      <c r="E80" s="82">
        <v>2980000</v>
      </c>
      <c r="F80" s="82">
        <v>2980000</v>
      </c>
      <c r="G80" s="82">
        <v>2980000</v>
      </c>
      <c r="I80" s="97">
        <v>0</v>
      </c>
      <c r="J80" s="97">
        <v>0</v>
      </c>
      <c r="K80" s="97">
        <v>0</v>
      </c>
      <c r="M80" s="7">
        <f t="shared" si="12"/>
        <v>0</v>
      </c>
      <c r="N80" s="7">
        <f t="shared" si="21"/>
        <v>0</v>
      </c>
      <c r="O80" s="7">
        <f t="shared" si="20"/>
        <v>-40000</v>
      </c>
      <c r="P80" s="99">
        <f t="shared" si="13"/>
        <v>-1.3245033112582781E-2</v>
      </c>
      <c r="Q80" s="99">
        <f t="shared" si="22"/>
        <v>6.6665933276128866E-3</v>
      </c>
      <c r="S80" s="7">
        <f t="shared" si="14"/>
        <v>3278000.0000000005</v>
      </c>
      <c r="T80" s="7">
        <f t="shared" si="15"/>
        <v>993333.33333333337</v>
      </c>
      <c r="U80" s="7">
        <f t="shared" si="16"/>
        <v>4270000</v>
      </c>
      <c r="V80" s="7">
        <f t="shared" si="17"/>
        <v>0</v>
      </c>
      <c r="W80" s="7">
        <f t="shared" si="18"/>
        <v>0</v>
      </c>
      <c r="X80" s="7">
        <f t="shared" si="19"/>
        <v>0</v>
      </c>
    </row>
    <row r="81" spans="1:24">
      <c r="A81">
        <v>80</v>
      </c>
      <c r="B81" s="96" t="s">
        <v>3523</v>
      </c>
      <c r="C81" s="95">
        <v>40378</v>
      </c>
      <c r="D81" s="82">
        <v>2960000</v>
      </c>
      <c r="E81" s="82">
        <v>2960000</v>
      </c>
      <c r="F81" s="82">
        <v>2960000</v>
      </c>
      <c r="G81" s="82">
        <v>2960000</v>
      </c>
      <c r="I81" s="98">
        <v>0</v>
      </c>
      <c r="J81" s="98">
        <v>0</v>
      </c>
      <c r="K81" s="98">
        <v>0</v>
      </c>
      <c r="M81" s="7">
        <f t="shared" si="12"/>
        <v>0</v>
      </c>
      <c r="N81" s="7">
        <f t="shared" si="21"/>
        <v>0</v>
      </c>
      <c r="O81" s="7">
        <f t="shared" si="20"/>
        <v>-20000</v>
      </c>
      <c r="P81" s="99">
        <f t="shared" si="13"/>
        <v>-6.7114093959731542E-3</v>
      </c>
      <c r="Q81" s="99">
        <f t="shared" si="22"/>
        <v>-9.911773118303227E-3</v>
      </c>
      <c r="S81" s="7">
        <f t="shared" si="14"/>
        <v>3256000.0000000005</v>
      </c>
      <c r="T81" s="7">
        <f t="shared" si="15"/>
        <v>986666.66666666663</v>
      </c>
      <c r="U81" s="7">
        <f t="shared" si="16"/>
        <v>4280000</v>
      </c>
      <c r="V81" s="7">
        <f t="shared" si="17"/>
        <v>0</v>
      </c>
      <c r="W81" s="7">
        <f t="shared" si="18"/>
        <v>0</v>
      </c>
      <c r="X81" s="7">
        <f t="shared" si="19"/>
        <v>0</v>
      </c>
    </row>
    <row r="82" spans="1:24">
      <c r="A82">
        <v>81</v>
      </c>
      <c r="B82" s="96" t="s">
        <v>3522</v>
      </c>
      <c r="C82" s="95">
        <v>40379</v>
      </c>
      <c r="D82" s="82">
        <v>2960000</v>
      </c>
      <c r="E82" s="82">
        <v>2960000</v>
      </c>
      <c r="F82" s="82">
        <v>2960000</v>
      </c>
      <c r="G82" s="82">
        <v>2960000</v>
      </c>
      <c r="I82" s="82">
        <f>G82*1.1</f>
        <v>3256000.0000000005</v>
      </c>
      <c r="J82" s="82">
        <f>G82/3</f>
        <v>986666.66666666663</v>
      </c>
      <c r="K82" s="7">
        <f>G350</f>
        <v>4290000</v>
      </c>
      <c r="L82" s="7">
        <f>K82-I82</f>
        <v>1033999.9999999995</v>
      </c>
      <c r="M82" s="7">
        <f t="shared" si="12"/>
        <v>123333.33333333331</v>
      </c>
      <c r="N82" s="7">
        <f t="shared" si="21"/>
        <v>1157333.3333333328</v>
      </c>
      <c r="O82" s="7">
        <f t="shared" si="20"/>
        <v>0</v>
      </c>
      <c r="P82" s="99">
        <f t="shared" si="13"/>
        <v>0</v>
      </c>
      <c r="Q82" s="99">
        <f t="shared" si="22"/>
        <v>-1.9945441650489008E-2</v>
      </c>
      <c r="R82">
        <v>1</v>
      </c>
      <c r="S82" s="7">
        <f t="shared" si="14"/>
        <v>3256000.0000000005</v>
      </c>
      <c r="T82" s="7">
        <f t="shared" si="15"/>
        <v>986666.66666666663</v>
      </c>
      <c r="U82" s="7">
        <f t="shared" si="16"/>
        <v>4290000</v>
      </c>
      <c r="V82" s="7">
        <f t="shared" si="17"/>
        <v>1033999.9999999995</v>
      </c>
      <c r="W82" s="7">
        <f t="shared" si="18"/>
        <v>123333.33333333331</v>
      </c>
      <c r="X82" s="7">
        <f t="shared" si="19"/>
        <v>1157333.3333333328</v>
      </c>
    </row>
    <row r="83" spans="1:24">
      <c r="A83">
        <v>82</v>
      </c>
      <c r="B83" s="96" t="s">
        <v>3521</v>
      </c>
      <c r="C83" s="95">
        <v>40380</v>
      </c>
      <c r="D83" s="82">
        <v>2940000</v>
      </c>
      <c r="E83" s="82">
        <v>2940000</v>
      </c>
      <c r="F83" s="82">
        <v>2940000</v>
      </c>
      <c r="G83" s="82">
        <v>2940000</v>
      </c>
      <c r="I83" s="97">
        <v>0</v>
      </c>
      <c r="J83" s="97">
        <v>0</v>
      </c>
      <c r="K83" s="97">
        <v>0</v>
      </c>
      <c r="M83" s="7">
        <f t="shared" si="12"/>
        <v>0</v>
      </c>
      <c r="N83" s="7">
        <f t="shared" si="21"/>
        <v>0</v>
      </c>
      <c r="O83" s="7">
        <f t="shared" si="20"/>
        <v>-20000</v>
      </c>
      <c r="P83" s="99">
        <f t="shared" si="13"/>
        <v>-6.7567567567567571E-3</v>
      </c>
      <c r="Q83" s="99">
        <f t="shared" si="22"/>
        <v>-1.6634183372343313E-2</v>
      </c>
      <c r="S83" s="7">
        <f t="shared" si="14"/>
        <v>3234000.0000000005</v>
      </c>
      <c r="T83" s="7">
        <f t="shared" si="15"/>
        <v>980000</v>
      </c>
      <c r="U83" s="7">
        <f t="shared" si="16"/>
        <v>4370000</v>
      </c>
      <c r="V83" s="7">
        <f t="shared" si="17"/>
        <v>0</v>
      </c>
      <c r="W83" s="7">
        <f t="shared" si="18"/>
        <v>0</v>
      </c>
      <c r="X83" s="7">
        <f t="shared" si="19"/>
        <v>0</v>
      </c>
    </row>
    <row r="84" spans="1:24">
      <c r="A84">
        <v>83</v>
      </c>
      <c r="B84" s="96" t="s">
        <v>3520</v>
      </c>
      <c r="C84" s="95">
        <v>40381</v>
      </c>
      <c r="D84" s="82">
        <v>2950000</v>
      </c>
      <c r="E84" s="82">
        <v>2950000</v>
      </c>
      <c r="F84" s="82">
        <v>2950000</v>
      </c>
      <c r="G84" s="82">
        <v>2950000</v>
      </c>
      <c r="I84" s="97">
        <v>0</v>
      </c>
      <c r="J84" s="97">
        <v>0</v>
      </c>
      <c r="K84" s="97">
        <v>0</v>
      </c>
      <c r="M84" s="7">
        <f t="shared" si="12"/>
        <v>0</v>
      </c>
      <c r="N84" s="7">
        <f t="shared" si="21"/>
        <v>0</v>
      </c>
      <c r="O84" s="7">
        <f t="shared" si="20"/>
        <v>10000</v>
      </c>
      <c r="P84" s="99">
        <f t="shared" si="13"/>
        <v>3.4013605442176869E-3</v>
      </c>
      <c r="Q84" s="99">
        <f t="shared" si="22"/>
        <v>-2.6713199265312692E-2</v>
      </c>
      <c r="S84" s="7">
        <f t="shared" si="14"/>
        <v>3245000.0000000005</v>
      </c>
      <c r="T84" s="7">
        <f t="shared" si="15"/>
        <v>983333.33333333337</v>
      </c>
      <c r="U84" s="7">
        <f t="shared" si="16"/>
        <v>4360000</v>
      </c>
      <c r="V84" s="7">
        <f t="shared" si="17"/>
        <v>0</v>
      </c>
      <c r="W84" s="7">
        <f t="shared" si="18"/>
        <v>0</v>
      </c>
      <c r="X84" s="7">
        <f t="shared" si="19"/>
        <v>0</v>
      </c>
    </row>
    <row r="85" spans="1:24">
      <c r="A85">
        <v>84</v>
      </c>
      <c r="B85" s="96" t="s">
        <v>3519</v>
      </c>
      <c r="C85" s="95">
        <v>40383</v>
      </c>
      <c r="D85" s="82">
        <v>2950000</v>
      </c>
      <c r="E85" s="82">
        <v>2950000</v>
      </c>
      <c r="F85" s="82">
        <v>2950000</v>
      </c>
      <c r="G85" s="82">
        <v>2950000</v>
      </c>
      <c r="I85" s="97">
        <v>0</v>
      </c>
      <c r="J85" s="97">
        <v>0</v>
      </c>
      <c r="K85" s="97">
        <v>0</v>
      </c>
      <c r="M85" s="7">
        <f t="shared" si="12"/>
        <v>0</v>
      </c>
      <c r="N85" s="7">
        <f t="shared" si="21"/>
        <v>0</v>
      </c>
      <c r="O85" s="7">
        <f t="shared" si="20"/>
        <v>0</v>
      </c>
      <c r="P85" s="99">
        <f t="shared" si="13"/>
        <v>0</v>
      </c>
      <c r="Q85" s="99">
        <f t="shared" si="22"/>
        <v>-2.3311838721095005E-2</v>
      </c>
      <c r="S85" s="7">
        <f t="shared" si="14"/>
        <v>3245000.0000000005</v>
      </c>
      <c r="T85" s="7">
        <f t="shared" si="15"/>
        <v>983333.33333333337</v>
      </c>
      <c r="U85" s="7">
        <f t="shared" si="16"/>
        <v>4340000</v>
      </c>
      <c r="V85" s="7">
        <f t="shared" si="17"/>
        <v>0</v>
      </c>
      <c r="W85" s="7">
        <f t="shared" si="18"/>
        <v>0</v>
      </c>
      <c r="X85" s="7">
        <f t="shared" si="19"/>
        <v>0</v>
      </c>
    </row>
    <row r="86" spans="1:24">
      <c r="A86">
        <v>85</v>
      </c>
      <c r="B86" s="96" t="s">
        <v>3518</v>
      </c>
      <c r="C86" s="95">
        <v>40384</v>
      </c>
      <c r="D86" s="82">
        <v>2960000</v>
      </c>
      <c r="E86" s="82">
        <v>2960000</v>
      </c>
      <c r="F86" s="82">
        <v>2960000</v>
      </c>
      <c r="G86" s="82">
        <v>2960000</v>
      </c>
      <c r="I86" s="98">
        <v>0</v>
      </c>
      <c r="J86" s="98">
        <v>0</v>
      </c>
      <c r="K86" s="98">
        <v>0</v>
      </c>
      <c r="M86" s="7">
        <f t="shared" si="12"/>
        <v>0</v>
      </c>
      <c r="N86" s="7">
        <f t="shared" si="21"/>
        <v>0</v>
      </c>
      <c r="O86" s="7">
        <f t="shared" si="20"/>
        <v>10000</v>
      </c>
      <c r="P86" s="99">
        <f t="shared" si="13"/>
        <v>3.3898305084745762E-3</v>
      </c>
      <c r="Q86" s="99">
        <f t="shared" si="22"/>
        <v>-1.0066805608512225E-2</v>
      </c>
      <c r="S86" s="7">
        <f t="shared" si="14"/>
        <v>3256000.0000000005</v>
      </c>
      <c r="T86" s="7">
        <f t="shared" si="15"/>
        <v>986666.66666666663</v>
      </c>
      <c r="U86" s="7">
        <f t="shared" si="16"/>
        <v>4320000</v>
      </c>
      <c r="V86" s="7">
        <f t="shared" si="17"/>
        <v>0</v>
      </c>
      <c r="W86" s="7">
        <f t="shared" si="18"/>
        <v>0</v>
      </c>
      <c r="X86" s="7">
        <f t="shared" si="19"/>
        <v>0</v>
      </c>
    </row>
    <row r="87" spans="1:24">
      <c r="A87">
        <v>86</v>
      </c>
      <c r="B87" s="96" t="s">
        <v>3517</v>
      </c>
      <c r="C87" s="95">
        <v>40385</v>
      </c>
      <c r="D87" s="82">
        <v>2960000</v>
      </c>
      <c r="E87" s="82">
        <v>2960000</v>
      </c>
      <c r="F87" s="82">
        <v>2960000</v>
      </c>
      <c r="G87" s="82">
        <v>2960000</v>
      </c>
      <c r="I87" s="82">
        <f>G87*1.1</f>
        <v>3256000.0000000005</v>
      </c>
      <c r="J87" s="82">
        <f>G87/3</f>
        <v>986666.66666666663</v>
      </c>
      <c r="K87" s="7">
        <f>G355</f>
        <v>4280000</v>
      </c>
      <c r="L87" s="7">
        <f>K87-I87</f>
        <v>1023999.9999999995</v>
      </c>
      <c r="M87" s="7">
        <f t="shared" si="12"/>
        <v>123333.33333333331</v>
      </c>
      <c r="N87" s="7">
        <f t="shared" si="21"/>
        <v>1147333.3333333328</v>
      </c>
      <c r="O87" s="7">
        <f t="shared" si="20"/>
        <v>0</v>
      </c>
      <c r="P87" s="99">
        <f t="shared" si="13"/>
        <v>0</v>
      </c>
      <c r="Q87" s="99">
        <f t="shared" si="22"/>
        <v>3.4434295935505989E-5</v>
      </c>
      <c r="R87">
        <v>1</v>
      </c>
      <c r="S87" s="7">
        <f t="shared" si="14"/>
        <v>3256000.0000000005</v>
      </c>
      <c r="T87" s="7">
        <f t="shared" si="15"/>
        <v>986666.66666666663</v>
      </c>
      <c r="U87" s="7">
        <f t="shared" si="16"/>
        <v>4280000</v>
      </c>
      <c r="V87" s="7">
        <f t="shared" si="17"/>
        <v>1023999.9999999995</v>
      </c>
      <c r="W87" s="7">
        <f t="shared" si="18"/>
        <v>123333.33333333331</v>
      </c>
      <c r="X87" s="7">
        <f t="shared" si="19"/>
        <v>1147333.3333333328</v>
      </c>
    </row>
    <row r="88" spans="1:24">
      <c r="A88">
        <v>87</v>
      </c>
      <c r="B88" s="96" t="s">
        <v>3516</v>
      </c>
      <c r="C88" s="95">
        <v>40387</v>
      </c>
      <c r="D88" s="82">
        <v>2975000</v>
      </c>
      <c r="E88" s="82">
        <v>2975000</v>
      </c>
      <c r="F88" s="82">
        <v>2975000</v>
      </c>
      <c r="G88" s="82">
        <v>2975000</v>
      </c>
      <c r="I88" s="97">
        <v>0</v>
      </c>
      <c r="J88" s="97">
        <v>0</v>
      </c>
      <c r="K88" s="97">
        <v>0</v>
      </c>
      <c r="M88" s="7">
        <f t="shared" si="12"/>
        <v>0</v>
      </c>
      <c r="N88" s="7">
        <f t="shared" si="21"/>
        <v>0</v>
      </c>
      <c r="O88" s="7">
        <f t="shared" si="20"/>
        <v>15000</v>
      </c>
      <c r="P88" s="99">
        <f t="shared" si="13"/>
        <v>5.0675675675675678E-3</v>
      </c>
      <c r="Q88" s="99">
        <f t="shared" si="22"/>
        <v>3.4434295935505989E-5</v>
      </c>
      <c r="S88" s="7">
        <f t="shared" si="14"/>
        <v>3272500.0000000005</v>
      </c>
      <c r="T88" s="7">
        <f t="shared" si="15"/>
        <v>991666.66666666663</v>
      </c>
      <c r="U88" s="7">
        <f t="shared" si="16"/>
        <v>4320000</v>
      </c>
      <c r="V88" s="7">
        <f t="shared" si="17"/>
        <v>0</v>
      </c>
      <c r="W88" s="7">
        <f t="shared" si="18"/>
        <v>0</v>
      </c>
      <c r="X88" s="7">
        <f t="shared" si="19"/>
        <v>0</v>
      </c>
    </row>
    <row r="89" spans="1:24">
      <c r="A89">
        <v>88</v>
      </c>
      <c r="B89" s="96" t="s">
        <v>3515</v>
      </c>
      <c r="C89" s="95">
        <v>40388</v>
      </c>
      <c r="D89" s="82">
        <v>2925000</v>
      </c>
      <c r="E89" s="82">
        <v>2925000</v>
      </c>
      <c r="F89" s="82">
        <v>2925000</v>
      </c>
      <c r="G89" s="82">
        <v>2925000</v>
      </c>
      <c r="I89" s="97">
        <v>0</v>
      </c>
      <c r="J89" s="97">
        <v>0</v>
      </c>
      <c r="K89" s="97">
        <v>0</v>
      </c>
      <c r="M89" s="7">
        <f t="shared" si="12"/>
        <v>0</v>
      </c>
      <c r="N89" s="7">
        <f t="shared" si="21"/>
        <v>0</v>
      </c>
      <c r="O89" s="7">
        <f t="shared" si="20"/>
        <v>-50000</v>
      </c>
      <c r="P89" s="99">
        <f t="shared" si="13"/>
        <v>-1.680672268907563E-2</v>
      </c>
      <c r="Q89" s="99">
        <f t="shared" si="22"/>
        <v>1.185875862025983E-2</v>
      </c>
      <c r="S89" s="7">
        <f t="shared" si="14"/>
        <v>3217500.0000000005</v>
      </c>
      <c r="T89" s="7">
        <f t="shared" si="15"/>
        <v>975000</v>
      </c>
      <c r="U89" s="7">
        <f t="shared" si="16"/>
        <v>4300000</v>
      </c>
      <c r="V89" s="7">
        <f t="shared" si="17"/>
        <v>0</v>
      </c>
      <c r="W89" s="7">
        <f t="shared" si="18"/>
        <v>0</v>
      </c>
      <c r="X89" s="7">
        <f t="shared" si="19"/>
        <v>0</v>
      </c>
    </row>
    <row r="90" spans="1:24">
      <c r="A90">
        <v>89</v>
      </c>
      <c r="B90" s="96" t="s">
        <v>3514</v>
      </c>
      <c r="C90" s="95">
        <v>40390</v>
      </c>
      <c r="D90" s="82">
        <v>2920000</v>
      </c>
      <c r="E90" s="82">
        <v>2920000</v>
      </c>
      <c r="F90" s="82">
        <v>2920000</v>
      </c>
      <c r="G90" s="82">
        <v>2920000</v>
      </c>
      <c r="I90" s="97">
        <v>0</v>
      </c>
      <c r="J90" s="97">
        <v>0</v>
      </c>
      <c r="K90" s="97">
        <v>0</v>
      </c>
      <c r="M90" s="7">
        <f t="shared" si="12"/>
        <v>0</v>
      </c>
      <c r="N90" s="7">
        <f t="shared" si="21"/>
        <v>0</v>
      </c>
      <c r="O90" s="7">
        <f t="shared" si="20"/>
        <v>-5000</v>
      </c>
      <c r="P90" s="99">
        <f t="shared" si="13"/>
        <v>-1.7094017094017094E-3</v>
      </c>
      <c r="Q90" s="99">
        <f t="shared" si="22"/>
        <v>-8.3493246130334851E-3</v>
      </c>
      <c r="S90" s="7">
        <f t="shared" si="14"/>
        <v>3212000.0000000005</v>
      </c>
      <c r="T90" s="7">
        <f t="shared" si="15"/>
        <v>973333.33333333337</v>
      </c>
      <c r="U90" s="7">
        <f t="shared" si="16"/>
        <v>4330000</v>
      </c>
      <c r="V90" s="7">
        <f t="shared" si="17"/>
        <v>0</v>
      </c>
      <c r="W90" s="7">
        <f t="shared" si="18"/>
        <v>0</v>
      </c>
      <c r="X90" s="7">
        <f t="shared" si="19"/>
        <v>0</v>
      </c>
    </row>
    <row r="91" spans="1:24">
      <c r="A91">
        <v>90</v>
      </c>
      <c r="B91" s="96" t="s">
        <v>3513</v>
      </c>
      <c r="C91" s="95">
        <v>40391</v>
      </c>
      <c r="D91" s="82">
        <v>2950000</v>
      </c>
      <c r="E91" s="82">
        <v>2950000</v>
      </c>
      <c r="F91" s="82">
        <v>2950000</v>
      </c>
      <c r="G91" s="82">
        <v>2950000</v>
      </c>
      <c r="I91" s="98">
        <v>0</v>
      </c>
      <c r="J91" s="98">
        <v>0</v>
      </c>
      <c r="K91" s="98">
        <v>0</v>
      </c>
      <c r="M91" s="7">
        <f t="shared" si="12"/>
        <v>0</v>
      </c>
      <c r="N91" s="7">
        <f t="shared" si="21"/>
        <v>0</v>
      </c>
      <c r="O91" s="7">
        <f t="shared" si="20"/>
        <v>30000</v>
      </c>
      <c r="P91" s="99">
        <f t="shared" si="13"/>
        <v>1.0273972602739725E-2</v>
      </c>
      <c r="Q91" s="99">
        <f t="shared" si="22"/>
        <v>-1.0058726322435194E-2</v>
      </c>
      <c r="S91" s="7">
        <f t="shared" si="14"/>
        <v>3245000.0000000005</v>
      </c>
      <c r="T91" s="7">
        <f t="shared" si="15"/>
        <v>983333.33333333337</v>
      </c>
      <c r="U91" s="7">
        <f t="shared" si="16"/>
        <v>4300000</v>
      </c>
      <c r="V91" s="7">
        <f t="shared" si="17"/>
        <v>0</v>
      </c>
      <c r="W91" s="7">
        <f t="shared" si="18"/>
        <v>0</v>
      </c>
      <c r="X91" s="7">
        <f t="shared" si="19"/>
        <v>0</v>
      </c>
    </row>
    <row r="92" spans="1:24">
      <c r="A92">
        <v>91</v>
      </c>
      <c r="B92" s="96" t="s">
        <v>3512</v>
      </c>
      <c r="C92" s="95">
        <v>40392</v>
      </c>
      <c r="D92" s="82">
        <v>2950000</v>
      </c>
      <c r="E92" s="82">
        <v>2950000</v>
      </c>
      <c r="F92" s="82">
        <v>2950000</v>
      </c>
      <c r="G92" s="82">
        <v>2950000</v>
      </c>
      <c r="I92" s="82">
        <f>G92*1.1</f>
        <v>3245000.0000000005</v>
      </c>
      <c r="J92" s="82">
        <f>G92/3</f>
        <v>983333.33333333337</v>
      </c>
      <c r="K92" s="7">
        <f>G360</f>
        <v>4320000</v>
      </c>
      <c r="L92" s="7">
        <f>K92-I92</f>
        <v>1074999.9999999995</v>
      </c>
      <c r="M92" s="7">
        <f t="shared" si="12"/>
        <v>122916.66666666669</v>
      </c>
      <c r="N92" s="7">
        <f t="shared" si="21"/>
        <v>1197916.6666666663</v>
      </c>
      <c r="O92" s="7">
        <f t="shared" si="20"/>
        <v>0</v>
      </c>
      <c r="P92" s="99">
        <f t="shared" si="13"/>
        <v>0</v>
      </c>
      <c r="Q92" s="99">
        <f t="shared" si="22"/>
        <v>-3.1745842281700465E-3</v>
      </c>
      <c r="R92">
        <v>1</v>
      </c>
      <c r="S92" s="7">
        <f t="shared" si="14"/>
        <v>3245000.0000000005</v>
      </c>
      <c r="T92" s="7">
        <f t="shared" si="15"/>
        <v>983333.33333333337</v>
      </c>
      <c r="U92" s="7">
        <f t="shared" si="16"/>
        <v>4320000</v>
      </c>
      <c r="V92" s="7">
        <f t="shared" si="17"/>
        <v>1074999.9999999995</v>
      </c>
      <c r="W92" s="7">
        <f t="shared" si="18"/>
        <v>122916.66666666669</v>
      </c>
      <c r="X92" s="7">
        <f t="shared" si="19"/>
        <v>1197916.6666666663</v>
      </c>
    </row>
    <row r="93" spans="1:24">
      <c r="A93">
        <v>92</v>
      </c>
      <c r="B93" s="96" t="s">
        <v>3511</v>
      </c>
      <c r="C93" s="95">
        <v>40393</v>
      </c>
      <c r="D93" s="82">
        <v>2950000</v>
      </c>
      <c r="E93" s="82">
        <v>2950000</v>
      </c>
      <c r="F93" s="82">
        <v>2950000</v>
      </c>
      <c r="G93" s="82">
        <v>2950000</v>
      </c>
      <c r="I93" s="97">
        <v>0</v>
      </c>
      <c r="J93" s="97">
        <v>0</v>
      </c>
      <c r="K93" s="97">
        <v>0</v>
      </c>
      <c r="M93" s="7">
        <f t="shared" si="12"/>
        <v>0</v>
      </c>
      <c r="N93" s="7">
        <f t="shared" si="21"/>
        <v>0</v>
      </c>
      <c r="O93" s="7">
        <f t="shared" si="20"/>
        <v>0</v>
      </c>
      <c r="P93" s="99">
        <f t="shared" si="13"/>
        <v>0</v>
      </c>
      <c r="Q93" s="99">
        <f t="shared" si="22"/>
        <v>-3.1745842281700465E-3</v>
      </c>
      <c r="S93" s="7">
        <f t="shared" si="14"/>
        <v>3245000.0000000005</v>
      </c>
      <c r="T93" s="7">
        <f t="shared" si="15"/>
        <v>983333.33333333337</v>
      </c>
      <c r="U93" s="7">
        <f t="shared" si="16"/>
        <v>4310000</v>
      </c>
      <c r="V93" s="7">
        <f t="shared" si="17"/>
        <v>0</v>
      </c>
      <c r="W93" s="7">
        <f t="shared" si="18"/>
        <v>0</v>
      </c>
      <c r="X93" s="7">
        <f t="shared" si="19"/>
        <v>0</v>
      </c>
    </row>
    <row r="94" spans="1:24">
      <c r="A94">
        <v>93</v>
      </c>
      <c r="B94" s="96" t="s">
        <v>3510</v>
      </c>
      <c r="C94" s="95">
        <v>40394</v>
      </c>
      <c r="D94" s="82">
        <v>2950000</v>
      </c>
      <c r="E94" s="82">
        <v>2950000</v>
      </c>
      <c r="F94" s="82">
        <v>2950000</v>
      </c>
      <c r="G94" s="82">
        <v>2950000</v>
      </c>
      <c r="I94" s="97">
        <v>0</v>
      </c>
      <c r="J94" s="97">
        <v>0</v>
      </c>
      <c r="K94" s="97">
        <v>0</v>
      </c>
      <c r="M94" s="7">
        <f t="shared" si="12"/>
        <v>0</v>
      </c>
      <c r="N94" s="7">
        <f t="shared" si="21"/>
        <v>0</v>
      </c>
      <c r="O94" s="7">
        <f t="shared" si="20"/>
        <v>0</v>
      </c>
      <c r="P94" s="99">
        <f t="shared" si="13"/>
        <v>0</v>
      </c>
      <c r="Q94" s="99">
        <f t="shared" si="22"/>
        <v>-8.2421517957376143E-3</v>
      </c>
      <c r="S94" s="7">
        <f t="shared" si="14"/>
        <v>3245000.0000000005</v>
      </c>
      <c r="T94" s="7">
        <f t="shared" si="15"/>
        <v>983333.33333333337</v>
      </c>
      <c r="U94" s="7">
        <f t="shared" si="16"/>
        <v>4300000</v>
      </c>
      <c r="V94" s="7">
        <f t="shared" si="17"/>
        <v>0</v>
      </c>
      <c r="W94" s="7">
        <f t="shared" si="18"/>
        <v>0</v>
      </c>
      <c r="X94" s="7">
        <f t="shared" si="19"/>
        <v>0</v>
      </c>
    </row>
    <row r="95" spans="1:24">
      <c r="A95">
        <v>94</v>
      </c>
      <c r="B95" s="96" t="s">
        <v>3509</v>
      </c>
      <c r="C95" s="95">
        <v>40397</v>
      </c>
      <c r="D95" s="82">
        <v>2975000</v>
      </c>
      <c r="E95" s="82">
        <v>2975000</v>
      </c>
      <c r="F95" s="82">
        <v>2975000</v>
      </c>
      <c r="G95" s="82">
        <v>2975000</v>
      </c>
      <c r="I95" s="97">
        <v>0</v>
      </c>
      <c r="J95" s="97">
        <v>0</v>
      </c>
      <c r="K95" s="97">
        <v>0</v>
      </c>
      <c r="M95" s="7">
        <f t="shared" si="12"/>
        <v>0</v>
      </c>
      <c r="N95" s="7">
        <f t="shared" si="21"/>
        <v>0</v>
      </c>
      <c r="O95" s="7">
        <f t="shared" si="20"/>
        <v>25000</v>
      </c>
      <c r="P95" s="99">
        <f t="shared" si="13"/>
        <v>8.4745762711864406E-3</v>
      </c>
      <c r="Q95" s="99">
        <f t="shared" si="22"/>
        <v>8.5645708933380152E-3</v>
      </c>
      <c r="S95" s="7">
        <f t="shared" si="14"/>
        <v>3272500.0000000005</v>
      </c>
      <c r="T95" s="7">
        <f t="shared" si="15"/>
        <v>991666.66666666663</v>
      </c>
      <c r="U95" s="7">
        <f t="shared" si="16"/>
        <v>4300000</v>
      </c>
      <c r="V95" s="7">
        <f t="shared" si="17"/>
        <v>0</v>
      </c>
      <c r="W95" s="7">
        <f t="shared" si="18"/>
        <v>0</v>
      </c>
      <c r="X95" s="7">
        <f t="shared" si="19"/>
        <v>0</v>
      </c>
    </row>
    <row r="96" spans="1:24">
      <c r="A96">
        <v>95</v>
      </c>
      <c r="B96" s="96" t="s">
        <v>3508</v>
      </c>
      <c r="C96" s="95">
        <v>40398</v>
      </c>
      <c r="D96" s="82">
        <v>3000000</v>
      </c>
      <c r="E96" s="82">
        <v>3000000</v>
      </c>
      <c r="F96" s="82">
        <v>3000000</v>
      </c>
      <c r="G96" s="82">
        <v>3000000</v>
      </c>
      <c r="I96" s="98">
        <v>0</v>
      </c>
      <c r="J96" s="98">
        <v>0</v>
      </c>
      <c r="K96" s="98">
        <v>0</v>
      </c>
      <c r="M96" s="7">
        <f t="shared" si="12"/>
        <v>0</v>
      </c>
      <c r="N96" s="7">
        <f t="shared" si="21"/>
        <v>0</v>
      </c>
      <c r="O96" s="7">
        <f t="shared" si="20"/>
        <v>25000</v>
      </c>
      <c r="P96" s="99">
        <f t="shared" si="13"/>
        <v>8.4033613445378148E-3</v>
      </c>
      <c r="Q96" s="99">
        <f t="shared" si="22"/>
        <v>1.8748548873926164E-2</v>
      </c>
      <c r="S96" s="7">
        <f t="shared" si="14"/>
        <v>3300000.0000000005</v>
      </c>
      <c r="T96" s="7">
        <f t="shared" si="15"/>
        <v>1000000</v>
      </c>
      <c r="U96" s="7">
        <f t="shared" si="16"/>
        <v>4470000</v>
      </c>
      <c r="V96" s="7">
        <f t="shared" si="17"/>
        <v>0</v>
      </c>
      <c r="W96" s="7">
        <f t="shared" si="18"/>
        <v>0</v>
      </c>
      <c r="X96" s="7">
        <f t="shared" si="19"/>
        <v>0</v>
      </c>
    </row>
    <row r="97" spans="1:24">
      <c r="A97">
        <v>96</v>
      </c>
      <c r="B97" s="96" t="s">
        <v>3507</v>
      </c>
      <c r="C97" s="95">
        <v>40399</v>
      </c>
      <c r="D97" s="82">
        <v>3000000</v>
      </c>
      <c r="E97" s="82">
        <v>3000000</v>
      </c>
      <c r="F97" s="82">
        <v>3000000</v>
      </c>
      <c r="G97" s="82">
        <v>3000000</v>
      </c>
      <c r="I97" s="82">
        <f>G97*1.1</f>
        <v>3300000.0000000005</v>
      </c>
      <c r="J97" s="82">
        <f>G97/3</f>
        <v>1000000</v>
      </c>
      <c r="K97" s="7">
        <f>G365</f>
        <v>4420000</v>
      </c>
      <c r="L97" s="7">
        <f>K97-I97</f>
        <v>1119999.9999999995</v>
      </c>
      <c r="M97" s="7">
        <f t="shared" si="12"/>
        <v>125000</v>
      </c>
      <c r="N97" s="7">
        <f t="shared" si="21"/>
        <v>1244999.9999999995</v>
      </c>
      <c r="O97" s="7">
        <f t="shared" si="20"/>
        <v>0</v>
      </c>
      <c r="P97" s="99">
        <f t="shared" si="13"/>
        <v>0</v>
      </c>
      <c r="Q97" s="99">
        <f t="shared" si="22"/>
        <v>1.6877937615724255E-2</v>
      </c>
      <c r="R97">
        <v>1</v>
      </c>
      <c r="S97" s="7">
        <f t="shared" si="14"/>
        <v>3300000.0000000005</v>
      </c>
      <c r="T97" s="7">
        <f t="shared" si="15"/>
        <v>1000000</v>
      </c>
      <c r="U97" s="7">
        <f t="shared" si="16"/>
        <v>4420000</v>
      </c>
      <c r="V97" s="7">
        <f t="shared" si="17"/>
        <v>1119999.9999999995</v>
      </c>
      <c r="W97" s="7">
        <f t="shared" si="18"/>
        <v>125000</v>
      </c>
      <c r="X97" s="7">
        <f t="shared" si="19"/>
        <v>1244999.9999999995</v>
      </c>
    </row>
    <row r="98" spans="1:24">
      <c r="A98">
        <v>97</v>
      </c>
      <c r="B98" s="96" t="s">
        <v>3506</v>
      </c>
      <c r="C98" s="95">
        <v>40401</v>
      </c>
      <c r="D98" s="82">
        <v>3000000</v>
      </c>
      <c r="E98" s="82">
        <v>3000000</v>
      </c>
      <c r="F98" s="82">
        <v>3000000</v>
      </c>
      <c r="G98" s="82">
        <v>3000000</v>
      </c>
      <c r="I98" s="97">
        <v>0</v>
      </c>
      <c r="J98" s="97">
        <v>0</v>
      </c>
      <c r="K98" s="97">
        <v>0</v>
      </c>
      <c r="M98" s="7">
        <f t="shared" si="12"/>
        <v>0</v>
      </c>
      <c r="N98" s="7">
        <f t="shared" si="21"/>
        <v>0</v>
      </c>
      <c r="O98" s="7">
        <f t="shared" si="20"/>
        <v>0</v>
      </c>
      <c r="P98" s="99">
        <f t="shared" si="13"/>
        <v>0</v>
      </c>
      <c r="Q98" s="99">
        <f t="shared" si="22"/>
        <v>1.6877937615724255E-2</v>
      </c>
      <c r="S98" s="7">
        <f t="shared" si="14"/>
        <v>3300000.0000000005</v>
      </c>
      <c r="T98" s="7">
        <f t="shared" si="15"/>
        <v>1000000</v>
      </c>
      <c r="U98" s="7">
        <f t="shared" si="16"/>
        <v>4410000</v>
      </c>
      <c r="V98" s="7">
        <f t="shared" si="17"/>
        <v>0</v>
      </c>
      <c r="W98" s="7">
        <f t="shared" si="18"/>
        <v>0</v>
      </c>
      <c r="X98" s="7">
        <f t="shared" si="19"/>
        <v>0</v>
      </c>
    </row>
    <row r="99" spans="1:24">
      <c r="A99">
        <v>98</v>
      </c>
      <c r="B99" s="96" t="s">
        <v>3505</v>
      </c>
      <c r="C99" s="95">
        <v>40402</v>
      </c>
      <c r="D99" s="82">
        <v>2990000</v>
      </c>
      <c r="E99" s="82">
        <v>2990000</v>
      </c>
      <c r="F99" s="82">
        <v>2990000</v>
      </c>
      <c r="G99" s="82">
        <v>2990000</v>
      </c>
      <c r="I99" s="97">
        <v>0</v>
      </c>
      <c r="J99" s="97">
        <v>0</v>
      </c>
      <c r="K99" s="97">
        <v>0</v>
      </c>
      <c r="M99" s="7">
        <f t="shared" si="12"/>
        <v>0</v>
      </c>
      <c r="N99" s="7">
        <f t="shared" si="21"/>
        <v>0</v>
      </c>
      <c r="O99" s="7">
        <f t="shared" si="20"/>
        <v>-10000</v>
      </c>
      <c r="P99" s="99">
        <f t="shared" si="13"/>
        <v>-3.3333333333333335E-3</v>
      </c>
      <c r="Q99" s="99">
        <f t="shared" si="22"/>
        <v>1.6877937615724255E-2</v>
      </c>
      <c r="S99" s="7">
        <f t="shared" si="14"/>
        <v>3289000.0000000005</v>
      </c>
      <c r="T99" s="7">
        <f t="shared" si="15"/>
        <v>996666.66666666663</v>
      </c>
      <c r="U99" s="7">
        <f t="shared" si="16"/>
        <v>4440000</v>
      </c>
      <c r="V99" s="7">
        <f t="shared" si="17"/>
        <v>0</v>
      </c>
      <c r="W99" s="7">
        <f t="shared" si="18"/>
        <v>0</v>
      </c>
      <c r="X99" s="7">
        <f t="shared" si="19"/>
        <v>0</v>
      </c>
    </row>
    <row r="100" spans="1:24">
      <c r="A100">
        <v>99</v>
      </c>
      <c r="B100" s="96" t="s">
        <v>3504</v>
      </c>
      <c r="C100" s="95">
        <v>40404</v>
      </c>
      <c r="D100" s="82">
        <v>3010000</v>
      </c>
      <c r="E100" s="82">
        <v>3010000</v>
      </c>
      <c r="F100" s="82">
        <v>3010000</v>
      </c>
      <c r="G100" s="82">
        <v>3010000</v>
      </c>
      <c r="I100" s="97">
        <v>0</v>
      </c>
      <c r="J100" s="97">
        <v>0</v>
      </c>
      <c r="K100" s="97">
        <v>0</v>
      </c>
      <c r="M100" s="7">
        <f t="shared" si="12"/>
        <v>0</v>
      </c>
      <c r="N100" s="7">
        <f t="shared" si="21"/>
        <v>0</v>
      </c>
      <c r="O100" s="7">
        <f t="shared" si="20"/>
        <v>20000</v>
      </c>
      <c r="P100" s="99">
        <f t="shared" si="13"/>
        <v>6.688963210702341E-3</v>
      </c>
      <c r="Q100" s="99">
        <f t="shared" si="22"/>
        <v>1.3544604282390921E-2</v>
      </c>
      <c r="S100" s="7">
        <f t="shared" si="14"/>
        <v>3311000.0000000005</v>
      </c>
      <c r="T100" s="7">
        <f t="shared" si="15"/>
        <v>1003333.3333333334</v>
      </c>
      <c r="U100" s="7">
        <f t="shared" si="16"/>
        <v>4600000</v>
      </c>
      <c r="V100" s="7">
        <f t="shared" si="17"/>
        <v>0</v>
      </c>
      <c r="W100" s="7">
        <f t="shared" si="18"/>
        <v>0</v>
      </c>
      <c r="X100" s="7">
        <f t="shared" si="19"/>
        <v>0</v>
      </c>
    </row>
    <row r="101" spans="1:24">
      <c r="A101">
        <v>100</v>
      </c>
      <c r="B101" s="96" t="s">
        <v>3503</v>
      </c>
      <c r="C101" s="95">
        <v>40405</v>
      </c>
      <c r="D101" s="82">
        <v>3030000</v>
      </c>
      <c r="E101" s="82">
        <v>3030000</v>
      </c>
      <c r="F101" s="82">
        <v>3030000</v>
      </c>
      <c r="G101" s="82">
        <v>3030000</v>
      </c>
      <c r="I101" s="98">
        <v>0</v>
      </c>
      <c r="J101" s="98">
        <v>0</v>
      </c>
      <c r="K101" s="98">
        <v>0</v>
      </c>
      <c r="M101" s="7">
        <f t="shared" si="12"/>
        <v>0</v>
      </c>
      <c r="N101" s="7">
        <f t="shared" si="21"/>
        <v>0</v>
      </c>
      <c r="O101" s="7">
        <f t="shared" si="20"/>
        <v>20000</v>
      </c>
      <c r="P101" s="99">
        <f t="shared" si="13"/>
        <v>6.6445182724252493E-3</v>
      </c>
      <c r="Q101" s="99">
        <f t="shared" si="22"/>
        <v>1.1758991221906823E-2</v>
      </c>
      <c r="S101" s="7">
        <f t="shared" si="14"/>
        <v>3333000.0000000005</v>
      </c>
      <c r="T101" s="7">
        <f t="shared" si="15"/>
        <v>1010000</v>
      </c>
      <c r="U101" s="7">
        <f t="shared" si="16"/>
        <v>4800000</v>
      </c>
      <c r="V101" s="7">
        <f t="shared" si="17"/>
        <v>0</v>
      </c>
      <c r="W101" s="7">
        <f t="shared" si="18"/>
        <v>0</v>
      </c>
      <c r="X101" s="7">
        <f t="shared" si="19"/>
        <v>0</v>
      </c>
    </row>
    <row r="102" spans="1:24">
      <c r="A102">
        <v>101</v>
      </c>
      <c r="B102" s="96" t="s">
        <v>3502</v>
      </c>
      <c r="C102" s="95">
        <v>40406</v>
      </c>
      <c r="D102" s="82">
        <v>3030000</v>
      </c>
      <c r="E102" s="82">
        <v>3030000</v>
      </c>
      <c r="F102" s="82">
        <v>3030000</v>
      </c>
      <c r="G102" s="82">
        <v>3030000</v>
      </c>
      <c r="I102" s="82">
        <f>G102*1.1</f>
        <v>3333000.0000000005</v>
      </c>
      <c r="J102" s="82">
        <f>G102/3</f>
        <v>1010000</v>
      </c>
      <c r="K102" s="7">
        <f>G370</f>
        <v>4800000</v>
      </c>
      <c r="L102" s="7">
        <f>K102-I102</f>
        <v>1466999.9999999995</v>
      </c>
      <c r="M102" s="7">
        <f t="shared" si="12"/>
        <v>126250</v>
      </c>
      <c r="N102" s="7">
        <f t="shared" si="21"/>
        <v>1593249.9999999995</v>
      </c>
      <c r="O102" s="7">
        <f t="shared" si="20"/>
        <v>0</v>
      </c>
      <c r="P102" s="99">
        <f t="shared" si="13"/>
        <v>0</v>
      </c>
      <c r="Q102" s="99">
        <f t="shared" si="22"/>
        <v>1.0000148149794257E-2</v>
      </c>
      <c r="R102">
        <v>1</v>
      </c>
      <c r="S102" s="7">
        <f t="shared" si="14"/>
        <v>3333000.0000000005</v>
      </c>
      <c r="T102" s="7">
        <f t="shared" si="15"/>
        <v>1010000</v>
      </c>
      <c r="U102" s="7">
        <f t="shared" si="16"/>
        <v>4800000</v>
      </c>
      <c r="V102" s="7">
        <f t="shared" si="17"/>
        <v>1466999.9999999995</v>
      </c>
      <c r="W102" s="7">
        <f t="shared" si="18"/>
        <v>126250</v>
      </c>
      <c r="X102" s="7">
        <f t="shared" si="19"/>
        <v>1593249.9999999995</v>
      </c>
    </row>
    <row r="103" spans="1:24">
      <c r="A103">
        <v>102</v>
      </c>
      <c r="B103" s="96" t="s">
        <v>3501</v>
      </c>
      <c r="C103" s="95">
        <v>40407</v>
      </c>
      <c r="D103" s="82">
        <v>3030000</v>
      </c>
      <c r="E103" s="82">
        <v>3030000</v>
      </c>
      <c r="F103" s="82">
        <v>3030000</v>
      </c>
      <c r="G103" s="82">
        <v>3030000</v>
      </c>
      <c r="I103" s="97">
        <v>0</v>
      </c>
      <c r="J103" s="97">
        <v>0</v>
      </c>
      <c r="K103" s="97">
        <v>0</v>
      </c>
      <c r="M103" s="7">
        <f t="shared" si="12"/>
        <v>0</v>
      </c>
      <c r="N103" s="7">
        <f t="shared" si="21"/>
        <v>0</v>
      </c>
      <c r="O103" s="7">
        <f t="shared" si="20"/>
        <v>0</v>
      </c>
      <c r="P103" s="99">
        <f t="shared" si="13"/>
        <v>0</v>
      </c>
      <c r="Q103" s="99">
        <f t="shared" si="22"/>
        <v>1.0000148149794257E-2</v>
      </c>
      <c r="S103" s="7">
        <f t="shared" si="14"/>
        <v>3333000.0000000005</v>
      </c>
      <c r="T103" s="7">
        <f t="shared" si="15"/>
        <v>1010000</v>
      </c>
      <c r="U103" s="7">
        <f t="shared" si="16"/>
        <v>4850000</v>
      </c>
      <c r="V103" s="7">
        <f t="shared" si="17"/>
        <v>0</v>
      </c>
      <c r="W103" s="7">
        <f t="shared" si="18"/>
        <v>0</v>
      </c>
      <c r="X103" s="7">
        <f t="shared" si="19"/>
        <v>0</v>
      </c>
    </row>
    <row r="104" spans="1:24">
      <c r="A104">
        <v>103</v>
      </c>
      <c r="B104" s="96" t="s">
        <v>3500</v>
      </c>
      <c r="C104" s="95">
        <v>40408</v>
      </c>
      <c r="D104" s="82">
        <v>3040000</v>
      </c>
      <c r="E104" s="82">
        <v>3040000</v>
      </c>
      <c r="F104" s="82">
        <v>3040000</v>
      </c>
      <c r="G104" s="82">
        <v>3040000</v>
      </c>
      <c r="I104" s="97">
        <v>0</v>
      </c>
      <c r="J104" s="97">
        <v>0</v>
      </c>
      <c r="K104" s="97">
        <v>0</v>
      </c>
      <c r="M104" s="7">
        <f t="shared" si="12"/>
        <v>0</v>
      </c>
      <c r="N104" s="7">
        <f t="shared" si="21"/>
        <v>0</v>
      </c>
      <c r="O104" s="7">
        <f t="shared" si="20"/>
        <v>10000</v>
      </c>
      <c r="P104" s="99">
        <f t="shared" si="13"/>
        <v>3.3003300330033004E-3</v>
      </c>
      <c r="Q104" s="99">
        <f t="shared" si="22"/>
        <v>1.0000148149794257E-2</v>
      </c>
      <c r="S104" s="7">
        <f t="shared" si="14"/>
        <v>3344000.0000000005</v>
      </c>
      <c r="T104" s="7">
        <f t="shared" si="15"/>
        <v>1013333.3333333334</v>
      </c>
      <c r="U104" s="7">
        <f t="shared" si="16"/>
        <v>4800000</v>
      </c>
      <c r="V104" s="7">
        <f t="shared" si="17"/>
        <v>0</v>
      </c>
      <c r="W104" s="7">
        <f t="shared" si="18"/>
        <v>0</v>
      </c>
      <c r="X104" s="7">
        <f t="shared" si="19"/>
        <v>0</v>
      </c>
    </row>
    <row r="105" spans="1:24">
      <c r="A105">
        <v>104</v>
      </c>
      <c r="B105" s="96" t="s">
        <v>3499</v>
      </c>
      <c r="C105" s="95">
        <v>40409</v>
      </c>
      <c r="D105" s="82">
        <v>3040000</v>
      </c>
      <c r="E105" s="82">
        <v>3040000</v>
      </c>
      <c r="F105" s="82">
        <v>3040000</v>
      </c>
      <c r="G105" s="82">
        <v>3040000</v>
      </c>
      <c r="I105" s="97">
        <v>0</v>
      </c>
      <c r="J105" s="97">
        <v>0</v>
      </c>
      <c r="K105" s="97">
        <v>0</v>
      </c>
      <c r="M105" s="7">
        <f t="shared" si="12"/>
        <v>0</v>
      </c>
      <c r="N105" s="7">
        <f t="shared" si="21"/>
        <v>0</v>
      </c>
      <c r="O105" s="7">
        <f t="shared" si="20"/>
        <v>0</v>
      </c>
      <c r="P105" s="99">
        <f t="shared" si="13"/>
        <v>0</v>
      </c>
      <c r="Q105" s="99">
        <f t="shared" si="22"/>
        <v>1.6633811516130893E-2</v>
      </c>
      <c r="S105" s="7">
        <f t="shared" si="14"/>
        <v>3344000.0000000005</v>
      </c>
      <c r="T105" s="7">
        <f t="shared" si="15"/>
        <v>1013333.3333333334</v>
      </c>
      <c r="U105" s="7">
        <f t="shared" si="16"/>
        <v>4750000</v>
      </c>
      <c r="V105" s="7">
        <f t="shared" si="17"/>
        <v>0</v>
      </c>
      <c r="W105" s="7">
        <f t="shared" si="18"/>
        <v>0</v>
      </c>
      <c r="X105" s="7">
        <f t="shared" si="19"/>
        <v>0</v>
      </c>
    </row>
    <row r="106" spans="1:24">
      <c r="A106">
        <v>105</v>
      </c>
      <c r="B106" s="96" t="s">
        <v>3498</v>
      </c>
      <c r="C106" s="95">
        <v>40411</v>
      </c>
      <c r="D106" s="82">
        <v>3040000</v>
      </c>
      <c r="E106" s="82">
        <v>3040000</v>
      </c>
      <c r="F106" s="82">
        <v>3040000</v>
      </c>
      <c r="G106" s="82">
        <v>3040000</v>
      </c>
      <c r="I106" s="98">
        <v>0</v>
      </c>
      <c r="J106" s="98">
        <v>0</v>
      </c>
      <c r="K106" s="98">
        <v>0</v>
      </c>
      <c r="M106" s="7">
        <f t="shared" si="12"/>
        <v>0</v>
      </c>
      <c r="N106" s="7">
        <f t="shared" si="21"/>
        <v>0</v>
      </c>
      <c r="O106" s="7">
        <f t="shared" si="20"/>
        <v>0</v>
      </c>
      <c r="P106" s="99">
        <f t="shared" si="13"/>
        <v>0</v>
      </c>
      <c r="Q106" s="99">
        <f t="shared" si="22"/>
        <v>9.9448483054285497E-3</v>
      </c>
      <c r="S106" s="7">
        <f t="shared" si="14"/>
        <v>3344000.0000000005</v>
      </c>
      <c r="T106" s="7">
        <f t="shared" si="15"/>
        <v>1013333.3333333334</v>
      </c>
      <c r="U106" s="7">
        <f t="shared" si="16"/>
        <v>4720000</v>
      </c>
      <c r="V106" s="7">
        <f t="shared" si="17"/>
        <v>0</v>
      </c>
      <c r="W106" s="7">
        <f t="shared" si="18"/>
        <v>0</v>
      </c>
      <c r="X106" s="7">
        <f t="shared" si="19"/>
        <v>0</v>
      </c>
    </row>
    <row r="107" spans="1:24">
      <c r="A107">
        <v>106</v>
      </c>
      <c r="B107" s="96" t="s">
        <v>3497</v>
      </c>
      <c r="C107" s="95">
        <v>40412</v>
      </c>
      <c r="D107" s="82">
        <v>3040000</v>
      </c>
      <c r="E107" s="82">
        <v>3040000</v>
      </c>
      <c r="F107" s="82">
        <v>3040000</v>
      </c>
      <c r="G107" s="82">
        <v>3040000</v>
      </c>
      <c r="I107" s="82">
        <f>G107*1.1</f>
        <v>3344000.0000000005</v>
      </c>
      <c r="J107" s="82">
        <f>G107/3</f>
        <v>1013333.3333333334</v>
      </c>
      <c r="K107" s="7">
        <f>G375</f>
        <v>4840000</v>
      </c>
      <c r="L107" s="7">
        <f>K107-I107</f>
        <v>1495999.9999999995</v>
      </c>
      <c r="M107" s="7">
        <f t="shared" si="12"/>
        <v>126666.66666666669</v>
      </c>
      <c r="N107" s="7">
        <f t="shared" si="21"/>
        <v>1622666.6666666663</v>
      </c>
      <c r="O107" s="7">
        <f t="shared" si="20"/>
        <v>0</v>
      </c>
      <c r="P107" s="99">
        <f t="shared" si="13"/>
        <v>0</v>
      </c>
      <c r="Q107" s="99">
        <f t="shared" si="22"/>
        <v>3.3003300330033004E-3</v>
      </c>
      <c r="R107">
        <v>1</v>
      </c>
      <c r="S107" s="7">
        <f t="shared" si="14"/>
        <v>3344000.0000000005</v>
      </c>
      <c r="T107" s="7">
        <f t="shared" si="15"/>
        <v>1013333.3333333334</v>
      </c>
      <c r="U107" s="7">
        <f t="shared" si="16"/>
        <v>4840000</v>
      </c>
      <c r="V107" s="7">
        <f t="shared" si="17"/>
        <v>1495999.9999999995</v>
      </c>
      <c r="W107" s="7">
        <f t="shared" si="18"/>
        <v>126666.66666666669</v>
      </c>
      <c r="X107" s="7">
        <f t="shared" si="19"/>
        <v>1622666.6666666663</v>
      </c>
    </row>
    <row r="108" spans="1:24">
      <c r="A108">
        <v>107</v>
      </c>
      <c r="B108" s="96" t="s">
        <v>3496</v>
      </c>
      <c r="C108" s="95">
        <v>40413</v>
      </c>
      <c r="D108" s="82">
        <v>3040000</v>
      </c>
      <c r="E108" s="82">
        <v>3040000</v>
      </c>
      <c r="F108" s="82">
        <v>3040000</v>
      </c>
      <c r="G108" s="82">
        <v>3040000</v>
      </c>
      <c r="I108" s="97">
        <v>0</v>
      </c>
      <c r="J108" s="97">
        <v>0</v>
      </c>
      <c r="K108" s="97">
        <v>0</v>
      </c>
      <c r="M108" s="7">
        <f t="shared" si="12"/>
        <v>0</v>
      </c>
      <c r="N108" s="7">
        <f t="shared" si="21"/>
        <v>0</v>
      </c>
      <c r="O108" s="7">
        <f t="shared" si="20"/>
        <v>0</v>
      </c>
      <c r="P108" s="99">
        <f t="shared" si="13"/>
        <v>0</v>
      </c>
      <c r="Q108" s="99">
        <f t="shared" si="22"/>
        <v>3.3003300330033004E-3</v>
      </c>
      <c r="S108" s="7">
        <f t="shared" si="14"/>
        <v>3344000.0000000005</v>
      </c>
      <c r="T108" s="7">
        <f t="shared" si="15"/>
        <v>1013333.3333333334</v>
      </c>
      <c r="U108" s="7">
        <f t="shared" si="16"/>
        <v>4900000</v>
      </c>
      <c r="V108" s="7">
        <f t="shared" si="17"/>
        <v>0</v>
      </c>
      <c r="W108" s="7">
        <f t="shared" si="18"/>
        <v>0</v>
      </c>
      <c r="X108" s="7">
        <f t="shared" si="19"/>
        <v>0</v>
      </c>
    </row>
    <row r="109" spans="1:24">
      <c r="A109">
        <v>108</v>
      </c>
      <c r="B109" s="96" t="s">
        <v>3495</v>
      </c>
      <c r="C109" s="95">
        <v>40414</v>
      </c>
      <c r="D109" s="82">
        <v>3040000</v>
      </c>
      <c r="E109" s="82">
        <v>3040000</v>
      </c>
      <c r="F109" s="82">
        <v>3040000</v>
      </c>
      <c r="G109" s="82">
        <v>3040000</v>
      </c>
      <c r="I109" s="97">
        <v>0</v>
      </c>
      <c r="J109" s="97">
        <v>0</v>
      </c>
      <c r="K109" s="97">
        <v>0</v>
      </c>
      <c r="M109" s="7">
        <f t="shared" si="12"/>
        <v>0</v>
      </c>
      <c r="N109" s="7">
        <f t="shared" si="21"/>
        <v>0</v>
      </c>
      <c r="O109" s="7">
        <f t="shared" si="20"/>
        <v>0</v>
      </c>
      <c r="P109" s="99">
        <f t="shared" si="13"/>
        <v>0</v>
      </c>
      <c r="Q109" s="99">
        <f t="shared" si="22"/>
        <v>3.3003300330033004E-3</v>
      </c>
      <c r="S109" s="7">
        <f t="shared" si="14"/>
        <v>3344000.0000000005</v>
      </c>
      <c r="T109" s="7">
        <f t="shared" si="15"/>
        <v>1013333.3333333334</v>
      </c>
      <c r="U109" s="7">
        <f t="shared" si="16"/>
        <v>4940000</v>
      </c>
      <c r="V109" s="7">
        <f t="shared" si="17"/>
        <v>0</v>
      </c>
      <c r="W109" s="7">
        <f t="shared" si="18"/>
        <v>0</v>
      </c>
      <c r="X109" s="7">
        <f t="shared" si="19"/>
        <v>0</v>
      </c>
    </row>
    <row r="110" spans="1:24">
      <c r="A110">
        <v>109</v>
      </c>
      <c r="B110" s="96" t="s">
        <v>3494</v>
      </c>
      <c r="C110" s="95">
        <v>40415</v>
      </c>
      <c r="D110" s="82">
        <v>3030000</v>
      </c>
      <c r="E110" s="82">
        <v>3030000</v>
      </c>
      <c r="F110" s="82">
        <v>3030000</v>
      </c>
      <c r="G110" s="82">
        <v>3030000</v>
      </c>
      <c r="I110" s="97">
        <v>0</v>
      </c>
      <c r="J110" s="97">
        <v>0</v>
      </c>
      <c r="K110" s="97">
        <v>0</v>
      </c>
      <c r="M110" s="7">
        <f t="shared" si="12"/>
        <v>0</v>
      </c>
      <c r="N110" s="7">
        <f t="shared" si="21"/>
        <v>0</v>
      </c>
      <c r="O110" s="7">
        <f t="shared" si="20"/>
        <v>-10000</v>
      </c>
      <c r="P110" s="99">
        <f t="shared" si="13"/>
        <v>-3.2894736842105261E-3</v>
      </c>
      <c r="Q110" s="99">
        <f t="shared" si="22"/>
        <v>0</v>
      </c>
      <c r="S110" s="7">
        <f t="shared" si="14"/>
        <v>3333000.0000000005</v>
      </c>
      <c r="T110" s="7">
        <f t="shared" si="15"/>
        <v>1010000</v>
      </c>
      <c r="U110" s="7">
        <f t="shared" si="16"/>
        <v>5170000</v>
      </c>
      <c r="V110" s="7">
        <f t="shared" si="17"/>
        <v>0</v>
      </c>
      <c r="W110" s="7">
        <f t="shared" si="18"/>
        <v>0</v>
      </c>
      <c r="X110" s="7">
        <f t="shared" si="19"/>
        <v>0</v>
      </c>
    </row>
    <row r="111" spans="1:24">
      <c r="A111">
        <v>110</v>
      </c>
      <c r="B111" s="96" t="s">
        <v>3493</v>
      </c>
      <c r="C111" s="95">
        <v>40416</v>
      </c>
      <c r="D111" s="82">
        <v>3050000</v>
      </c>
      <c r="E111" s="82">
        <v>3050000</v>
      </c>
      <c r="F111" s="82">
        <v>3050000</v>
      </c>
      <c r="G111" s="82">
        <v>3050000</v>
      </c>
      <c r="I111" s="98">
        <v>0</v>
      </c>
      <c r="J111" s="98">
        <v>0</v>
      </c>
      <c r="K111" s="98">
        <v>0</v>
      </c>
      <c r="M111" s="7">
        <f t="shared" si="12"/>
        <v>0</v>
      </c>
      <c r="N111" s="7">
        <f t="shared" si="21"/>
        <v>0</v>
      </c>
      <c r="O111" s="7">
        <f t="shared" si="20"/>
        <v>20000</v>
      </c>
      <c r="P111" s="99">
        <f t="shared" si="13"/>
        <v>6.6006600660066007E-3</v>
      </c>
      <c r="Q111" s="99">
        <f t="shared" si="22"/>
        <v>-3.2894736842105261E-3</v>
      </c>
      <c r="S111" s="7">
        <f t="shared" si="14"/>
        <v>3355000.0000000005</v>
      </c>
      <c r="T111" s="7">
        <f t="shared" si="15"/>
        <v>1016666.6666666666</v>
      </c>
      <c r="U111" s="7">
        <f t="shared" si="16"/>
        <v>5330000</v>
      </c>
      <c r="V111" s="7">
        <f t="shared" si="17"/>
        <v>0</v>
      </c>
      <c r="W111" s="7">
        <f t="shared" si="18"/>
        <v>0</v>
      </c>
      <c r="X111" s="7">
        <f t="shared" si="19"/>
        <v>0</v>
      </c>
    </row>
    <row r="112" spans="1:24">
      <c r="A112">
        <v>111</v>
      </c>
      <c r="B112" s="96" t="s">
        <v>3492</v>
      </c>
      <c r="C112" s="95">
        <v>40418</v>
      </c>
      <c r="D112" s="82">
        <v>3060000</v>
      </c>
      <c r="E112" s="82">
        <v>3060000</v>
      </c>
      <c r="F112" s="82">
        <v>3060000</v>
      </c>
      <c r="G112" s="82">
        <v>3060000</v>
      </c>
      <c r="I112" s="82">
        <f>G112*1.1</f>
        <v>3366000.0000000005</v>
      </c>
      <c r="J112" s="82">
        <f>G112/3</f>
        <v>1020000</v>
      </c>
      <c r="K112" s="7">
        <f>G380</f>
        <v>5580000</v>
      </c>
      <c r="L112" s="7">
        <f>K112-I112</f>
        <v>2213999.9999999995</v>
      </c>
      <c r="M112" s="7">
        <f t="shared" si="12"/>
        <v>127500</v>
      </c>
      <c r="N112" s="7">
        <f t="shared" si="21"/>
        <v>2341499.9999999995</v>
      </c>
      <c r="O112" s="7">
        <f t="shared" si="20"/>
        <v>10000</v>
      </c>
      <c r="P112" s="99">
        <f t="shared" si="13"/>
        <v>3.2786885245901639E-3</v>
      </c>
      <c r="Q112" s="99">
        <f t="shared" si="22"/>
        <v>3.3111863817960746E-3</v>
      </c>
      <c r="R112">
        <v>1</v>
      </c>
      <c r="S112" s="7">
        <f t="shared" si="14"/>
        <v>3366000.0000000005</v>
      </c>
      <c r="T112" s="7">
        <f t="shared" si="15"/>
        <v>1020000</v>
      </c>
      <c r="U112" s="7">
        <f t="shared" si="16"/>
        <v>5580000</v>
      </c>
      <c r="V112" s="7">
        <f t="shared" si="17"/>
        <v>2213999.9999999995</v>
      </c>
      <c r="W112" s="7">
        <f t="shared" si="18"/>
        <v>127500</v>
      </c>
      <c r="X112" s="7">
        <f t="shared" si="19"/>
        <v>2341499.9999999995</v>
      </c>
    </row>
    <row r="113" spans="1:24">
      <c r="A113">
        <v>112</v>
      </c>
      <c r="B113" s="96" t="s">
        <v>3491</v>
      </c>
      <c r="C113" s="95">
        <v>40419</v>
      </c>
      <c r="D113" s="82">
        <v>3060000</v>
      </c>
      <c r="E113" s="82">
        <v>3060000</v>
      </c>
      <c r="F113" s="82">
        <v>3060000</v>
      </c>
      <c r="G113" s="82">
        <v>3060000</v>
      </c>
      <c r="I113" s="97">
        <v>0</v>
      </c>
      <c r="J113" s="97">
        <v>0</v>
      </c>
      <c r="K113" s="97">
        <v>0</v>
      </c>
      <c r="M113" s="7">
        <f t="shared" si="12"/>
        <v>0</v>
      </c>
      <c r="N113" s="7">
        <f t="shared" si="21"/>
        <v>0</v>
      </c>
      <c r="O113" s="7">
        <f t="shared" si="20"/>
        <v>0</v>
      </c>
      <c r="P113" s="99">
        <f t="shared" si="13"/>
        <v>0</v>
      </c>
      <c r="Q113" s="99">
        <f t="shared" si="22"/>
        <v>6.5898749063862385E-3</v>
      </c>
      <c r="S113" s="7">
        <f t="shared" si="14"/>
        <v>3366000.0000000005</v>
      </c>
      <c r="T113" s="7">
        <f t="shared" si="15"/>
        <v>1020000</v>
      </c>
      <c r="U113" s="7">
        <f t="shared" si="16"/>
        <v>5570000</v>
      </c>
      <c r="V113" s="7">
        <f t="shared" si="17"/>
        <v>0</v>
      </c>
      <c r="W113" s="7">
        <f t="shared" si="18"/>
        <v>0</v>
      </c>
      <c r="X113" s="7">
        <f t="shared" si="19"/>
        <v>0</v>
      </c>
    </row>
    <row r="114" spans="1:24">
      <c r="A114">
        <v>113</v>
      </c>
      <c r="B114" s="96" t="s">
        <v>3490</v>
      </c>
      <c r="C114" s="95">
        <v>40420</v>
      </c>
      <c r="D114" s="82">
        <v>3070000</v>
      </c>
      <c r="E114" s="82">
        <v>3070000</v>
      </c>
      <c r="F114" s="82">
        <v>3070000</v>
      </c>
      <c r="G114" s="82">
        <v>3070000</v>
      </c>
      <c r="I114" s="97">
        <v>0</v>
      </c>
      <c r="J114" s="97">
        <v>0</v>
      </c>
      <c r="K114" s="97">
        <v>0</v>
      </c>
      <c r="M114" s="7">
        <f t="shared" si="12"/>
        <v>0</v>
      </c>
      <c r="N114" s="7">
        <f t="shared" si="21"/>
        <v>0</v>
      </c>
      <c r="O114" s="7">
        <f t="shared" si="20"/>
        <v>10000</v>
      </c>
      <c r="P114" s="99">
        <f t="shared" si="13"/>
        <v>3.2679738562091504E-3</v>
      </c>
      <c r="Q114" s="99">
        <f t="shared" si="22"/>
        <v>6.5898749063862385E-3</v>
      </c>
      <c r="S114" s="7">
        <f t="shared" si="14"/>
        <v>3377000.0000000005</v>
      </c>
      <c r="T114" s="7">
        <f t="shared" si="15"/>
        <v>1023333.3333333334</v>
      </c>
      <c r="U114" s="7">
        <f t="shared" si="16"/>
        <v>5220000</v>
      </c>
      <c r="V114" s="7">
        <f t="shared" si="17"/>
        <v>0</v>
      </c>
      <c r="W114" s="7">
        <f t="shared" si="18"/>
        <v>0</v>
      </c>
      <c r="X114" s="7">
        <f t="shared" si="19"/>
        <v>0</v>
      </c>
    </row>
    <row r="115" spans="1:24">
      <c r="A115">
        <v>114</v>
      </c>
      <c r="B115" s="96" t="s">
        <v>3489</v>
      </c>
      <c r="C115" s="95">
        <v>40421</v>
      </c>
      <c r="D115" s="82">
        <v>3080000</v>
      </c>
      <c r="E115" s="82">
        <v>3080000</v>
      </c>
      <c r="F115" s="82">
        <v>3080000</v>
      </c>
      <c r="G115" s="82">
        <v>3080000</v>
      </c>
      <c r="I115" s="97">
        <v>0</v>
      </c>
      <c r="J115" s="97">
        <v>0</v>
      </c>
      <c r="K115" s="97">
        <v>0</v>
      </c>
      <c r="M115" s="7">
        <f t="shared" si="12"/>
        <v>0</v>
      </c>
      <c r="N115" s="7">
        <f t="shared" si="21"/>
        <v>0</v>
      </c>
      <c r="O115" s="7">
        <f t="shared" si="20"/>
        <v>10000</v>
      </c>
      <c r="P115" s="99">
        <f t="shared" si="13"/>
        <v>3.2573289902280132E-3</v>
      </c>
      <c r="Q115" s="99">
        <f t="shared" si="22"/>
        <v>9.8578487625953885E-3</v>
      </c>
      <c r="S115" s="7">
        <f t="shared" si="14"/>
        <v>3388000.0000000005</v>
      </c>
      <c r="T115" s="7">
        <f t="shared" si="15"/>
        <v>1026666.6666666666</v>
      </c>
      <c r="U115" s="7">
        <f t="shared" si="16"/>
        <v>5600000</v>
      </c>
      <c r="V115" s="7">
        <f t="shared" si="17"/>
        <v>0</v>
      </c>
      <c r="W115" s="7">
        <f t="shared" si="18"/>
        <v>0</v>
      </c>
      <c r="X115" s="7">
        <f t="shared" si="19"/>
        <v>0</v>
      </c>
    </row>
    <row r="116" spans="1:24">
      <c r="A116">
        <v>115</v>
      </c>
      <c r="B116" s="96" t="s">
        <v>3488</v>
      </c>
      <c r="C116" s="95">
        <v>40425</v>
      </c>
      <c r="D116" s="82">
        <v>3080000</v>
      </c>
      <c r="E116" s="82">
        <v>3080000</v>
      </c>
      <c r="F116" s="82">
        <v>3080000</v>
      </c>
      <c r="G116" s="82">
        <v>3080000</v>
      </c>
      <c r="I116" s="98">
        <v>0</v>
      </c>
      <c r="J116" s="98">
        <v>0</v>
      </c>
      <c r="K116" s="98">
        <v>0</v>
      </c>
      <c r="M116" s="7">
        <f t="shared" si="12"/>
        <v>0</v>
      </c>
      <c r="N116" s="7">
        <f t="shared" si="21"/>
        <v>0</v>
      </c>
      <c r="O116" s="7">
        <f t="shared" si="20"/>
        <v>0</v>
      </c>
      <c r="P116" s="99">
        <f t="shared" si="13"/>
        <v>0</v>
      </c>
      <c r="Q116" s="99">
        <f t="shared" si="22"/>
        <v>1.6404651437033929E-2</v>
      </c>
      <c r="S116" s="7">
        <f t="shared" si="14"/>
        <v>3388000.0000000005</v>
      </c>
      <c r="T116" s="7">
        <f t="shared" si="15"/>
        <v>1026666.6666666666</v>
      </c>
      <c r="U116" s="7">
        <f t="shared" si="16"/>
        <v>5540000</v>
      </c>
      <c r="V116" s="7">
        <f t="shared" si="17"/>
        <v>0</v>
      </c>
      <c r="W116" s="7">
        <f t="shared" si="18"/>
        <v>0</v>
      </c>
      <c r="X116" s="7">
        <f t="shared" si="19"/>
        <v>0</v>
      </c>
    </row>
    <row r="117" spans="1:24">
      <c r="A117">
        <v>116</v>
      </c>
      <c r="B117" s="96" t="s">
        <v>3487</v>
      </c>
      <c r="C117" s="95">
        <v>40426</v>
      </c>
      <c r="D117" s="82">
        <v>3125000</v>
      </c>
      <c r="E117" s="82">
        <v>3125000</v>
      </c>
      <c r="F117" s="82">
        <v>3125000</v>
      </c>
      <c r="G117" s="82">
        <v>3125000</v>
      </c>
      <c r="I117" s="82">
        <f>G117*1.1</f>
        <v>3437500.0000000005</v>
      </c>
      <c r="J117" s="82">
        <f>G117/3</f>
        <v>1041666.6666666666</v>
      </c>
      <c r="K117" s="7">
        <f>G385</f>
        <v>5560000</v>
      </c>
      <c r="L117" s="7">
        <f>K117-I117</f>
        <v>2122499.9999999995</v>
      </c>
      <c r="M117" s="7">
        <f t="shared" si="12"/>
        <v>130208.33333333331</v>
      </c>
      <c r="N117" s="7">
        <f t="shared" si="21"/>
        <v>2252708.333333333</v>
      </c>
      <c r="O117" s="7">
        <f t="shared" si="20"/>
        <v>45000</v>
      </c>
      <c r="P117" s="99">
        <f t="shared" si="13"/>
        <v>1.461038961038961E-2</v>
      </c>
      <c r="Q117" s="99">
        <f t="shared" si="22"/>
        <v>9.8039913710273267E-3</v>
      </c>
      <c r="R117">
        <v>1</v>
      </c>
      <c r="S117" s="7">
        <f t="shared" si="14"/>
        <v>3437500.0000000005</v>
      </c>
      <c r="T117" s="7">
        <f t="shared" si="15"/>
        <v>1041666.6666666666</v>
      </c>
      <c r="U117" s="7">
        <f t="shared" si="16"/>
        <v>5560000</v>
      </c>
      <c r="V117" s="7">
        <f t="shared" si="17"/>
        <v>2122499.9999999995</v>
      </c>
      <c r="W117" s="7">
        <f t="shared" si="18"/>
        <v>130208.33333333331</v>
      </c>
      <c r="X117" s="7">
        <f t="shared" si="19"/>
        <v>2252708.333333333</v>
      </c>
    </row>
    <row r="118" spans="1:24">
      <c r="A118">
        <v>117</v>
      </c>
      <c r="B118" s="96" t="s">
        <v>3486</v>
      </c>
      <c r="C118" s="95">
        <v>40427</v>
      </c>
      <c r="D118" s="82">
        <v>3120000</v>
      </c>
      <c r="E118" s="82">
        <v>3120000</v>
      </c>
      <c r="F118" s="82">
        <v>3120000</v>
      </c>
      <c r="G118" s="82">
        <v>3120000</v>
      </c>
      <c r="I118" s="97">
        <v>0</v>
      </c>
      <c r="J118" s="97">
        <v>0</v>
      </c>
      <c r="K118" s="97">
        <v>0</v>
      </c>
      <c r="M118" s="7">
        <f t="shared" si="12"/>
        <v>0</v>
      </c>
      <c r="N118" s="7">
        <f t="shared" si="21"/>
        <v>0</v>
      </c>
      <c r="O118" s="7">
        <f t="shared" si="20"/>
        <v>-5000</v>
      </c>
      <c r="P118" s="99">
        <f t="shared" si="13"/>
        <v>-1.6000000000000001E-3</v>
      </c>
      <c r="Q118" s="99">
        <f t="shared" si="22"/>
        <v>2.1135692456826775E-2</v>
      </c>
      <c r="S118" s="7">
        <f t="shared" si="14"/>
        <v>3432000.0000000005</v>
      </c>
      <c r="T118" s="7">
        <f t="shared" si="15"/>
        <v>1040000</v>
      </c>
      <c r="U118" s="7">
        <f t="shared" si="16"/>
        <v>5520000</v>
      </c>
      <c r="V118" s="7">
        <f t="shared" si="17"/>
        <v>0</v>
      </c>
      <c r="W118" s="7">
        <f t="shared" si="18"/>
        <v>0</v>
      </c>
      <c r="X118" s="7">
        <f t="shared" si="19"/>
        <v>0</v>
      </c>
    </row>
    <row r="119" spans="1:24">
      <c r="A119">
        <v>118</v>
      </c>
      <c r="B119" s="96" t="s">
        <v>3485</v>
      </c>
      <c r="C119" s="95">
        <v>40428</v>
      </c>
      <c r="D119" s="82">
        <v>3120000</v>
      </c>
      <c r="E119" s="82">
        <v>3120000</v>
      </c>
      <c r="F119" s="82">
        <v>3120000</v>
      </c>
      <c r="G119" s="82">
        <v>3120000</v>
      </c>
      <c r="I119" s="97">
        <v>0</v>
      </c>
      <c r="J119" s="97">
        <v>0</v>
      </c>
      <c r="K119" s="97">
        <v>0</v>
      </c>
      <c r="M119" s="7">
        <f t="shared" si="12"/>
        <v>0</v>
      </c>
      <c r="N119" s="7">
        <f t="shared" si="21"/>
        <v>0</v>
      </c>
      <c r="O119" s="7">
        <f t="shared" si="20"/>
        <v>0</v>
      </c>
      <c r="P119" s="99">
        <f t="shared" si="13"/>
        <v>0</v>
      </c>
      <c r="Q119" s="99">
        <f t="shared" si="22"/>
        <v>1.9535692456826775E-2</v>
      </c>
      <c r="S119" s="7">
        <f t="shared" si="14"/>
        <v>3432000.0000000005</v>
      </c>
      <c r="T119" s="7">
        <f t="shared" si="15"/>
        <v>1040000</v>
      </c>
      <c r="U119" s="7">
        <f t="shared" si="16"/>
        <v>5650000</v>
      </c>
      <c r="V119" s="7">
        <f t="shared" si="17"/>
        <v>0</v>
      </c>
      <c r="W119" s="7">
        <f t="shared" si="18"/>
        <v>0</v>
      </c>
      <c r="X119" s="7">
        <f t="shared" si="19"/>
        <v>0</v>
      </c>
    </row>
    <row r="120" spans="1:24">
      <c r="A120">
        <v>119</v>
      </c>
      <c r="B120" s="96" t="s">
        <v>3484</v>
      </c>
      <c r="C120" s="95">
        <v>40429</v>
      </c>
      <c r="D120" s="82">
        <v>3125000</v>
      </c>
      <c r="E120" s="82">
        <v>3125000</v>
      </c>
      <c r="F120" s="82">
        <v>3125000</v>
      </c>
      <c r="G120" s="82">
        <v>3125000</v>
      </c>
      <c r="I120" s="97">
        <v>0</v>
      </c>
      <c r="J120" s="97">
        <v>0</v>
      </c>
      <c r="K120" s="97">
        <v>0</v>
      </c>
      <c r="M120" s="7">
        <f t="shared" si="12"/>
        <v>0</v>
      </c>
      <c r="N120" s="7">
        <f t="shared" si="21"/>
        <v>0</v>
      </c>
      <c r="O120" s="7">
        <f t="shared" si="20"/>
        <v>5000</v>
      </c>
      <c r="P120" s="99">
        <f t="shared" si="13"/>
        <v>1.6025641025641025E-3</v>
      </c>
      <c r="Q120" s="99">
        <f t="shared" si="22"/>
        <v>1.6267718600617622E-2</v>
      </c>
      <c r="S120" s="7">
        <f t="shared" si="14"/>
        <v>3437500.0000000005</v>
      </c>
      <c r="T120" s="7">
        <f t="shared" si="15"/>
        <v>1041666.6666666666</v>
      </c>
      <c r="U120" s="7">
        <f t="shared" si="16"/>
        <v>5630000</v>
      </c>
      <c r="V120" s="7">
        <f t="shared" si="17"/>
        <v>0</v>
      </c>
      <c r="W120" s="7">
        <f t="shared" si="18"/>
        <v>0</v>
      </c>
      <c r="X120" s="7">
        <f t="shared" si="19"/>
        <v>0</v>
      </c>
    </row>
    <row r="121" spans="1:24">
      <c r="A121">
        <v>120</v>
      </c>
      <c r="B121" s="96" t="s">
        <v>3483</v>
      </c>
      <c r="C121" s="95">
        <v>40430</v>
      </c>
      <c r="D121" s="82">
        <v>3140000</v>
      </c>
      <c r="E121" s="82">
        <v>3140000</v>
      </c>
      <c r="F121" s="82">
        <v>3140000</v>
      </c>
      <c r="G121" s="82">
        <v>3140000</v>
      </c>
      <c r="I121" s="98">
        <v>0</v>
      </c>
      <c r="J121" s="98">
        <v>0</v>
      </c>
      <c r="K121" s="98">
        <v>0</v>
      </c>
      <c r="M121" s="7">
        <f t="shared" si="12"/>
        <v>0</v>
      </c>
      <c r="N121" s="7">
        <f t="shared" si="21"/>
        <v>0</v>
      </c>
      <c r="O121" s="7">
        <f t="shared" si="20"/>
        <v>15000</v>
      </c>
      <c r="P121" s="99">
        <f t="shared" si="13"/>
        <v>4.7999999999999996E-3</v>
      </c>
      <c r="Q121" s="99">
        <f t="shared" si="22"/>
        <v>1.4612953712953711E-2</v>
      </c>
      <c r="S121" s="7">
        <f t="shared" si="14"/>
        <v>3454000.0000000005</v>
      </c>
      <c r="T121" s="7">
        <f t="shared" si="15"/>
        <v>1046666.6666666666</v>
      </c>
      <c r="U121" s="7">
        <f t="shared" si="16"/>
        <v>5750000</v>
      </c>
      <c r="V121" s="7">
        <f t="shared" si="17"/>
        <v>0</v>
      </c>
      <c r="W121" s="7">
        <f t="shared" si="18"/>
        <v>0</v>
      </c>
      <c r="X121" s="7">
        <f t="shared" si="19"/>
        <v>0</v>
      </c>
    </row>
    <row r="122" spans="1:24">
      <c r="A122">
        <v>121</v>
      </c>
      <c r="B122" s="96" t="s">
        <v>3482</v>
      </c>
      <c r="C122" s="95">
        <v>40433</v>
      </c>
      <c r="D122" s="82">
        <v>3140000</v>
      </c>
      <c r="E122" s="82">
        <v>3140000</v>
      </c>
      <c r="F122" s="82">
        <v>3140000</v>
      </c>
      <c r="G122" s="82">
        <v>3140000</v>
      </c>
      <c r="I122" s="82">
        <f>G122*1.1</f>
        <v>3454000.0000000005</v>
      </c>
      <c r="J122" s="82">
        <f>G122/3</f>
        <v>1046666.6666666666</v>
      </c>
      <c r="K122" s="7">
        <f>G390</f>
        <v>5960000</v>
      </c>
      <c r="L122" s="7">
        <f>K122-I122</f>
        <v>2505999.9999999995</v>
      </c>
      <c r="M122" s="7">
        <f t="shared" si="12"/>
        <v>130833.33333333331</v>
      </c>
      <c r="N122" s="7">
        <f t="shared" si="21"/>
        <v>2636833.333333333</v>
      </c>
      <c r="O122" s="7">
        <f t="shared" si="20"/>
        <v>0</v>
      </c>
      <c r="P122" s="99">
        <f t="shared" si="13"/>
        <v>0</v>
      </c>
      <c r="Q122" s="99">
        <f t="shared" si="22"/>
        <v>1.941295371295371E-2</v>
      </c>
      <c r="R122">
        <v>1</v>
      </c>
      <c r="S122" s="7">
        <f t="shared" si="14"/>
        <v>3454000.0000000005</v>
      </c>
      <c r="T122" s="7">
        <f t="shared" si="15"/>
        <v>1046666.6666666666</v>
      </c>
      <c r="U122" s="7">
        <f t="shared" si="16"/>
        <v>5960000</v>
      </c>
      <c r="V122" s="7">
        <f t="shared" si="17"/>
        <v>2505999.9999999995</v>
      </c>
      <c r="W122" s="7">
        <f t="shared" si="18"/>
        <v>130833.33333333331</v>
      </c>
      <c r="X122" s="7">
        <f t="shared" si="19"/>
        <v>2636833.333333333</v>
      </c>
    </row>
    <row r="123" spans="1:24">
      <c r="A123">
        <v>122</v>
      </c>
      <c r="B123" s="96" t="s">
        <v>3481</v>
      </c>
      <c r="C123" s="95">
        <v>40434</v>
      </c>
      <c r="D123" s="82">
        <v>3130000</v>
      </c>
      <c r="E123" s="82">
        <v>3130000</v>
      </c>
      <c r="F123" s="82">
        <v>3130000</v>
      </c>
      <c r="G123" s="82">
        <v>3130000</v>
      </c>
      <c r="I123" s="97">
        <v>0</v>
      </c>
      <c r="J123" s="97">
        <v>0</v>
      </c>
      <c r="K123" s="97">
        <v>0</v>
      </c>
      <c r="M123" s="7">
        <f t="shared" si="12"/>
        <v>0</v>
      </c>
      <c r="N123" s="7">
        <f t="shared" si="21"/>
        <v>0</v>
      </c>
      <c r="O123" s="7">
        <f t="shared" si="20"/>
        <v>-10000</v>
      </c>
      <c r="P123" s="99">
        <f t="shared" si="13"/>
        <v>-3.1847133757961785E-3</v>
      </c>
      <c r="Q123" s="99">
        <f t="shared" si="22"/>
        <v>4.8025641025641018E-3</v>
      </c>
      <c r="S123" s="7">
        <f t="shared" si="14"/>
        <v>3443000.0000000005</v>
      </c>
      <c r="T123" s="7">
        <f t="shared" si="15"/>
        <v>1043333.3333333334</v>
      </c>
      <c r="U123" s="7">
        <f t="shared" si="16"/>
        <v>5900000</v>
      </c>
      <c r="V123" s="7">
        <f t="shared" si="17"/>
        <v>0</v>
      </c>
      <c r="W123" s="7">
        <f t="shared" si="18"/>
        <v>0</v>
      </c>
      <c r="X123" s="7">
        <f t="shared" si="19"/>
        <v>0</v>
      </c>
    </row>
    <row r="124" spans="1:24">
      <c r="A124">
        <v>123</v>
      </c>
      <c r="B124" s="96" t="s">
        <v>3480</v>
      </c>
      <c r="C124" s="95">
        <v>40435</v>
      </c>
      <c r="D124" s="82">
        <v>3125000</v>
      </c>
      <c r="E124" s="82">
        <v>3125000</v>
      </c>
      <c r="F124" s="82">
        <v>3125000</v>
      </c>
      <c r="G124" s="82">
        <v>3125000</v>
      </c>
      <c r="I124" s="97">
        <v>0</v>
      </c>
      <c r="J124" s="97">
        <v>0</v>
      </c>
      <c r="K124" s="97">
        <v>0</v>
      </c>
      <c r="M124" s="7">
        <f t="shared" si="12"/>
        <v>0</v>
      </c>
      <c r="N124" s="7">
        <f t="shared" si="21"/>
        <v>0</v>
      </c>
      <c r="O124" s="7">
        <f t="shared" si="20"/>
        <v>-5000</v>
      </c>
      <c r="P124" s="99">
        <f t="shared" si="13"/>
        <v>-1.5974440894568689E-3</v>
      </c>
      <c r="Q124" s="99">
        <f t="shared" si="22"/>
        <v>3.217850726767924E-3</v>
      </c>
      <c r="S124" s="7">
        <f t="shared" si="14"/>
        <v>3437500.0000000005</v>
      </c>
      <c r="T124" s="7">
        <f t="shared" si="15"/>
        <v>1041666.6666666666</v>
      </c>
      <c r="U124" s="7">
        <f t="shared" si="16"/>
        <v>5960000</v>
      </c>
      <c r="V124" s="7">
        <f t="shared" si="17"/>
        <v>0</v>
      </c>
      <c r="W124" s="7">
        <f t="shared" si="18"/>
        <v>0</v>
      </c>
      <c r="X124" s="7">
        <f t="shared" si="19"/>
        <v>0</v>
      </c>
    </row>
    <row r="125" spans="1:24">
      <c r="A125">
        <v>124</v>
      </c>
      <c r="B125" s="96" t="s">
        <v>3479</v>
      </c>
      <c r="C125" s="95">
        <v>40436</v>
      </c>
      <c r="D125" s="82">
        <v>3130000</v>
      </c>
      <c r="E125" s="82">
        <v>3130000</v>
      </c>
      <c r="F125" s="82">
        <v>3130000</v>
      </c>
      <c r="G125" s="82">
        <v>3130000</v>
      </c>
      <c r="I125" s="97">
        <v>0</v>
      </c>
      <c r="J125" s="97">
        <v>0</v>
      </c>
      <c r="K125" s="97">
        <v>0</v>
      </c>
      <c r="M125" s="7">
        <f t="shared" si="12"/>
        <v>0</v>
      </c>
      <c r="N125" s="7">
        <f t="shared" si="21"/>
        <v>0</v>
      </c>
      <c r="O125" s="7">
        <f t="shared" si="20"/>
        <v>5000</v>
      </c>
      <c r="P125" s="99">
        <f t="shared" si="13"/>
        <v>1.6000000000000001E-3</v>
      </c>
      <c r="Q125" s="99">
        <f t="shared" si="22"/>
        <v>1.6204066373110551E-3</v>
      </c>
      <c r="S125" s="7">
        <f t="shared" si="14"/>
        <v>3443000.0000000005</v>
      </c>
      <c r="T125" s="7">
        <f t="shared" si="15"/>
        <v>1043333.3333333334</v>
      </c>
      <c r="U125" s="7">
        <f t="shared" si="16"/>
        <v>6050000</v>
      </c>
      <c r="V125" s="7">
        <f t="shared" si="17"/>
        <v>0</v>
      </c>
      <c r="W125" s="7">
        <f t="shared" si="18"/>
        <v>0</v>
      </c>
      <c r="X125" s="7">
        <f t="shared" si="19"/>
        <v>0</v>
      </c>
    </row>
    <row r="126" spans="1:24">
      <c r="A126">
        <v>125</v>
      </c>
      <c r="B126" s="96" t="s">
        <v>3478</v>
      </c>
      <c r="C126" s="95">
        <v>40437</v>
      </c>
      <c r="D126" s="82">
        <v>3160000</v>
      </c>
      <c r="E126" s="82">
        <v>3160000</v>
      </c>
      <c r="F126" s="82">
        <v>3160000</v>
      </c>
      <c r="G126" s="82">
        <v>3160000</v>
      </c>
      <c r="I126" s="98">
        <v>0</v>
      </c>
      <c r="J126" s="98">
        <v>0</v>
      </c>
      <c r="K126" s="98">
        <v>0</v>
      </c>
      <c r="M126" s="7">
        <f t="shared" si="12"/>
        <v>0</v>
      </c>
      <c r="N126" s="7">
        <f t="shared" si="21"/>
        <v>0</v>
      </c>
      <c r="O126" s="7">
        <f t="shared" si="20"/>
        <v>30000</v>
      </c>
      <c r="P126" s="99">
        <f t="shared" si="13"/>
        <v>9.5846645367412137E-3</v>
      </c>
      <c r="Q126" s="99">
        <f t="shared" si="22"/>
        <v>1.6178425347469522E-3</v>
      </c>
      <c r="S126" s="7">
        <f t="shared" si="14"/>
        <v>3476000.0000000005</v>
      </c>
      <c r="T126" s="7">
        <f t="shared" si="15"/>
        <v>1053333.3333333333</v>
      </c>
      <c r="U126" s="7">
        <f t="shared" si="16"/>
        <v>6150000</v>
      </c>
      <c r="V126" s="7">
        <f t="shared" si="17"/>
        <v>0</v>
      </c>
      <c r="W126" s="7">
        <f t="shared" si="18"/>
        <v>0</v>
      </c>
      <c r="X126" s="7">
        <f t="shared" si="19"/>
        <v>0</v>
      </c>
    </row>
    <row r="127" spans="1:24">
      <c r="A127">
        <v>126</v>
      </c>
      <c r="B127" s="96" t="s">
        <v>3477</v>
      </c>
      <c r="C127" s="95">
        <v>40439</v>
      </c>
      <c r="D127" s="82">
        <v>3160000</v>
      </c>
      <c r="E127" s="82">
        <v>3160000</v>
      </c>
      <c r="F127" s="82">
        <v>3160000</v>
      </c>
      <c r="G127" s="82">
        <v>3160000</v>
      </c>
      <c r="I127" s="82">
        <f>G127*1.1</f>
        <v>3476000.0000000005</v>
      </c>
      <c r="J127" s="82">
        <f>G127/3</f>
        <v>1053333.3333333333</v>
      </c>
      <c r="K127" s="7">
        <f>G395</f>
        <v>6400000</v>
      </c>
      <c r="L127" s="7">
        <f>K127-I127</f>
        <v>2923999.9999999995</v>
      </c>
      <c r="M127" s="7">
        <f t="shared" si="12"/>
        <v>131666.66666666666</v>
      </c>
      <c r="N127" s="7">
        <f t="shared" si="21"/>
        <v>3055666.666666666</v>
      </c>
      <c r="O127" s="7">
        <f t="shared" si="20"/>
        <v>0</v>
      </c>
      <c r="P127" s="99">
        <f t="shared" si="13"/>
        <v>0</v>
      </c>
      <c r="Q127" s="99">
        <f t="shared" si="22"/>
        <v>6.4025070714881661E-3</v>
      </c>
      <c r="R127">
        <v>1</v>
      </c>
      <c r="S127" s="7">
        <f t="shared" si="14"/>
        <v>3476000.0000000005</v>
      </c>
      <c r="T127" s="7">
        <f t="shared" si="15"/>
        <v>1053333.3333333333</v>
      </c>
      <c r="U127" s="7">
        <f t="shared" si="16"/>
        <v>6400000</v>
      </c>
      <c r="V127" s="7">
        <f t="shared" si="17"/>
        <v>2923999.9999999995</v>
      </c>
      <c r="W127" s="7">
        <f t="shared" si="18"/>
        <v>131666.66666666666</v>
      </c>
      <c r="X127" s="7">
        <f t="shared" si="19"/>
        <v>3055666.666666666</v>
      </c>
    </row>
    <row r="128" spans="1:24">
      <c r="A128">
        <v>127</v>
      </c>
      <c r="B128" s="96" t="s">
        <v>3476</v>
      </c>
      <c r="C128" s="95">
        <v>40440</v>
      </c>
      <c r="D128" s="82">
        <v>3170000</v>
      </c>
      <c r="E128" s="82">
        <v>3170000</v>
      </c>
      <c r="F128" s="82">
        <v>3170000</v>
      </c>
      <c r="G128" s="82">
        <v>3170000</v>
      </c>
      <c r="I128" s="97">
        <v>0</v>
      </c>
      <c r="J128" s="97">
        <v>0</v>
      </c>
      <c r="K128" s="97">
        <v>0</v>
      </c>
      <c r="M128" s="7">
        <f t="shared" si="12"/>
        <v>0</v>
      </c>
      <c r="N128" s="7">
        <f t="shared" si="21"/>
        <v>0</v>
      </c>
      <c r="O128" s="7">
        <f t="shared" si="20"/>
        <v>10000</v>
      </c>
      <c r="P128" s="99">
        <f t="shared" si="13"/>
        <v>3.1645569620253164E-3</v>
      </c>
      <c r="Q128" s="99">
        <f t="shared" si="22"/>
        <v>6.4025070714881661E-3</v>
      </c>
      <c r="S128" s="7">
        <f t="shared" si="14"/>
        <v>3487000.0000000005</v>
      </c>
      <c r="T128" s="7">
        <f t="shared" si="15"/>
        <v>1056666.6666666667</v>
      </c>
      <c r="U128" s="7">
        <f t="shared" si="16"/>
        <v>6100000</v>
      </c>
      <c r="V128" s="7">
        <f t="shared" si="17"/>
        <v>0</v>
      </c>
      <c r="W128" s="7">
        <f t="shared" si="18"/>
        <v>0</v>
      </c>
      <c r="X128" s="7">
        <f t="shared" si="19"/>
        <v>0</v>
      </c>
    </row>
    <row r="129" spans="1:24">
      <c r="A129">
        <v>128</v>
      </c>
      <c r="B129" s="96" t="s">
        <v>3475</v>
      </c>
      <c r="C129" s="95">
        <v>40441</v>
      </c>
      <c r="D129" s="82">
        <v>3210000</v>
      </c>
      <c r="E129" s="82">
        <v>3210000</v>
      </c>
      <c r="F129" s="82">
        <v>3210000</v>
      </c>
      <c r="G129" s="82">
        <v>3210000</v>
      </c>
      <c r="I129" s="97">
        <v>0</v>
      </c>
      <c r="J129" s="97">
        <v>0</v>
      </c>
      <c r="K129" s="97">
        <v>0</v>
      </c>
      <c r="M129" s="7">
        <f t="shared" si="12"/>
        <v>0</v>
      </c>
      <c r="N129" s="7">
        <f t="shared" si="21"/>
        <v>0</v>
      </c>
      <c r="O129" s="7">
        <f t="shared" si="20"/>
        <v>40000</v>
      </c>
      <c r="P129" s="99">
        <f t="shared" si="13"/>
        <v>1.2618296529968454E-2</v>
      </c>
      <c r="Q129" s="99">
        <f t="shared" si="22"/>
        <v>1.2751777409309661E-2</v>
      </c>
      <c r="S129" s="7">
        <f t="shared" si="14"/>
        <v>3531000.0000000005</v>
      </c>
      <c r="T129" s="7">
        <f t="shared" si="15"/>
        <v>1070000</v>
      </c>
      <c r="U129" s="7">
        <f t="shared" si="16"/>
        <v>6000000</v>
      </c>
      <c r="V129" s="7">
        <f t="shared" si="17"/>
        <v>0</v>
      </c>
      <c r="W129" s="7">
        <f t="shared" si="18"/>
        <v>0</v>
      </c>
      <c r="X129" s="7">
        <f t="shared" si="19"/>
        <v>0</v>
      </c>
    </row>
    <row r="130" spans="1:24">
      <c r="A130">
        <v>129</v>
      </c>
      <c r="B130" s="96" t="s">
        <v>3474</v>
      </c>
      <c r="C130" s="95">
        <v>40442</v>
      </c>
      <c r="D130" s="82">
        <v>3250000</v>
      </c>
      <c r="E130" s="82">
        <v>3250000</v>
      </c>
      <c r="F130" s="82">
        <v>3250000</v>
      </c>
      <c r="G130" s="82">
        <v>3250000</v>
      </c>
      <c r="I130" s="97">
        <v>0</v>
      </c>
      <c r="J130" s="97">
        <v>0</v>
      </c>
      <c r="K130" s="97">
        <v>0</v>
      </c>
      <c r="M130" s="7">
        <f t="shared" ref="M130:M193" si="23">J130*$AI$6/200</f>
        <v>0</v>
      </c>
      <c r="N130" s="7">
        <f t="shared" si="21"/>
        <v>0</v>
      </c>
      <c r="O130" s="7">
        <f t="shared" si="20"/>
        <v>40000</v>
      </c>
      <c r="P130" s="99">
        <f t="shared" si="13"/>
        <v>1.2461059190031152E-2</v>
      </c>
      <c r="Q130" s="99">
        <f t="shared" si="22"/>
        <v>2.6967518028734982E-2</v>
      </c>
      <c r="S130" s="7">
        <f t="shared" si="14"/>
        <v>3575000.0000000005</v>
      </c>
      <c r="T130" s="7">
        <f t="shared" si="15"/>
        <v>1083333.3333333333</v>
      </c>
      <c r="U130" s="7">
        <f t="shared" si="16"/>
        <v>6050000</v>
      </c>
      <c r="V130" s="7">
        <f t="shared" si="17"/>
        <v>0</v>
      </c>
      <c r="W130" s="7">
        <f t="shared" si="18"/>
        <v>0</v>
      </c>
      <c r="X130" s="7">
        <f t="shared" si="19"/>
        <v>0</v>
      </c>
    </row>
    <row r="131" spans="1:24">
      <c r="A131">
        <v>130</v>
      </c>
      <c r="B131" s="96" t="s">
        <v>3473</v>
      </c>
      <c r="C131" s="95">
        <v>40444</v>
      </c>
      <c r="D131" s="82">
        <v>3260000</v>
      </c>
      <c r="E131" s="82">
        <v>3260000</v>
      </c>
      <c r="F131" s="82">
        <v>3260000</v>
      </c>
      <c r="G131" s="82">
        <v>3260000</v>
      </c>
      <c r="I131" s="98">
        <v>0</v>
      </c>
      <c r="J131" s="98">
        <v>0</v>
      </c>
      <c r="K131" s="98">
        <v>0</v>
      </c>
      <c r="M131" s="7">
        <f t="shared" si="23"/>
        <v>0</v>
      </c>
      <c r="N131" s="7">
        <f t="shared" si="21"/>
        <v>0</v>
      </c>
      <c r="O131" s="7">
        <f t="shared" si="20"/>
        <v>10000</v>
      </c>
      <c r="P131" s="99">
        <f t="shared" ref="P131:P194" si="24">O131/G130</f>
        <v>3.0769230769230769E-3</v>
      </c>
      <c r="Q131" s="99">
        <f t="shared" si="22"/>
        <v>3.7828577218766139E-2</v>
      </c>
      <c r="S131" s="7">
        <f t="shared" ref="S131:S194" si="25">G131*1.1</f>
        <v>3586000.0000000005</v>
      </c>
      <c r="T131" s="7">
        <f t="shared" ref="T131:T194" si="26">G131/3</f>
        <v>1086666.6666666667</v>
      </c>
      <c r="U131" s="7">
        <f t="shared" ref="U131:U194" si="27">G399</f>
        <v>6100000</v>
      </c>
      <c r="V131" s="7">
        <f t="shared" ref="V131:V194" si="28">(U131-S131)*R131</f>
        <v>0</v>
      </c>
      <c r="W131" s="7">
        <f t="shared" ref="W131:W194" si="29">(T131*$AI$6/200)*R131</f>
        <v>0</v>
      </c>
      <c r="X131" s="7">
        <f t="shared" ref="X131:X194" si="30">V131+W131</f>
        <v>0</v>
      </c>
    </row>
    <row r="132" spans="1:24">
      <c r="A132">
        <v>131</v>
      </c>
      <c r="B132" s="96" t="s">
        <v>3472</v>
      </c>
      <c r="C132" s="95">
        <v>40443</v>
      </c>
      <c r="D132" s="82">
        <v>3220000</v>
      </c>
      <c r="E132" s="82">
        <v>3220000</v>
      </c>
      <c r="F132" s="82">
        <v>3220000</v>
      </c>
      <c r="G132" s="82">
        <v>3220000</v>
      </c>
      <c r="I132" s="82">
        <f>G132*1.1</f>
        <v>3542000.0000000005</v>
      </c>
      <c r="J132" s="82">
        <f>G132/3</f>
        <v>1073333.3333333333</v>
      </c>
      <c r="K132" s="7">
        <f>G400</f>
        <v>6100000</v>
      </c>
      <c r="L132" s="7">
        <f>K132-I132</f>
        <v>2557999.9999999995</v>
      </c>
      <c r="M132" s="7">
        <f t="shared" si="23"/>
        <v>134166.66666666666</v>
      </c>
      <c r="N132" s="7">
        <f t="shared" si="21"/>
        <v>2692166.666666666</v>
      </c>
      <c r="O132" s="7">
        <f t="shared" ref="O132:O195" si="31">G132-G131</f>
        <v>-40000</v>
      </c>
      <c r="P132" s="99">
        <f t="shared" si="24"/>
        <v>-1.2269938650306749E-2</v>
      </c>
      <c r="Q132" s="99">
        <f t="shared" si="22"/>
        <v>3.1320835758948E-2</v>
      </c>
      <c r="R132">
        <v>1</v>
      </c>
      <c r="S132" s="7">
        <f t="shared" si="25"/>
        <v>3542000.0000000005</v>
      </c>
      <c r="T132" s="7">
        <f t="shared" si="26"/>
        <v>1073333.3333333333</v>
      </c>
      <c r="U132" s="7">
        <f t="shared" si="27"/>
        <v>6100000</v>
      </c>
      <c r="V132" s="7">
        <f t="shared" si="28"/>
        <v>2557999.9999999995</v>
      </c>
      <c r="W132" s="7">
        <f t="shared" si="29"/>
        <v>134166.66666666666</v>
      </c>
      <c r="X132" s="7">
        <f t="shared" si="30"/>
        <v>2692166.666666666</v>
      </c>
    </row>
    <row r="133" spans="1:24">
      <c r="A133">
        <v>132</v>
      </c>
      <c r="B133" s="96" t="s">
        <v>3471</v>
      </c>
      <c r="C133" s="95">
        <v>40446</v>
      </c>
      <c r="D133" s="82">
        <v>3270000</v>
      </c>
      <c r="E133" s="82">
        <v>3270000</v>
      </c>
      <c r="F133" s="82">
        <v>3270000</v>
      </c>
      <c r="G133" s="82">
        <v>3270000</v>
      </c>
      <c r="I133" s="97">
        <v>0</v>
      </c>
      <c r="J133" s="97">
        <v>0</v>
      </c>
      <c r="K133" s="97">
        <v>0</v>
      </c>
      <c r="M133" s="7">
        <f t="shared" si="23"/>
        <v>0</v>
      </c>
      <c r="N133" s="7">
        <f t="shared" si="21"/>
        <v>0</v>
      </c>
      <c r="O133" s="7">
        <f t="shared" si="31"/>
        <v>50000</v>
      </c>
      <c r="P133" s="99">
        <f t="shared" si="24"/>
        <v>1.5527950310559006E-2</v>
      </c>
      <c r="Q133" s="99">
        <f t="shared" si="22"/>
        <v>1.9050897108641253E-2</v>
      </c>
      <c r="S133" s="7">
        <f t="shared" si="25"/>
        <v>3597000.0000000005</v>
      </c>
      <c r="T133" s="7">
        <f t="shared" si="26"/>
        <v>1090000</v>
      </c>
      <c r="U133" s="7">
        <f t="shared" si="27"/>
        <v>6130000</v>
      </c>
      <c r="V133" s="7">
        <f t="shared" si="28"/>
        <v>0</v>
      </c>
      <c r="W133" s="7">
        <f t="shared" si="29"/>
        <v>0</v>
      </c>
      <c r="X133" s="7">
        <f t="shared" si="30"/>
        <v>0</v>
      </c>
    </row>
    <row r="134" spans="1:24">
      <c r="A134">
        <v>133</v>
      </c>
      <c r="B134" s="96" t="s">
        <v>3470</v>
      </c>
      <c r="C134" s="95">
        <v>40447</v>
      </c>
      <c r="D134" s="82">
        <v>3300000</v>
      </c>
      <c r="E134" s="82">
        <v>3300000</v>
      </c>
      <c r="F134" s="82">
        <v>3300000</v>
      </c>
      <c r="G134" s="82">
        <v>3300000</v>
      </c>
      <c r="I134" s="97">
        <v>0</v>
      </c>
      <c r="J134" s="97">
        <v>0</v>
      </c>
      <c r="K134" s="97">
        <v>0</v>
      </c>
      <c r="M134" s="7">
        <f t="shared" si="23"/>
        <v>0</v>
      </c>
      <c r="N134" s="7">
        <f t="shared" si="21"/>
        <v>0</v>
      </c>
      <c r="O134" s="7">
        <f t="shared" si="31"/>
        <v>30000</v>
      </c>
      <c r="P134" s="99">
        <f t="shared" si="24"/>
        <v>9.1743119266055051E-3</v>
      </c>
      <c r="Q134" s="99">
        <f t="shared" si="22"/>
        <v>3.1414290457174941E-2</v>
      </c>
      <c r="S134" s="7">
        <f t="shared" si="25"/>
        <v>3630000.0000000005</v>
      </c>
      <c r="T134" s="7">
        <f t="shared" si="26"/>
        <v>1100000</v>
      </c>
      <c r="U134" s="7">
        <f t="shared" si="27"/>
        <v>6100000</v>
      </c>
      <c r="V134" s="7">
        <f t="shared" si="28"/>
        <v>0</v>
      </c>
      <c r="W134" s="7">
        <f t="shared" si="29"/>
        <v>0</v>
      </c>
      <c r="X134" s="7">
        <f t="shared" si="30"/>
        <v>0</v>
      </c>
    </row>
    <row r="135" spans="1:24">
      <c r="A135">
        <v>134</v>
      </c>
      <c r="B135" s="96" t="s">
        <v>3469</v>
      </c>
      <c r="C135" s="95">
        <v>40448</v>
      </c>
      <c r="D135" s="82">
        <v>3350000</v>
      </c>
      <c r="E135" s="82">
        <v>3350000</v>
      </c>
      <c r="F135" s="82">
        <v>3350000</v>
      </c>
      <c r="G135" s="82">
        <v>3350000</v>
      </c>
      <c r="I135" s="97">
        <v>0</v>
      </c>
      <c r="J135" s="97">
        <v>0</v>
      </c>
      <c r="K135" s="97">
        <v>0</v>
      </c>
      <c r="M135" s="7">
        <f t="shared" si="23"/>
        <v>0</v>
      </c>
      <c r="N135" s="7">
        <f t="shared" si="21"/>
        <v>0</v>
      </c>
      <c r="O135" s="7">
        <f t="shared" si="31"/>
        <v>50000</v>
      </c>
      <c r="P135" s="99">
        <f t="shared" si="24"/>
        <v>1.5151515151515152E-2</v>
      </c>
      <c r="Q135" s="99">
        <f t="shared" si="22"/>
        <v>2.7970305853811991E-2</v>
      </c>
      <c r="S135" s="7">
        <f t="shared" si="25"/>
        <v>3685000.0000000005</v>
      </c>
      <c r="T135" s="7">
        <f t="shared" si="26"/>
        <v>1116666.6666666667</v>
      </c>
      <c r="U135" s="7">
        <f t="shared" si="27"/>
        <v>6150000</v>
      </c>
      <c r="V135" s="7">
        <f t="shared" si="28"/>
        <v>0</v>
      </c>
      <c r="W135" s="7">
        <f t="shared" si="29"/>
        <v>0</v>
      </c>
      <c r="X135" s="7">
        <f t="shared" si="30"/>
        <v>0</v>
      </c>
    </row>
    <row r="136" spans="1:24">
      <c r="A136">
        <v>135</v>
      </c>
      <c r="B136" s="96" t="s">
        <v>3468</v>
      </c>
      <c r="C136" s="95">
        <v>40449</v>
      </c>
      <c r="D136" s="82">
        <v>3360000</v>
      </c>
      <c r="E136" s="82">
        <v>3360000</v>
      </c>
      <c r="F136" s="82">
        <v>3360000</v>
      </c>
      <c r="G136" s="82">
        <v>3360000</v>
      </c>
      <c r="I136" s="98">
        <v>0</v>
      </c>
      <c r="J136" s="98">
        <v>0</v>
      </c>
      <c r="K136" s="98">
        <v>0</v>
      </c>
      <c r="M136" s="7">
        <f t="shared" si="23"/>
        <v>0</v>
      </c>
      <c r="N136" s="7">
        <f t="shared" ref="N136:N199" si="32">L136+M136</f>
        <v>0</v>
      </c>
      <c r="O136" s="7">
        <f t="shared" si="31"/>
        <v>10000</v>
      </c>
      <c r="P136" s="99">
        <f t="shared" si="24"/>
        <v>2.9850746268656717E-3</v>
      </c>
      <c r="Q136" s="99">
        <f t="shared" ref="Q136:Q199" si="33">SUM(P131:P135)</f>
        <v>3.0660761815295992E-2</v>
      </c>
      <c r="S136" s="7">
        <f t="shared" si="25"/>
        <v>3696000.0000000005</v>
      </c>
      <c r="T136" s="7">
        <f t="shared" si="26"/>
        <v>1120000</v>
      </c>
      <c r="U136" s="7">
        <f t="shared" si="27"/>
        <v>6100000</v>
      </c>
      <c r="V136" s="7">
        <f t="shared" si="28"/>
        <v>0</v>
      </c>
      <c r="W136" s="7">
        <f t="shared" si="29"/>
        <v>0</v>
      </c>
      <c r="X136" s="7">
        <f t="shared" si="30"/>
        <v>0</v>
      </c>
    </row>
    <row r="137" spans="1:24">
      <c r="A137">
        <v>136</v>
      </c>
      <c r="B137" s="96" t="s">
        <v>3467</v>
      </c>
      <c r="C137" s="95">
        <v>40450</v>
      </c>
      <c r="D137" s="82">
        <v>3370000</v>
      </c>
      <c r="E137" s="82">
        <v>3370000</v>
      </c>
      <c r="F137" s="82">
        <v>3370000</v>
      </c>
      <c r="G137" s="82">
        <v>3370000</v>
      </c>
      <c r="I137" s="82">
        <f>G137*1.1</f>
        <v>3707000.0000000005</v>
      </c>
      <c r="J137" s="82">
        <f>G137/3</f>
        <v>1123333.3333333333</v>
      </c>
      <c r="K137" s="7">
        <f>G405</f>
        <v>5700000</v>
      </c>
      <c r="L137" s="7">
        <f>K137-I137</f>
        <v>1992999.9999999995</v>
      </c>
      <c r="M137" s="7">
        <f t="shared" si="23"/>
        <v>140416.66666666666</v>
      </c>
      <c r="N137" s="7">
        <f t="shared" si="32"/>
        <v>2133416.666666666</v>
      </c>
      <c r="O137" s="7">
        <f t="shared" si="31"/>
        <v>10000</v>
      </c>
      <c r="P137" s="99">
        <f t="shared" si="24"/>
        <v>2.976190476190476E-3</v>
      </c>
      <c r="Q137" s="99">
        <f t="shared" si="33"/>
        <v>3.0568913365238586E-2</v>
      </c>
      <c r="R137">
        <v>1</v>
      </c>
      <c r="S137" s="7">
        <f t="shared" si="25"/>
        <v>3707000.0000000005</v>
      </c>
      <c r="T137" s="7">
        <f t="shared" si="26"/>
        <v>1123333.3333333333</v>
      </c>
      <c r="U137" s="7">
        <f t="shared" si="27"/>
        <v>5700000</v>
      </c>
      <c r="V137" s="7">
        <f t="shared" si="28"/>
        <v>1992999.9999999995</v>
      </c>
      <c r="W137" s="7">
        <f t="shared" si="29"/>
        <v>140416.66666666666</v>
      </c>
      <c r="X137" s="7">
        <f t="shared" si="30"/>
        <v>2133416.666666666</v>
      </c>
    </row>
    <row r="138" spans="1:24">
      <c r="A138">
        <v>137</v>
      </c>
      <c r="B138" s="96" t="s">
        <v>3466</v>
      </c>
      <c r="C138" s="95">
        <v>40451</v>
      </c>
      <c r="D138" s="82">
        <v>3600000</v>
      </c>
      <c r="E138" s="82">
        <v>3600000</v>
      </c>
      <c r="F138" s="82">
        <v>3600000</v>
      </c>
      <c r="G138" s="82">
        <v>3600000</v>
      </c>
      <c r="I138" s="97">
        <v>0</v>
      </c>
      <c r="J138" s="97">
        <v>0</v>
      </c>
      <c r="K138" s="97">
        <v>0</v>
      </c>
      <c r="M138" s="7">
        <f t="shared" si="23"/>
        <v>0</v>
      </c>
      <c r="N138" s="7">
        <f t="shared" si="32"/>
        <v>0</v>
      </c>
      <c r="O138" s="7">
        <f t="shared" si="31"/>
        <v>230000</v>
      </c>
      <c r="P138" s="99">
        <f t="shared" si="24"/>
        <v>6.8249258160237386E-2</v>
      </c>
      <c r="Q138" s="99">
        <f t="shared" si="33"/>
        <v>4.5815042491735819E-2</v>
      </c>
      <c r="S138" s="7">
        <f t="shared" si="25"/>
        <v>3960000.0000000005</v>
      </c>
      <c r="T138" s="7">
        <f t="shared" si="26"/>
        <v>1200000</v>
      </c>
      <c r="U138" s="7">
        <f t="shared" si="27"/>
        <v>5650000</v>
      </c>
      <c r="V138" s="7">
        <f t="shared" si="28"/>
        <v>0</v>
      </c>
      <c r="W138" s="7">
        <f t="shared" si="29"/>
        <v>0</v>
      </c>
      <c r="X138" s="7">
        <f t="shared" si="30"/>
        <v>0</v>
      </c>
    </row>
    <row r="139" spans="1:24">
      <c r="A139">
        <v>138</v>
      </c>
      <c r="B139" s="96" t="s">
        <v>3465</v>
      </c>
      <c r="C139" s="95">
        <v>40453</v>
      </c>
      <c r="D139" s="82">
        <v>3480000</v>
      </c>
      <c r="E139" s="82">
        <v>3480000</v>
      </c>
      <c r="F139" s="82">
        <v>3480000</v>
      </c>
      <c r="G139" s="82">
        <v>3480000</v>
      </c>
      <c r="I139" s="97">
        <v>0</v>
      </c>
      <c r="J139" s="97">
        <v>0</v>
      </c>
      <c r="K139" s="97">
        <v>0</v>
      </c>
      <c r="M139" s="7">
        <f t="shared" si="23"/>
        <v>0</v>
      </c>
      <c r="N139" s="7">
        <f t="shared" si="32"/>
        <v>0</v>
      </c>
      <c r="O139" s="7">
        <f t="shared" si="31"/>
        <v>-120000</v>
      </c>
      <c r="P139" s="99">
        <f t="shared" si="24"/>
        <v>-3.3333333333333333E-2</v>
      </c>
      <c r="Q139" s="99">
        <f t="shared" si="33"/>
        <v>9.8536350341414197E-2</v>
      </c>
      <c r="S139" s="7">
        <f t="shared" si="25"/>
        <v>3828000.0000000005</v>
      </c>
      <c r="T139" s="7">
        <f t="shared" si="26"/>
        <v>1160000</v>
      </c>
      <c r="U139" s="7">
        <f t="shared" si="27"/>
        <v>5900000</v>
      </c>
      <c r="V139" s="7">
        <f t="shared" si="28"/>
        <v>0</v>
      </c>
      <c r="W139" s="7">
        <f t="shared" si="29"/>
        <v>0</v>
      </c>
      <c r="X139" s="7">
        <f t="shared" si="30"/>
        <v>0</v>
      </c>
    </row>
    <row r="140" spans="1:24">
      <c r="A140">
        <v>139</v>
      </c>
      <c r="B140" s="96" t="s">
        <v>3464</v>
      </c>
      <c r="C140" s="95">
        <v>40454</v>
      </c>
      <c r="D140" s="82">
        <v>3500000</v>
      </c>
      <c r="E140" s="82">
        <v>3500000</v>
      </c>
      <c r="F140" s="82">
        <v>3500000</v>
      </c>
      <c r="G140" s="82">
        <v>3500000</v>
      </c>
      <c r="I140" s="97">
        <v>0</v>
      </c>
      <c r="J140" s="97">
        <v>0</v>
      </c>
      <c r="K140" s="97">
        <v>0</v>
      </c>
      <c r="M140" s="7">
        <f t="shared" si="23"/>
        <v>0</v>
      </c>
      <c r="N140" s="7">
        <f t="shared" si="32"/>
        <v>0</v>
      </c>
      <c r="O140" s="7">
        <f t="shared" si="31"/>
        <v>20000</v>
      </c>
      <c r="P140" s="99">
        <f t="shared" si="24"/>
        <v>5.7471264367816091E-3</v>
      </c>
      <c r="Q140" s="99">
        <f t="shared" si="33"/>
        <v>5.6028705081475359E-2</v>
      </c>
      <c r="S140" s="7">
        <f t="shared" si="25"/>
        <v>3850000.0000000005</v>
      </c>
      <c r="T140" s="7">
        <f t="shared" si="26"/>
        <v>1166666.6666666667</v>
      </c>
      <c r="U140" s="7">
        <f t="shared" si="27"/>
        <v>5870000</v>
      </c>
      <c r="V140" s="7">
        <f t="shared" si="28"/>
        <v>0</v>
      </c>
      <c r="W140" s="7">
        <f t="shared" si="29"/>
        <v>0</v>
      </c>
      <c r="X140" s="7">
        <f t="shared" si="30"/>
        <v>0</v>
      </c>
    </row>
    <row r="141" spans="1:24">
      <c r="A141">
        <v>140</v>
      </c>
      <c r="B141" s="96" t="s">
        <v>3463</v>
      </c>
      <c r="C141" s="95">
        <v>40456</v>
      </c>
      <c r="D141" s="82">
        <v>3420000</v>
      </c>
      <c r="E141" s="82">
        <v>3420000</v>
      </c>
      <c r="F141" s="82">
        <v>3420000</v>
      </c>
      <c r="G141" s="82">
        <v>3420000</v>
      </c>
      <c r="I141" s="98">
        <v>0</v>
      </c>
      <c r="J141" s="98">
        <v>0</v>
      </c>
      <c r="K141" s="98">
        <v>0</v>
      </c>
      <c r="M141" s="7">
        <f t="shared" si="23"/>
        <v>0</v>
      </c>
      <c r="N141" s="7">
        <f t="shared" si="32"/>
        <v>0</v>
      </c>
      <c r="O141" s="7">
        <f t="shared" si="31"/>
        <v>-80000</v>
      </c>
      <c r="P141" s="99">
        <f t="shared" si="24"/>
        <v>-2.2857142857142857E-2</v>
      </c>
      <c r="Q141" s="99">
        <f t="shared" si="33"/>
        <v>4.6624316366741803E-2</v>
      </c>
      <c r="S141" s="7">
        <f t="shared" si="25"/>
        <v>3762000.0000000005</v>
      </c>
      <c r="T141" s="7">
        <f t="shared" si="26"/>
        <v>1140000</v>
      </c>
      <c r="U141" s="7">
        <f t="shared" si="27"/>
        <v>5870000</v>
      </c>
      <c r="V141" s="7">
        <f t="shared" si="28"/>
        <v>0</v>
      </c>
      <c r="W141" s="7">
        <f t="shared" si="29"/>
        <v>0</v>
      </c>
      <c r="X141" s="7">
        <f t="shared" si="30"/>
        <v>0</v>
      </c>
    </row>
    <row r="142" spans="1:24">
      <c r="A142">
        <v>141</v>
      </c>
      <c r="B142" s="96" t="s">
        <v>3462</v>
      </c>
      <c r="C142" s="95">
        <v>40457</v>
      </c>
      <c r="D142" s="82">
        <v>3390000</v>
      </c>
      <c r="E142" s="82">
        <v>3390000</v>
      </c>
      <c r="F142" s="82">
        <v>3390000</v>
      </c>
      <c r="G142" s="82">
        <v>3390000</v>
      </c>
      <c r="I142" s="82">
        <f>G142*1.1</f>
        <v>3729000.0000000005</v>
      </c>
      <c r="J142" s="82">
        <f>G142/3</f>
        <v>1130000</v>
      </c>
      <c r="K142" s="7">
        <f>G410</f>
        <v>5900000</v>
      </c>
      <c r="L142" s="7">
        <f>K142-I142</f>
        <v>2170999.9999999995</v>
      </c>
      <c r="M142" s="7">
        <f t="shared" si="23"/>
        <v>141250</v>
      </c>
      <c r="N142" s="7">
        <f t="shared" si="32"/>
        <v>2312249.9999999995</v>
      </c>
      <c r="O142" s="7">
        <f t="shared" si="31"/>
        <v>-30000</v>
      </c>
      <c r="P142" s="99">
        <f t="shared" si="24"/>
        <v>-8.771929824561403E-3</v>
      </c>
      <c r="Q142" s="99">
        <f t="shared" si="33"/>
        <v>2.0782098882733285E-2</v>
      </c>
      <c r="R142">
        <v>1</v>
      </c>
      <c r="S142" s="7">
        <f t="shared" si="25"/>
        <v>3729000.0000000005</v>
      </c>
      <c r="T142" s="7">
        <f t="shared" si="26"/>
        <v>1130000</v>
      </c>
      <c r="U142" s="7">
        <f t="shared" si="27"/>
        <v>5900000</v>
      </c>
      <c r="V142" s="7">
        <f t="shared" si="28"/>
        <v>2170999.9999999995</v>
      </c>
      <c r="W142" s="7">
        <f t="shared" si="29"/>
        <v>141250</v>
      </c>
      <c r="X142" s="7">
        <f t="shared" si="30"/>
        <v>2312249.9999999995</v>
      </c>
    </row>
    <row r="143" spans="1:24">
      <c r="A143">
        <v>142</v>
      </c>
      <c r="B143" s="96" t="s">
        <v>3461</v>
      </c>
      <c r="C143" s="95">
        <v>40458</v>
      </c>
      <c r="D143" s="82">
        <v>3480000</v>
      </c>
      <c r="E143" s="82">
        <v>3480000</v>
      </c>
      <c r="F143" s="82">
        <v>3480000</v>
      </c>
      <c r="G143" s="82">
        <v>3480000</v>
      </c>
      <c r="I143" s="97">
        <v>0</v>
      </c>
      <c r="J143" s="97">
        <v>0</v>
      </c>
      <c r="K143" s="97">
        <v>0</v>
      </c>
      <c r="M143" s="7">
        <f t="shared" si="23"/>
        <v>0</v>
      </c>
      <c r="N143" s="7">
        <f t="shared" si="32"/>
        <v>0</v>
      </c>
      <c r="O143" s="7">
        <f t="shared" si="31"/>
        <v>90000</v>
      </c>
      <c r="P143" s="99">
        <f t="shared" si="24"/>
        <v>2.6548672566371681E-2</v>
      </c>
      <c r="Q143" s="99">
        <f t="shared" si="33"/>
        <v>9.0339785819814021E-3</v>
      </c>
      <c r="S143" s="7">
        <f t="shared" si="25"/>
        <v>3828000.0000000005</v>
      </c>
      <c r="T143" s="7">
        <f t="shared" si="26"/>
        <v>1160000</v>
      </c>
      <c r="U143" s="7">
        <f t="shared" si="27"/>
        <v>5500000</v>
      </c>
      <c r="V143" s="7">
        <f t="shared" si="28"/>
        <v>0</v>
      </c>
      <c r="W143" s="7">
        <f t="shared" si="29"/>
        <v>0</v>
      </c>
      <c r="X143" s="7">
        <f t="shared" si="30"/>
        <v>0</v>
      </c>
    </row>
    <row r="144" spans="1:24">
      <c r="A144">
        <v>143</v>
      </c>
      <c r="B144" s="96" t="s">
        <v>3460</v>
      </c>
      <c r="C144" s="95">
        <v>40460</v>
      </c>
      <c r="D144" s="82">
        <v>3480000</v>
      </c>
      <c r="E144" s="82">
        <v>3480000</v>
      </c>
      <c r="F144" s="82">
        <v>3480000</v>
      </c>
      <c r="G144" s="82">
        <v>3480000</v>
      </c>
      <c r="I144" s="97">
        <v>0</v>
      </c>
      <c r="J144" s="97">
        <v>0</v>
      </c>
      <c r="K144" s="97">
        <v>0</v>
      </c>
      <c r="M144" s="7">
        <f t="shared" si="23"/>
        <v>0</v>
      </c>
      <c r="N144" s="7">
        <f t="shared" si="32"/>
        <v>0</v>
      </c>
      <c r="O144" s="7">
        <f t="shared" si="31"/>
        <v>0</v>
      </c>
      <c r="P144" s="99">
        <f t="shared" si="24"/>
        <v>0</v>
      </c>
      <c r="Q144" s="99">
        <f t="shared" si="33"/>
        <v>-3.2666607011884299E-2</v>
      </c>
      <c r="S144" s="7">
        <f t="shared" si="25"/>
        <v>3828000.0000000005</v>
      </c>
      <c r="T144" s="7">
        <f t="shared" si="26"/>
        <v>1160000</v>
      </c>
      <c r="U144" s="7">
        <f t="shared" si="27"/>
        <v>5550000</v>
      </c>
      <c r="V144" s="7">
        <f t="shared" si="28"/>
        <v>0</v>
      </c>
      <c r="W144" s="7">
        <f t="shared" si="29"/>
        <v>0</v>
      </c>
      <c r="X144" s="7">
        <f t="shared" si="30"/>
        <v>0</v>
      </c>
    </row>
    <row r="145" spans="1:24">
      <c r="A145">
        <v>144</v>
      </c>
      <c r="B145" s="96" t="s">
        <v>3459</v>
      </c>
      <c r="C145" s="95">
        <v>40461</v>
      </c>
      <c r="D145" s="82">
        <v>3470000</v>
      </c>
      <c r="E145" s="82">
        <v>3470000</v>
      </c>
      <c r="F145" s="82">
        <v>3470000</v>
      </c>
      <c r="G145" s="82">
        <v>3470000</v>
      </c>
      <c r="I145" s="97">
        <v>0</v>
      </c>
      <c r="J145" s="97">
        <v>0</v>
      </c>
      <c r="K145" s="97">
        <v>0</v>
      </c>
      <c r="M145" s="7">
        <f t="shared" si="23"/>
        <v>0</v>
      </c>
      <c r="N145" s="7">
        <f t="shared" si="32"/>
        <v>0</v>
      </c>
      <c r="O145" s="7">
        <f t="shared" si="31"/>
        <v>-10000</v>
      </c>
      <c r="P145" s="99">
        <f t="shared" si="24"/>
        <v>-2.8735632183908046E-3</v>
      </c>
      <c r="Q145" s="99">
        <f t="shared" si="33"/>
        <v>6.6672632144903002E-4</v>
      </c>
      <c r="S145" s="7">
        <f t="shared" si="25"/>
        <v>3817000.0000000005</v>
      </c>
      <c r="T145" s="7">
        <f t="shared" si="26"/>
        <v>1156666.6666666667</v>
      </c>
      <c r="U145" s="7">
        <f t="shared" si="27"/>
        <v>5750000</v>
      </c>
      <c r="V145" s="7">
        <f t="shared" si="28"/>
        <v>0</v>
      </c>
      <c r="W145" s="7">
        <f t="shared" si="29"/>
        <v>0</v>
      </c>
      <c r="X145" s="7">
        <f t="shared" si="30"/>
        <v>0</v>
      </c>
    </row>
    <row r="146" spans="1:24">
      <c r="A146">
        <v>145</v>
      </c>
      <c r="B146" s="96" t="s">
        <v>3458</v>
      </c>
      <c r="C146" s="95">
        <v>40462</v>
      </c>
      <c r="D146" s="82">
        <v>3430000</v>
      </c>
      <c r="E146" s="82">
        <v>3430000</v>
      </c>
      <c r="F146" s="82">
        <v>3430000</v>
      </c>
      <c r="G146" s="82">
        <v>3430000</v>
      </c>
      <c r="I146" s="98">
        <v>0</v>
      </c>
      <c r="J146" s="98">
        <v>0</v>
      </c>
      <c r="K146" s="98">
        <v>0</v>
      </c>
      <c r="M146" s="7">
        <f t="shared" si="23"/>
        <v>0</v>
      </c>
      <c r="N146" s="7">
        <f t="shared" si="32"/>
        <v>0</v>
      </c>
      <c r="O146" s="7">
        <f t="shared" si="31"/>
        <v>-40000</v>
      </c>
      <c r="P146" s="99">
        <f t="shared" si="24"/>
        <v>-1.1527377521613832E-2</v>
      </c>
      <c r="Q146" s="99">
        <f t="shared" si="33"/>
        <v>-7.9539633337233802E-3</v>
      </c>
      <c r="S146" s="7">
        <f t="shared" si="25"/>
        <v>3773000.0000000005</v>
      </c>
      <c r="T146" s="7">
        <f t="shared" si="26"/>
        <v>1143333.3333333333</v>
      </c>
      <c r="U146" s="7">
        <f t="shared" si="27"/>
        <v>5700000</v>
      </c>
      <c r="V146" s="7">
        <f t="shared" si="28"/>
        <v>0</v>
      </c>
      <c r="W146" s="7">
        <f t="shared" si="29"/>
        <v>0</v>
      </c>
      <c r="X146" s="7">
        <f t="shared" si="30"/>
        <v>0</v>
      </c>
    </row>
    <row r="147" spans="1:24">
      <c r="A147">
        <v>146</v>
      </c>
      <c r="B147" s="96" t="s">
        <v>3457</v>
      </c>
      <c r="C147" s="95">
        <v>40463</v>
      </c>
      <c r="D147" s="82">
        <v>3450000</v>
      </c>
      <c r="E147" s="82">
        <v>3450000</v>
      </c>
      <c r="F147" s="82">
        <v>3450000</v>
      </c>
      <c r="G147" s="82">
        <v>3450000</v>
      </c>
      <c r="I147" s="82">
        <f>G147*1.1</f>
        <v>3795000.0000000005</v>
      </c>
      <c r="J147" s="82">
        <f>G147/3</f>
        <v>1150000</v>
      </c>
      <c r="K147" s="7">
        <f>G415</f>
        <v>5760000</v>
      </c>
      <c r="L147" s="7">
        <f>K147-I147</f>
        <v>1964999.9999999995</v>
      </c>
      <c r="M147" s="7">
        <f t="shared" si="23"/>
        <v>143750</v>
      </c>
      <c r="N147" s="7">
        <f t="shared" si="32"/>
        <v>2108749.9999999995</v>
      </c>
      <c r="O147" s="7">
        <f t="shared" si="31"/>
        <v>20000</v>
      </c>
      <c r="P147" s="99">
        <f t="shared" si="24"/>
        <v>5.8309037900874635E-3</v>
      </c>
      <c r="Q147" s="99">
        <f t="shared" si="33"/>
        <v>3.3758020018056414E-3</v>
      </c>
      <c r="R147">
        <v>1</v>
      </c>
      <c r="S147" s="7">
        <f t="shared" si="25"/>
        <v>3795000.0000000005</v>
      </c>
      <c r="T147" s="7">
        <f t="shared" si="26"/>
        <v>1150000</v>
      </c>
      <c r="U147" s="7">
        <f t="shared" si="27"/>
        <v>5760000</v>
      </c>
      <c r="V147" s="7">
        <f t="shared" si="28"/>
        <v>1964999.9999999995</v>
      </c>
      <c r="W147" s="7">
        <f t="shared" si="29"/>
        <v>143750</v>
      </c>
      <c r="X147" s="7">
        <f t="shared" si="30"/>
        <v>2108749.9999999995</v>
      </c>
    </row>
    <row r="148" spans="1:24">
      <c r="A148">
        <v>147</v>
      </c>
      <c r="B148" s="96" t="s">
        <v>3456</v>
      </c>
      <c r="C148" s="95">
        <v>40464</v>
      </c>
      <c r="D148" s="82">
        <v>3450000</v>
      </c>
      <c r="E148" s="82">
        <v>3450000</v>
      </c>
      <c r="F148" s="82">
        <v>3450000</v>
      </c>
      <c r="G148" s="82">
        <v>3450000</v>
      </c>
      <c r="I148" s="97">
        <v>0</v>
      </c>
      <c r="J148" s="97">
        <v>0</v>
      </c>
      <c r="K148" s="97">
        <v>0</v>
      </c>
      <c r="M148" s="7">
        <f t="shared" si="23"/>
        <v>0</v>
      </c>
      <c r="N148" s="7">
        <f t="shared" si="32"/>
        <v>0</v>
      </c>
      <c r="O148" s="7">
        <f t="shared" si="31"/>
        <v>0</v>
      </c>
      <c r="P148" s="99">
        <f t="shared" si="24"/>
        <v>0</v>
      </c>
      <c r="Q148" s="99">
        <f t="shared" si="33"/>
        <v>1.7978635616454509E-2</v>
      </c>
      <c r="S148" s="7">
        <f t="shared" si="25"/>
        <v>3795000.0000000005</v>
      </c>
      <c r="T148" s="7">
        <f t="shared" si="26"/>
        <v>1150000</v>
      </c>
      <c r="U148" s="7">
        <f t="shared" si="27"/>
        <v>5700000</v>
      </c>
      <c r="V148" s="7">
        <f t="shared" si="28"/>
        <v>0</v>
      </c>
      <c r="W148" s="7">
        <f t="shared" si="29"/>
        <v>0</v>
      </c>
      <c r="X148" s="7">
        <f t="shared" si="30"/>
        <v>0</v>
      </c>
    </row>
    <row r="149" spans="1:24">
      <c r="A149">
        <v>148</v>
      </c>
      <c r="B149" s="96" t="s">
        <v>3455</v>
      </c>
      <c r="C149" s="95">
        <v>40465</v>
      </c>
      <c r="D149" s="82">
        <v>3450000</v>
      </c>
      <c r="E149" s="82">
        <v>3450000</v>
      </c>
      <c r="F149" s="82">
        <v>3450000</v>
      </c>
      <c r="G149" s="82">
        <v>3450000</v>
      </c>
      <c r="I149" s="97">
        <v>0</v>
      </c>
      <c r="J149" s="97">
        <v>0</v>
      </c>
      <c r="K149" s="97">
        <v>0</v>
      </c>
      <c r="M149" s="7">
        <f t="shared" si="23"/>
        <v>0</v>
      </c>
      <c r="N149" s="7">
        <f t="shared" si="32"/>
        <v>0</v>
      </c>
      <c r="O149" s="7">
        <f t="shared" si="31"/>
        <v>0</v>
      </c>
      <c r="P149" s="99">
        <f t="shared" si="24"/>
        <v>0</v>
      </c>
      <c r="Q149" s="99">
        <f t="shared" si="33"/>
        <v>-8.5700369499171723E-3</v>
      </c>
      <c r="S149" s="7">
        <f t="shared" si="25"/>
        <v>3795000.0000000005</v>
      </c>
      <c r="T149" s="7">
        <f t="shared" si="26"/>
        <v>1150000</v>
      </c>
      <c r="U149" s="7">
        <f t="shared" si="27"/>
        <v>5650000</v>
      </c>
      <c r="V149" s="7">
        <f t="shared" si="28"/>
        <v>0</v>
      </c>
      <c r="W149" s="7">
        <f t="shared" si="29"/>
        <v>0</v>
      </c>
      <c r="X149" s="7">
        <f t="shared" si="30"/>
        <v>0</v>
      </c>
    </row>
    <row r="150" spans="1:24">
      <c r="A150">
        <v>149</v>
      </c>
      <c r="B150" s="96" t="s">
        <v>3454</v>
      </c>
      <c r="C150" s="95">
        <v>40467</v>
      </c>
      <c r="D150" s="82">
        <v>3520000</v>
      </c>
      <c r="E150" s="82">
        <v>3520000</v>
      </c>
      <c r="F150" s="82">
        <v>3520000</v>
      </c>
      <c r="G150" s="82">
        <v>3520000</v>
      </c>
      <c r="I150" s="97">
        <v>0</v>
      </c>
      <c r="J150" s="97">
        <v>0</v>
      </c>
      <c r="K150" s="97">
        <v>0</v>
      </c>
      <c r="M150" s="7">
        <f t="shared" si="23"/>
        <v>0</v>
      </c>
      <c r="N150" s="7">
        <f t="shared" si="32"/>
        <v>0</v>
      </c>
      <c r="O150" s="7">
        <f t="shared" si="31"/>
        <v>70000</v>
      </c>
      <c r="P150" s="99">
        <f t="shared" si="24"/>
        <v>2.0289855072463767E-2</v>
      </c>
      <c r="Q150" s="99">
        <f t="shared" si="33"/>
        <v>-8.5700369499171723E-3</v>
      </c>
      <c r="S150" s="7">
        <f t="shared" si="25"/>
        <v>3872000.0000000005</v>
      </c>
      <c r="T150" s="7">
        <f t="shared" si="26"/>
        <v>1173333.3333333333</v>
      </c>
      <c r="U150" s="7">
        <f t="shared" si="27"/>
        <v>5700000</v>
      </c>
      <c r="V150" s="7">
        <f t="shared" si="28"/>
        <v>0</v>
      </c>
      <c r="W150" s="7">
        <f t="shared" si="29"/>
        <v>0</v>
      </c>
      <c r="X150" s="7">
        <f t="shared" si="30"/>
        <v>0</v>
      </c>
    </row>
    <row r="151" spans="1:24">
      <c r="A151">
        <v>150</v>
      </c>
      <c r="B151" s="96" t="s">
        <v>3453</v>
      </c>
      <c r="C151" s="95">
        <v>40468</v>
      </c>
      <c r="D151" s="82">
        <v>3450000</v>
      </c>
      <c r="E151" s="82">
        <v>3450000</v>
      </c>
      <c r="F151" s="82">
        <v>3450000</v>
      </c>
      <c r="G151" s="82">
        <v>3450000</v>
      </c>
      <c r="I151" s="98">
        <v>0</v>
      </c>
      <c r="J151" s="98">
        <v>0</v>
      </c>
      <c r="K151" s="98">
        <v>0</v>
      </c>
      <c r="M151" s="7">
        <f t="shared" si="23"/>
        <v>0</v>
      </c>
      <c r="N151" s="7">
        <f t="shared" si="32"/>
        <v>0</v>
      </c>
      <c r="O151" s="7">
        <f t="shared" si="31"/>
        <v>-70000</v>
      </c>
      <c r="P151" s="99">
        <f t="shared" si="24"/>
        <v>-1.9886363636363636E-2</v>
      </c>
      <c r="Q151" s="99">
        <f t="shared" si="33"/>
        <v>1.4593381340937399E-2</v>
      </c>
      <c r="S151" s="7">
        <f t="shared" si="25"/>
        <v>3795000.0000000005</v>
      </c>
      <c r="T151" s="7">
        <f t="shared" si="26"/>
        <v>1150000</v>
      </c>
      <c r="U151" s="7">
        <f t="shared" si="27"/>
        <v>5650000</v>
      </c>
      <c r="V151" s="7">
        <f t="shared" si="28"/>
        <v>0</v>
      </c>
      <c r="W151" s="7">
        <f t="shared" si="29"/>
        <v>0</v>
      </c>
      <c r="X151" s="7">
        <f t="shared" si="30"/>
        <v>0</v>
      </c>
    </row>
    <row r="152" spans="1:24">
      <c r="A152">
        <v>151</v>
      </c>
      <c r="B152" s="96" t="s">
        <v>3452</v>
      </c>
      <c r="C152" s="95">
        <v>40469</v>
      </c>
      <c r="D152" s="82">
        <v>3460000</v>
      </c>
      <c r="E152" s="82">
        <v>3460000</v>
      </c>
      <c r="F152" s="82">
        <v>3460000</v>
      </c>
      <c r="G152" s="82">
        <v>3460000</v>
      </c>
      <c r="I152" s="82">
        <f>G152*1.1</f>
        <v>3806000.0000000005</v>
      </c>
      <c r="J152" s="82">
        <f>G152/3</f>
        <v>1153333.3333333333</v>
      </c>
      <c r="K152" s="7">
        <f>G420</f>
        <v>5680000</v>
      </c>
      <c r="L152" s="7">
        <f>K152-I152</f>
        <v>1873999.9999999995</v>
      </c>
      <c r="M152" s="7">
        <f t="shared" si="23"/>
        <v>144166.66666666666</v>
      </c>
      <c r="N152" s="7">
        <f t="shared" si="32"/>
        <v>2018166.6666666663</v>
      </c>
      <c r="O152" s="7">
        <f t="shared" si="31"/>
        <v>10000</v>
      </c>
      <c r="P152" s="99">
        <f t="shared" si="24"/>
        <v>2.8985507246376812E-3</v>
      </c>
      <c r="Q152" s="99">
        <f t="shared" si="33"/>
        <v>6.2343952261875932E-3</v>
      </c>
      <c r="R152">
        <v>1</v>
      </c>
      <c r="S152" s="7">
        <f t="shared" si="25"/>
        <v>3806000.0000000005</v>
      </c>
      <c r="T152" s="7">
        <f t="shared" si="26"/>
        <v>1153333.3333333333</v>
      </c>
      <c r="U152" s="7">
        <f t="shared" si="27"/>
        <v>5680000</v>
      </c>
      <c r="V152" s="7">
        <f t="shared" si="28"/>
        <v>1873999.9999999995</v>
      </c>
      <c r="W152" s="7">
        <f t="shared" si="29"/>
        <v>144166.66666666666</v>
      </c>
      <c r="X152" s="7">
        <f t="shared" si="30"/>
        <v>2018166.6666666663</v>
      </c>
    </row>
    <row r="153" spans="1:24">
      <c r="A153">
        <v>152</v>
      </c>
      <c r="B153" s="96" t="s">
        <v>3451</v>
      </c>
      <c r="C153" s="95">
        <v>40470</v>
      </c>
      <c r="D153" s="82">
        <v>3450000</v>
      </c>
      <c r="E153" s="82">
        <v>3450000</v>
      </c>
      <c r="F153" s="82">
        <v>3450000</v>
      </c>
      <c r="G153" s="82">
        <v>3450000</v>
      </c>
      <c r="I153" s="97">
        <v>0</v>
      </c>
      <c r="J153" s="97">
        <v>0</v>
      </c>
      <c r="K153" s="97">
        <v>0</v>
      </c>
      <c r="M153" s="7">
        <f t="shared" si="23"/>
        <v>0</v>
      </c>
      <c r="N153" s="7">
        <f t="shared" si="32"/>
        <v>0</v>
      </c>
      <c r="O153" s="7">
        <f t="shared" si="31"/>
        <v>-10000</v>
      </c>
      <c r="P153" s="99">
        <f t="shared" si="24"/>
        <v>-2.8901734104046241E-3</v>
      </c>
      <c r="Q153" s="99">
        <f t="shared" si="33"/>
        <v>3.3020421607378118E-3</v>
      </c>
      <c r="S153" s="7">
        <f t="shared" si="25"/>
        <v>3795000.0000000005</v>
      </c>
      <c r="T153" s="7">
        <f t="shared" si="26"/>
        <v>1150000</v>
      </c>
      <c r="U153" s="7">
        <f t="shared" si="27"/>
        <v>5620000</v>
      </c>
      <c r="V153" s="7">
        <f t="shared" si="28"/>
        <v>0</v>
      </c>
      <c r="W153" s="7">
        <f t="shared" si="29"/>
        <v>0</v>
      </c>
      <c r="X153" s="7">
        <f t="shared" si="30"/>
        <v>0</v>
      </c>
    </row>
    <row r="154" spans="1:24">
      <c r="A154">
        <v>153</v>
      </c>
      <c r="B154" s="96" t="s">
        <v>3450</v>
      </c>
      <c r="C154" s="95">
        <v>40471</v>
      </c>
      <c r="D154" s="82">
        <v>3460000</v>
      </c>
      <c r="E154" s="82">
        <v>3460000</v>
      </c>
      <c r="F154" s="82">
        <v>3460000</v>
      </c>
      <c r="G154" s="82">
        <v>3460000</v>
      </c>
      <c r="I154" s="97">
        <v>0</v>
      </c>
      <c r="J154" s="97">
        <v>0</v>
      </c>
      <c r="K154" s="97">
        <v>0</v>
      </c>
      <c r="M154" s="7">
        <f t="shared" si="23"/>
        <v>0</v>
      </c>
      <c r="N154" s="7">
        <f t="shared" si="32"/>
        <v>0</v>
      </c>
      <c r="O154" s="7">
        <f t="shared" si="31"/>
        <v>10000</v>
      </c>
      <c r="P154" s="99">
        <f t="shared" si="24"/>
        <v>2.8985507246376812E-3</v>
      </c>
      <c r="Q154" s="99">
        <f t="shared" si="33"/>
        <v>4.1186875033318764E-4</v>
      </c>
      <c r="S154" s="7">
        <f t="shared" si="25"/>
        <v>3806000.0000000005</v>
      </c>
      <c r="T154" s="7">
        <f t="shared" si="26"/>
        <v>1153333.3333333333</v>
      </c>
      <c r="U154" s="7">
        <f t="shared" si="27"/>
        <v>5650000</v>
      </c>
      <c r="V154" s="7">
        <f t="shared" si="28"/>
        <v>0</v>
      </c>
      <c r="W154" s="7">
        <f t="shared" si="29"/>
        <v>0</v>
      </c>
      <c r="X154" s="7">
        <f t="shared" si="30"/>
        <v>0</v>
      </c>
    </row>
    <row r="155" spans="1:24">
      <c r="A155">
        <v>154</v>
      </c>
      <c r="B155" s="96" t="s">
        <v>3449</v>
      </c>
      <c r="C155" s="95">
        <v>40474</v>
      </c>
      <c r="D155" s="82">
        <v>3420000</v>
      </c>
      <c r="E155" s="82">
        <v>3420000</v>
      </c>
      <c r="F155" s="82">
        <v>3420000</v>
      </c>
      <c r="G155" s="82">
        <v>3420000</v>
      </c>
      <c r="I155" s="97">
        <v>0</v>
      </c>
      <c r="J155" s="97">
        <v>0</v>
      </c>
      <c r="K155" s="97">
        <v>0</v>
      </c>
      <c r="M155" s="7">
        <f t="shared" si="23"/>
        <v>0</v>
      </c>
      <c r="N155" s="7">
        <f t="shared" si="32"/>
        <v>0</v>
      </c>
      <c r="O155" s="7">
        <f t="shared" si="31"/>
        <v>-40000</v>
      </c>
      <c r="P155" s="99">
        <f t="shared" si="24"/>
        <v>-1.1560693641618497E-2</v>
      </c>
      <c r="Q155" s="99">
        <f t="shared" si="33"/>
        <v>3.3104194749708688E-3</v>
      </c>
      <c r="S155" s="7">
        <f t="shared" si="25"/>
        <v>3762000.0000000005</v>
      </c>
      <c r="T155" s="7">
        <f t="shared" si="26"/>
        <v>1140000</v>
      </c>
      <c r="U155" s="7">
        <f t="shared" si="27"/>
        <v>5630000</v>
      </c>
      <c r="V155" s="7">
        <f t="shared" si="28"/>
        <v>0</v>
      </c>
      <c r="W155" s="7">
        <f t="shared" si="29"/>
        <v>0</v>
      </c>
      <c r="X155" s="7">
        <f t="shared" si="30"/>
        <v>0</v>
      </c>
    </row>
    <row r="156" spans="1:24">
      <c r="A156">
        <v>155</v>
      </c>
      <c r="B156" s="96" t="s">
        <v>3448</v>
      </c>
      <c r="C156" s="95">
        <v>40475</v>
      </c>
      <c r="D156" s="82">
        <v>3350000</v>
      </c>
      <c r="E156" s="82">
        <v>3350000</v>
      </c>
      <c r="F156" s="82">
        <v>3350000</v>
      </c>
      <c r="G156" s="82">
        <v>3350000</v>
      </c>
      <c r="I156" s="98">
        <v>0</v>
      </c>
      <c r="J156" s="98">
        <v>0</v>
      </c>
      <c r="K156" s="98">
        <v>0</v>
      </c>
      <c r="M156" s="7">
        <f t="shared" si="23"/>
        <v>0</v>
      </c>
      <c r="N156" s="7">
        <f t="shared" si="32"/>
        <v>0</v>
      </c>
      <c r="O156" s="7">
        <f t="shared" si="31"/>
        <v>-70000</v>
      </c>
      <c r="P156" s="99">
        <f t="shared" si="24"/>
        <v>-2.046783625730994E-2</v>
      </c>
      <c r="Q156" s="99">
        <f t="shared" si="33"/>
        <v>-2.8540129239111395E-2</v>
      </c>
      <c r="S156" s="7">
        <f t="shared" si="25"/>
        <v>3685000.0000000005</v>
      </c>
      <c r="T156" s="7">
        <f t="shared" si="26"/>
        <v>1116666.6666666667</v>
      </c>
      <c r="U156" s="7">
        <f t="shared" si="27"/>
        <v>5700000</v>
      </c>
      <c r="V156" s="7">
        <f t="shared" si="28"/>
        <v>0</v>
      </c>
      <c r="W156" s="7">
        <f t="shared" si="29"/>
        <v>0</v>
      </c>
      <c r="X156" s="7">
        <f t="shared" si="30"/>
        <v>0</v>
      </c>
    </row>
    <row r="157" spans="1:24">
      <c r="A157">
        <v>156</v>
      </c>
      <c r="B157" s="96" t="s">
        <v>3447</v>
      </c>
      <c r="C157" s="95">
        <v>40476</v>
      </c>
      <c r="D157" s="82">
        <v>3350000</v>
      </c>
      <c r="E157" s="82">
        <v>3350000</v>
      </c>
      <c r="F157" s="82">
        <v>3350000</v>
      </c>
      <c r="G157" s="82">
        <v>3350000</v>
      </c>
      <c r="I157" s="82">
        <f>G157*1.1</f>
        <v>3685000.0000000005</v>
      </c>
      <c r="J157" s="82">
        <f>G157/3</f>
        <v>1116666.6666666667</v>
      </c>
      <c r="K157" s="7">
        <f>G425</f>
        <v>5700000</v>
      </c>
      <c r="L157" s="7">
        <f>K157-I157</f>
        <v>2014999.9999999995</v>
      </c>
      <c r="M157" s="7">
        <f t="shared" si="23"/>
        <v>139583.33333333334</v>
      </c>
      <c r="N157" s="7">
        <f t="shared" si="32"/>
        <v>2154583.333333333</v>
      </c>
      <c r="O157" s="7">
        <f t="shared" si="31"/>
        <v>0</v>
      </c>
      <c r="P157" s="99">
        <f t="shared" si="24"/>
        <v>0</v>
      </c>
      <c r="Q157" s="99">
        <f t="shared" si="33"/>
        <v>-2.9121601860057699E-2</v>
      </c>
      <c r="R157">
        <v>1</v>
      </c>
      <c r="S157" s="7">
        <f t="shared" si="25"/>
        <v>3685000.0000000005</v>
      </c>
      <c r="T157" s="7">
        <f t="shared" si="26"/>
        <v>1116666.6666666667</v>
      </c>
      <c r="U157" s="7">
        <f t="shared" si="27"/>
        <v>5700000</v>
      </c>
      <c r="V157" s="7">
        <f t="shared" si="28"/>
        <v>2014999.9999999995</v>
      </c>
      <c r="W157" s="7">
        <f t="shared" si="29"/>
        <v>139583.33333333334</v>
      </c>
      <c r="X157" s="7">
        <f t="shared" si="30"/>
        <v>2154583.333333333</v>
      </c>
    </row>
    <row r="158" spans="1:24">
      <c r="A158">
        <v>157</v>
      </c>
      <c r="B158" s="96" t="s">
        <v>3446</v>
      </c>
      <c r="C158" s="95">
        <v>40477</v>
      </c>
      <c r="D158" s="82">
        <v>3360000</v>
      </c>
      <c r="E158" s="82">
        <v>3360000</v>
      </c>
      <c r="F158" s="82">
        <v>3360000</v>
      </c>
      <c r="G158" s="82">
        <v>3360000</v>
      </c>
      <c r="I158" s="97">
        <v>0</v>
      </c>
      <c r="J158" s="97">
        <v>0</v>
      </c>
      <c r="K158" s="97">
        <v>0</v>
      </c>
      <c r="M158" s="7">
        <f t="shared" si="23"/>
        <v>0</v>
      </c>
      <c r="N158" s="7">
        <f t="shared" si="32"/>
        <v>0</v>
      </c>
      <c r="O158" s="7">
        <f t="shared" si="31"/>
        <v>10000</v>
      </c>
      <c r="P158" s="99">
        <f t="shared" si="24"/>
        <v>2.9850746268656717E-3</v>
      </c>
      <c r="Q158" s="99">
        <f t="shared" si="33"/>
        <v>-3.2020152584695379E-2</v>
      </c>
      <c r="S158" s="7">
        <f t="shared" si="25"/>
        <v>3696000.0000000005</v>
      </c>
      <c r="T158" s="7">
        <f t="shared" si="26"/>
        <v>1120000</v>
      </c>
      <c r="U158" s="7">
        <f t="shared" si="27"/>
        <v>5650000</v>
      </c>
      <c r="V158" s="7">
        <f t="shared" si="28"/>
        <v>0</v>
      </c>
      <c r="W158" s="7">
        <f t="shared" si="29"/>
        <v>0</v>
      </c>
      <c r="X158" s="7">
        <f t="shared" si="30"/>
        <v>0</v>
      </c>
    </row>
    <row r="159" spans="1:24">
      <c r="A159">
        <v>158</v>
      </c>
      <c r="B159" s="96" t="s">
        <v>3445</v>
      </c>
      <c r="C159" s="95">
        <v>40478</v>
      </c>
      <c r="D159" s="82">
        <v>3360000</v>
      </c>
      <c r="E159" s="82">
        <v>3360000</v>
      </c>
      <c r="F159" s="82">
        <v>3360000</v>
      </c>
      <c r="G159" s="82">
        <v>3360000</v>
      </c>
      <c r="I159" s="97">
        <v>0</v>
      </c>
      <c r="J159" s="97">
        <v>0</v>
      </c>
      <c r="K159" s="97">
        <v>0</v>
      </c>
      <c r="M159" s="7">
        <f t="shared" si="23"/>
        <v>0</v>
      </c>
      <c r="N159" s="7">
        <f t="shared" si="32"/>
        <v>0</v>
      </c>
      <c r="O159" s="7">
        <f t="shared" si="31"/>
        <v>0</v>
      </c>
      <c r="P159" s="99">
        <f t="shared" si="24"/>
        <v>0</v>
      </c>
      <c r="Q159" s="99">
        <f t="shared" si="33"/>
        <v>-2.6144904547425084E-2</v>
      </c>
      <c r="S159" s="7">
        <f t="shared" si="25"/>
        <v>3696000.0000000005</v>
      </c>
      <c r="T159" s="7">
        <f t="shared" si="26"/>
        <v>1120000</v>
      </c>
      <c r="U159" s="7">
        <f t="shared" si="27"/>
        <v>5610000</v>
      </c>
      <c r="V159" s="7">
        <f t="shared" si="28"/>
        <v>0</v>
      </c>
      <c r="W159" s="7">
        <f t="shared" si="29"/>
        <v>0</v>
      </c>
      <c r="X159" s="7">
        <f t="shared" si="30"/>
        <v>0</v>
      </c>
    </row>
    <row r="160" spans="1:24">
      <c r="A160">
        <v>159</v>
      </c>
      <c r="B160" s="96" t="s">
        <v>3444</v>
      </c>
      <c r="C160" s="95">
        <v>40479</v>
      </c>
      <c r="D160" s="82">
        <v>3350000</v>
      </c>
      <c r="E160" s="82">
        <v>3350000</v>
      </c>
      <c r="F160" s="82">
        <v>3350000</v>
      </c>
      <c r="G160" s="82">
        <v>3350000</v>
      </c>
      <c r="I160" s="97">
        <v>0</v>
      </c>
      <c r="J160" s="97">
        <v>0</v>
      </c>
      <c r="K160" s="97">
        <v>0</v>
      </c>
      <c r="M160" s="7">
        <f t="shared" si="23"/>
        <v>0</v>
      </c>
      <c r="N160" s="7">
        <f t="shared" si="32"/>
        <v>0</v>
      </c>
      <c r="O160" s="7">
        <f t="shared" si="31"/>
        <v>-10000</v>
      </c>
      <c r="P160" s="99">
        <f t="shared" si="24"/>
        <v>-2.976190476190476E-3</v>
      </c>
      <c r="Q160" s="99">
        <f t="shared" si="33"/>
        <v>-2.9043455272062767E-2</v>
      </c>
      <c r="S160" s="7">
        <f t="shared" si="25"/>
        <v>3685000.0000000005</v>
      </c>
      <c r="T160" s="7">
        <f t="shared" si="26"/>
        <v>1116666.6666666667</v>
      </c>
      <c r="U160" s="7">
        <f t="shared" si="27"/>
        <v>5640000</v>
      </c>
      <c r="V160" s="7">
        <f t="shared" si="28"/>
        <v>0</v>
      </c>
      <c r="W160" s="7">
        <f t="shared" si="29"/>
        <v>0</v>
      </c>
      <c r="X160" s="7">
        <f t="shared" si="30"/>
        <v>0</v>
      </c>
    </row>
    <row r="161" spans="1:24">
      <c r="A161">
        <v>160</v>
      </c>
      <c r="B161" s="96" t="s">
        <v>3443</v>
      </c>
      <c r="C161" s="95">
        <v>40481</v>
      </c>
      <c r="D161" s="82">
        <v>3340000</v>
      </c>
      <c r="E161" s="82">
        <v>3340000</v>
      </c>
      <c r="F161" s="82">
        <v>3340000</v>
      </c>
      <c r="G161" s="82">
        <v>3340000</v>
      </c>
      <c r="I161" s="98">
        <v>0</v>
      </c>
      <c r="J161" s="98">
        <v>0</v>
      </c>
      <c r="K161" s="98">
        <v>0</v>
      </c>
      <c r="M161" s="7">
        <f t="shared" si="23"/>
        <v>0</v>
      </c>
      <c r="N161" s="7">
        <f t="shared" si="32"/>
        <v>0</v>
      </c>
      <c r="O161" s="7">
        <f t="shared" si="31"/>
        <v>-10000</v>
      </c>
      <c r="P161" s="99">
        <f t="shared" si="24"/>
        <v>-2.9850746268656717E-3</v>
      </c>
      <c r="Q161" s="99">
        <f t="shared" si="33"/>
        <v>-2.0458952106634745E-2</v>
      </c>
      <c r="S161" s="7">
        <f t="shared" si="25"/>
        <v>3674000.0000000005</v>
      </c>
      <c r="T161" s="7">
        <f t="shared" si="26"/>
        <v>1113333.3333333333</v>
      </c>
      <c r="U161" s="7">
        <f t="shared" si="27"/>
        <v>5700000</v>
      </c>
      <c r="V161" s="7">
        <f t="shared" si="28"/>
        <v>0</v>
      </c>
      <c r="W161" s="7">
        <f t="shared" si="29"/>
        <v>0</v>
      </c>
      <c r="X161" s="7">
        <f t="shared" si="30"/>
        <v>0</v>
      </c>
    </row>
    <row r="162" spans="1:24">
      <c r="A162">
        <v>161</v>
      </c>
      <c r="B162" s="96" t="s">
        <v>3442</v>
      </c>
      <c r="C162" s="95">
        <v>40482</v>
      </c>
      <c r="D162" s="82">
        <v>3420000</v>
      </c>
      <c r="E162" s="82">
        <v>3420000</v>
      </c>
      <c r="F162" s="82">
        <v>3420000</v>
      </c>
      <c r="G162" s="82">
        <v>3420000</v>
      </c>
      <c r="I162" s="82">
        <f>G162*1.1</f>
        <v>3762000.0000000005</v>
      </c>
      <c r="J162" s="82">
        <f>G162/3</f>
        <v>1140000</v>
      </c>
      <c r="K162" s="7">
        <f>G430</f>
        <v>5680000</v>
      </c>
      <c r="L162" s="7">
        <f>K162-I162</f>
        <v>1917999.9999999995</v>
      </c>
      <c r="M162" s="7">
        <f t="shared" si="23"/>
        <v>142500</v>
      </c>
      <c r="N162" s="7">
        <f t="shared" si="32"/>
        <v>2060499.9999999995</v>
      </c>
      <c r="O162" s="7">
        <f t="shared" si="31"/>
        <v>80000</v>
      </c>
      <c r="P162" s="99">
        <f t="shared" si="24"/>
        <v>2.3952095808383235E-2</v>
      </c>
      <c r="Q162" s="99">
        <f t="shared" si="33"/>
        <v>-2.976190476190476E-3</v>
      </c>
      <c r="R162">
        <v>1</v>
      </c>
      <c r="S162" s="7">
        <f t="shared" si="25"/>
        <v>3762000.0000000005</v>
      </c>
      <c r="T162" s="7">
        <f t="shared" si="26"/>
        <v>1140000</v>
      </c>
      <c r="U162" s="7">
        <f t="shared" si="27"/>
        <v>5680000</v>
      </c>
      <c r="V162" s="7">
        <f t="shared" si="28"/>
        <v>1917999.9999999995</v>
      </c>
      <c r="W162" s="7">
        <f t="shared" si="29"/>
        <v>142500</v>
      </c>
      <c r="X162" s="7">
        <f t="shared" si="30"/>
        <v>2060499.9999999995</v>
      </c>
    </row>
    <row r="163" spans="1:24">
      <c r="A163">
        <v>162</v>
      </c>
      <c r="B163" s="96" t="s">
        <v>3441</v>
      </c>
      <c r="C163" s="95">
        <v>40483</v>
      </c>
      <c r="D163" s="82">
        <v>3400000</v>
      </c>
      <c r="E163" s="82">
        <v>3400000</v>
      </c>
      <c r="F163" s="82">
        <v>3400000</v>
      </c>
      <c r="G163" s="82">
        <v>3400000</v>
      </c>
      <c r="I163" s="97">
        <v>0</v>
      </c>
      <c r="J163" s="97">
        <v>0</v>
      </c>
      <c r="K163" s="97">
        <v>0</v>
      </c>
      <c r="M163" s="7">
        <f t="shared" si="23"/>
        <v>0</v>
      </c>
      <c r="N163" s="7">
        <f t="shared" si="32"/>
        <v>0</v>
      </c>
      <c r="O163" s="7">
        <f t="shared" si="31"/>
        <v>-20000</v>
      </c>
      <c r="P163" s="99">
        <f t="shared" si="24"/>
        <v>-5.8479532163742687E-3</v>
      </c>
      <c r="Q163" s="99">
        <f t="shared" si="33"/>
        <v>2.0975905332192759E-2</v>
      </c>
      <c r="S163" s="7">
        <f t="shared" si="25"/>
        <v>3740000.0000000005</v>
      </c>
      <c r="T163" s="7">
        <f t="shared" si="26"/>
        <v>1133333.3333333333</v>
      </c>
      <c r="U163" s="7">
        <f t="shared" si="27"/>
        <v>5670000</v>
      </c>
      <c r="V163" s="7">
        <f t="shared" si="28"/>
        <v>0</v>
      </c>
      <c r="W163" s="7">
        <f t="shared" si="29"/>
        <v>0</v>
      </c>
      <c r="X163" s="7">
        <f t="shared" si="30"/>
        <v>0</v>
      </c>
    </row>
    <row r="164" spans="1:24">
      <c r="A164">
        <v>163</v>
      </c>
      <c r="B164" s="96" t="s">
        <v>3440</v>
      </c>
      <c r="C164" s="95">
        <v>40484</v>
      </c>
      <c r="D164" s="82">
        <v>3400000</v>
      </c>
      <c r="E164" s="82">
        <v>3400000</v>
      </c>
      <c r="F164" s="82">
        <v>3400000</v>
      </c>
      <c r="G164" s="82">
        <v>3400000</v>
      </c>
      <c r="I164" s="97">
        <v>0</v>
      </c>
      <c r="J164" s="97">
        <v>0</v>
      </c>
      <c r="K164" s="97">
        <v>0</v>
      </c>
      <c r="M164" s="7">
        <f t="shared" si="23"/>
        <v>0</v>
      </c>
      <c r="N164" s="7">
        <f t="shared" si="32"/>
        <v>0</v>
      </c>
      <c r="O164" s="7">
        <f t="shared" si="31"/>
        <v>0</v>
      </c>
      <c r="P164" s="99">
        <f t="shared" si="24"/>
        <v>0</v>
      </c>
      <c r="Q164" s="99">
        <f t="shared" si="33"/>
        <v>1.2142877488952819E-2</v>
      </c>
      <c r="S164" s="7">
        <f t="shared" si="25"/>
        <v>3740000.0000000005</v>
      </c>
      <c r="T164" s="7">
        <f t="shared" si="26"/>
        <v>1133333.3333333333</v>
      </c>
      <c r="U164" s="7">
        <f t="shared" si="27"/>
        <v>5770000</v>
      </c>
      <c r="V164" s="7">
        <f t="shared" si="28"/>
        <v>0</v>
      </c>
      <c r="W164" s="7">
        <f t="shared" si="29"/>
        <v>0</v>
      </c>
      <c r="X164" s="7">
        <f t="shared" si="30"/>
        <v>0</v>
      </c>
    </row>
    <row r="165" spans="1:24">
      <c r="A165">
        <v>164</v>
      </c>
      <c r="B165" s="96" t="s">
        <v>3439</v>
      </c>
      <c r="C165" s="95">
        <v>40485</v>
      </c>
      <c r="D165" s="82">
        <v>3400000</v>
      </c>
      <c r="E165" s="82">
        <v>3400000</v>
      </c>
      <c r="F165" s="82">
        <v>3400000</v>
      </c>
      <c r="G165" s="82">
        <v>3400000</v>
      </c>
      <c r="I165" s="97">
        <v>0</v>
      </c>
      <c r="J165" s="97">
        <v>0</v>
      </c>
      <c r="K165" s="97">
        <v>0</v>
      </c>
      <c r="M165" s="7">
        <f t="shared" si="23"/>
        <v>0</v>
      </c>
      <c r="N165" s="7">
        <f t="shared" si="32"/>
        <v>0</v>
      </c>
      <c r="O165" s="7">
        <f t="shared" si="31"/>
        <v>0</v>
      </c>
      <c r="P165" s="99">
        <f t="shared" si="24"/>
        <v>0</v>
      </c>
      <c r="Q165" s="99">
        <f t="shared" si="33"/>
        <v>1.2142877488952819E-2</v>
      </c>
      <c r="S165" s="7">
        <f t="shared" si="25"/>
        <v>3740000.0000000005</v>
      </c>
      <c r="T165" s="7">
        <f t="shared" si="26"/>
        <v>1133333.3333333333</v>
      </c>
      <c r="U165" s="7">
        <f t="shared" si="27"/>
        <v>5770000</v>
      </c>
      <c r="V165" s="7">
        <f t="shared" si="28"/>
        <v>0</v>
      </c>
      <c r="W165" s="7">
        <f t="shared" si="29"/>
        <v>0</v>
      </c>
      <c r="X165" s="7">
        <f t="shared" si="30"/>
        <v>0</v>
      </c>
    </row>
    <row r="166" spans="1:24">
      <c r="A166">
        <v>165</v>
      </c>
      <c r="B166" s="96" t="s">
        <v>3438</v>
      </c>
      <c r="C166" s="95">
        <v>40486</v>
      </c>
      <c r="D166" s="82">
        <v>3390000</v>
      </c>
      <c r="E166" s="82">
        <v>3390000</v>
      </c>
      <c r="F166" s="82">
        <v>3390000</v>
      </c>
      <c r="G166" s="82">
        <v>3390000</v>
      </c>
      <c r="I166" s="98">
        <v>0</v>
      </c>
      <c r="J166" s="98">
        <v>0</v>
      </c>
      <c r="K166" s="98">
        <v>0</v>
      </c>
      <c r="M166" s="7">
        <f t="shared" si="23"/>
        <v>0</v>
      </c>
      <c r="N166" s="7">
        <f t="shared" si="32"/>
        <v>0</v>
      </c>
      <c r="O166" s="7">
        <f t="shared" si="31"/>
        <v>-10000</v>
      </c>
      <c r="P166" s="99">
        <f t="shared" si="24"/>
        <v>-2.9411764705882353E-3</v>
      </c>
      <c r="Q166" s="99">
        <f t="shared" si="33"/>
        <v>1.5119067965143295E-2</v>
      </c>
      <c r="S166" s="7">
        <f t="shared" si="25"/>
        <v>3729000.0000000005</v>
      </c>
      <c r="T166" s="7">
        <f t="shared" si="26"/>
        <v>1130000</v>
      </c>
      <c r="U166" s="7">
        <f t="shared" si="27"/>
        <v>5880000</v>
      </c>
      <c r="V166" s="7">
        <f t="shared" si="28"/>
        <v>0</v>
      </c>
      <c r="W166" s="7">
        <f t="shared" si="29"/>
        <v>0</v>
      </c>
      <c r="X166" s="7">
        <f t="shared" si="30"/>
        <v>0</v>
      </c>
    </row>
    <row r="167" spans="1:24">
      <c r="A167">
        <v>166</v>
      </c>
      <c r="B167" s="96" t="s">
        <v>3437</v>
      </c>
      <c r="C167" s="95">
        <v>40488</v>
      </c>
      <c r="D167" s="82">
        <v>3380000</v>
      </c>
      <c r="E167" s="82">
        <v>3380000</v>
      </c>
      <c r="F167" s="82">
        <v>3380000</v>
      </c>
      <c r="G167" s="82">
        <v>3380000</v>
      </c>
      <c r="I167" s="82">
        <f>G167*1.1</f>
        <v>3718000.0000000005</v>
      </c>
      <c r="J167" s="82">
        <f>G167/3</f>
        <v>1126666.6666666667</v>
      </c>
      <c r="K167" s="7">
        <f>G435</f>
        <v>5950000</v>
      </c>
      <c r="L167" s="7">
        <f>K167-I167</f>
        <v>2231999.9999999995</v>
      </c>
      <c r="M167" s="7">
        <f t="shared" si="23"/>
        <v>140833.33333333334</v>
      </c>
      <c r="N167" s="7">
        <f t="shared" si="32"/>
        <v>2372833.333333333</v>
      </c>
      <c r="O167" s="7">
        <f t="shared" si="31"/>
        <v>-10000</v>
      </c>
      <c r="P167" s="99">
        <f t="shared" si="24"/>
        <v>-2.9498525073746312E-3</v>
      </c>
      <c r="Q167" s="99">
        <f t="shared" si="33"/>
        <v>1.5162966121420731E-2</v>
      </c>
      <c r="R167">
        <v>1</v>
      </c>
      <c r="S167" s="7">
        <f t="shared" si="25"/>
        <v>3718000.0000000005</v>
      </c>
      <c r="T167" s="7">
        <f t="shared" si="26"/>
        <v>1126666.6666666667</v>
      </c>
      <c r="U167" s="7">
        <f t="shared" si="27"/>
        <v>5950000</v>
      </c>
      <c r="V167" s="7">
        <f t="shared" si="28"/>
        <v>2231999.9999999995</v>
      </c>
      <c r="W167" s="7">
        <f t="shared" si="29"/>
        <v>140833.33333333334</v>
      </c>
      <c r="X167" s="7">
        <f t="shared" si="30"/>
        <v>2372833.333333333</v>
      </c>
    </row>
    <row r="168" spans="1:24">
      <c r="A168">
        <v>167</v>
      </c>
      <c r="B168" s="96" t="s">
        <v>3436</v>
      </c>
      <c r="C168" s="95">
        <v>40489</v>
      </c>
      <c r="D168" s="82">
        <v>3460000</v>
      </c>
      <c r="E168" s="82">
        <v>3460000</v>
      </c>
      <c r="F168" s="82">
        <v>3460000</v>
      </c>
      <c r="G168" s="82">
        <v>3460000</v>
      </c>
      <c r="I168" s="97">
        <v>0</v>
      </c>
      <c r="J168" s="97">
        <v>0</v>
      </c>
      <c r="K168" s="97">
        <v>0</v>
      </c>
      <c r="M168" s="7">
        <f t="shared" si="23"/>
        <v>0</v>
      </c>
      <c r="N168" s="7">
        <f t="shared" si="32"/>
        <v>0</v>
      </c>
      <c r="O168" s="7">
        <f t="shared" si="31"/>
        <v>80000</v>
      </c>
      <c r="P168" s="99">
        <f t="shared" si="24"/>
        <v>2.3668639053254437E-2</v>
      </c>
      <c r="Q168" s="99">
        <f t="shared" si="33"/>
        <v>-1.1738982194337135E-2</v>
      </c>
      <c r="S168" s="7">
        <f t="shared" si="25"/>
        <v>3806000.0000000005</v>
      </c>
      <c r="T168" s="7">
        <f t="shared" si="26"/>
        <v>1153333.3333333333</v>
      </c>
      <c r="U168" s="7">
        <f t="shared" si="27"/>
        <v>5930000</v>
      </c>
      <c r="V168" s="7">
        <f t="shared" si="28"/>
        <v>0</v>
      </c>
      <c r="W168" s="7">
        <f t="shared" si="29"/>
        <v>0</v>
      </c>
      <c r="X168" s="7">
        <f t="shared" si="30"/>
        <v>0</v>
      </c>
    </row>
    <row r="169" spans="1:24">
      <c r="A169">
        <v>168</v>
      </c>
      <c r="B169" s="96" t="s">
        <v>3435</v>
      </c>
      <c r="C169" s="95">
        <v>40490</v>
      </c>
      <c r="D169" s="82">
        <v>3460000</v>
      </c>
      <c r="E169" s="82">
        <v>3460000</v>
      </c>
      <c r="F169" s="82">
        <v>3460000</v>
      </c>
      <c r="G169" s="82">
        <v>3460000</v>
      </c>
      <c r="I169" s="97">
        <v>0</v>
      </c>
      <c r="J169" s="97">
        <v>0</v>
      </c>
      <c r="K169" s="97">
        <v>0</v>
      </c>
      <c r="M169" s="7">
        <f t="shared" si="23"/>
        <v>0</v>
      </c>
      <c r="N169" s="7">
        <f t="shared" si="32"/>
        <v>0</v>
      </c>
      <c r="O169" s="7">
        <f t="shared" si="31"/>
        <v>0</v>
      </c>
      <c r="P169" s="99">
        <f t="shared" si="24"/>
        <v>0</v>
      </c>
      <c r="Q169" s="99">
        <f t="shared" si="33"/>
        <v>1.7777610075291571E-2</v>
      </c>
      <c r="S169" s="7">
        <f t="shared" si="25"/>
        <v>3806000.0000000005</v>
      </c>
      <c r="T169" s="7">
        <f t="shared" si="26"/>
        <v>1153333.3333333333</v>
      </c>
      <c r="U169" s="7">
        <f t="shared" si="27"/>
        <v>5900000</v>
      </c>
      <c r="V169" s="7">
        <f t="shared" si="28"/>
        <v>0</v>
      </c>
      <c r="W169" s="7">
        <f t="shared" si="29"/>
        <v>0</v>
      </c>
      <c r="X169" s="7">
        <f t="shared" si="30"/>
        <v>0</v>
      </c>
    </row>
    <row r="170" spans="1:24">
      <c r="A170">
        <v>169</v>
      </c>
      <c r="B170" s="96" t="s">
        <v>3434</v>
      </c>
      <c r="C170" s="95">
        <v>40491</v>
      </c>
      <c r="D170" s="82">
        <v>3460000</v>
      </c>
      <c r="E170" s="82">
        <v>3460000</v>
      </c>
      <c r="F170" s="82">
        <v>3460000</v>
      </c>
      <c r="G170" s="82">
        <v>3460000</v>
      </c>
      <c r="I170" s="97">
        <v>0</v>
      </c>
      <c r="J170" s="97">
        <v>0</v>
      </c>
      <c r="K170" s="97">
        <v>0</v>
      </c>
      <c r="M170" s="7">
        <f t="shared" si="23"/>
        <v>0</v>
      </c>
      <c r="N170" s="7">
        <f t="shared" si="32"/>
        <v>0</v>
      </c>
      <c r="O170" s="7">
        <f t="shared" si="31"/>
        <v>0</v>
      </c>
      <c r="P170" s="99">
        <f t="shared" si="24"/>
        <v>0</v>
      </c>
      <c r="Q170" s="99">
        <f t="shared" si="33"/>
        <v>1.7777610075291571E-2</v>
      </c>
      <c r="S170" s="7">
        <f t="shared" si="25"/>
        <v>3806000.0000000005</v>
      </c>
      <c r="T170" s="7">
        <f t="shared" si="26"/>
        <v>1153333.3333333333</v>
      </c>
      <c r="U170" s="7">
        <f t="shared" si="27"/>
        <v>5920000</v>
      </c>
      <c r="V170" s="7">
        <f t="shared" si="28"/>
        <v>0</v>
      </c>
      <c r="W170" s="7">
        <f t="shared" si="29"/>
        <v>0</v>
      </c>
      <c r="X170" s="7">
        <f t="shared" si="30"/>
        <v>0</v>
      </c>
    </row>
    <row r="171" spans="1:24">
      <c r="A171">
        <v>170</v>
      </c>
      <c r="B171" s="96" t="s">
        <v>3433</v>
      </c>
      <c r="C171" s="95">
        <v>40492</v>
      </c>
      <c r="D171" s="82">
        <v>3500000</v>
      </c>
      <c r="E171" s="82">
        <v>3500000</v>
      </c>
      <c r="F171" s="82">
        <v>3500000</v>
      </c>
      <c r="G171" s="82">
        <v>3500000</v>
      </c>
      <c r="I171" s="98">
        <v>0</v>
      </c>
      <c r="J171" s="98">
        <v>0</v>
      </c>
      <c r="K171" s="98">
        <v>0</v>
      </c>
      <c r="M171" s="7">
        <f t="shared" si="23"/>
        <v>0</v>
      </c>
      <c r="N171" s="7">
        <f t="shared" si="32"/>
        <v>0</v>
      </c>
      <c r="O171" s="7">
        <f t="shared" si="31"/>
        <v>40000</v>
      </c>
      <c r="P171" s="99">
        <f t="shared" si="24"/>
        <v>1.1560693641618497E-2</v>
      </c>
      <c r="Q171" s="99">
        <f t="shared" si="33"/>
        <v>1.7777610075291571E-2</v>
      </c>
      <c r="S171" s="7">
        <f t="shared" si="25"/>
        <v>3850000.0000000005</v>
      </c>
      <c r="T171" s="7">
        <f t="shared" si="26"/>
        <v>1166666.6666666667</v>
      </c>
      <c r="U171" s="7">
        <f t="shared" si="27"/>
        <v>5930000</v>
      </c>
      <c r="V171" s="7">
        <f t="shared" si="28"/>
        <v>0</v>
      </c>
      <c r="W171" s="7">
        <f t="shared" si="29"/>
        <v>0</v>
      </c>
      <c r="X171" s="7">
        <f t="shared" si="30"/>
        <v>0</v>
      </c>
    </row>
    <row r="172" spans="1:24">
      <c r="A172">
        <v>171</v>
      </c>
      <c r="B172" s="96" t="s">
        <v>3432</v>
      </c>
      <c r="C172" s="95">
        <v>40493</v>
      </c>
      <c r="D172" s="82">
        <v>3470000</v>
      </c>
      <c r="E172" s="82">
        <v>3470000</v>
      </c>
      <c r="F172" s="82">
        <v>3470000</v>
      </c>
      <c r="G172" s="82">
        <v>3470000</v>
      </c>
      <c r="I172" s="82">
        <f>G172*1.1</f>
        <v>3817000.0000000005</v>
      </c>
      <c r="J172" s="82">
        <f>G172/3</f>
        <v>1156666.6666666667</v>
      </c>
      <c r="K172" s="7">
        <f>G440</f>
        <v>5910000</v>
      </c>
      <c r="L172" s="7">
        <f>K172-I172</f>
        <v>2092999.9999999995</v>
      </c>
      <c r="M172" s="7">
        <f t="shared" si="23"/>
        <v>144583.33333333334</v>
      </c>
      <c r="N172" s="7">
        <f t="shared" si="32"/>
        <v>2237583.333333333</v>
      </c>
      <c r="O172" s="7">
        <f t="shared" si="31"/>
        <v>-30000</v>
      </c>
      <c r="P172" s="99">
        <f t="shared" si="24"/>
        <v>-8.5714285714285719E-3</v>
      </c>
      <c r="Q172" s="99">
        <f t="shared" si="33"/>
        <v>3.2279480187498301E-2</v>
      </c>
      <c r="R172">
        <v>1</v>
      </c>
      <c r="S172" s="7">
        <f t="shared" si="25"/>
        <v>3817000.0000000005</v>
      </c>
      <c r="T172" s="7">
        <f t="shared" si="26"/>
        <v>1156666.6666666667</v>
      </c>
      <c r="U172" s="7">
        <f t="shared" si="27"/>
        <v>5910000</v>
      </c>
      <c r="V172" s="7">
        <f t="shared" si="28"/>
        <v>2092999.9999999995</v>
      </c>
      <c r="W172" s="7">
        <f t="shared" si="29"/>
        <v>144583.33333333334</v>
      </c>
      <c r="X172" s="7">
        <f t="shared" si="30"/>
        <v>2237583.333333333</v>
      </c>
    </row>
    <row r="173" spans="1:24">
      <c r="A173">
        <v>172</v>
      </c>
      <c r="B173" s="96" t="s">
        <v>3431</v>
      </c>
      <c r="C173" s="95">
        <v>40495</v>
      </c>
      <c r="D173" s="82">
        <v>3480000</v>
      </c>
      <c r="E173" s="82">
        <v>3480000</v>
      </c>
      <c r="F173" s="82">
        <v>3480000</v>
      </c>
      <c r="G173" s="82">
        <v>3480000</v>
      </c>
      <c r="I173" s="97">
        <v>0</v>
      </c>
      <c r="J173" s="97">
        <v>0</v>
      </c>
      <c r="K173" s="97">
        <v>0</v>
      </c>
      <c r="M173" s="7">
        <f t="shared" si="23"/>
        <v>0</v>
      </c>
      <c r="N173" s="7">
        <f t="shared" si="32"/>
        <v>0</v>
      </c>
      <c r="O173" s="7">
        <f t="shared" si="31"/>
        <v>10000</v>
      </c>
      <c r="P173" s="99">
        <f t="shared" si="24"/>
        <v>2.881844380403458E-3</v>
      </c>
      <c r="Q173" s="99">
        <f t="shared" si="33"/>
        <v>2.6657904123444362E-2</v>
      </c>
      <c r="S173" s="7">
        <f t="shared" si="25"/>
        <v>3828000.0000000005</v>
      </c>
      <c r="T173" s="7">
        <f t="shared" si="26"/>
        <v>1160000</v>
      </c>
      <c r="U173" s="7">
        <f t="shared" si="27"/>
        <v>5920000</v>
      </c>
      <c r="V173" s="7">
        <f t="shared" si="28"/>
        <v>0</v>
      </c>
      <c r="W173" s="7">
        <f t="shared" si="29"/>
        <v>0</v>
      </c>
      <c r="X173" s="7">
        <f t="shared" si="30"/>
        <v>0</v>
      </c>
    </row>
    <row r="174" spans="1:24">
      <c r="A174">
        <v>173</v>
      </c>
      <c r="B174" s="96" t="s">
        <v>3430</v>
      </c>
      <c r="C174" s="95">
        <v>40496</v>
      </c>
      <c r="D174" s="82">
        <v>3410000</v>
      </c>
      <c r="E174" s="82">
        <v>3410000</v>
      </c>
      <c r="F174" s="82">
        <v>3410000</v>
      </c>
      <c r="G174" s="82">
        <v>3410000</v>
      </c>
      <c r="I174" s="97">
        <v>0</v>
      </c>
      <c r="J174" s="97">
        <v>0</v>
      </c>
      <c r="K174" s="97">
        <v>0</v>
      </c>
      <c r="M174" s="7">
        <f t="shared" si="23"/>
        <v>0</v>
      </c>
      <c r="N174" s="7">
        <f t="shared" si="32"/>
        <v>0</v>
      </c>
      <c r="O174" s="7">
        <f t="shared" si="31"/>
        <v>-70000</v>
      </c>
      <c r="P174" s="99">
        <f t="shared" si="24"/>
        <v>-2.0114942528735632E-2</v>
      </c>
      <c r="Q174" s="99">
        <f t="shared" si="33"/>
        <v>5.8711094505933831E-3</v>
      </c>
      <c r="S174" s="7">
        <f t="shared" si="25"/>
        <v>3751000.0000000005</v>
      </c>
      <c r="T174" s="7">
        <f t="shared" si="26"/>
        <v>1136666.6666666667</v>
      </c>
      <c r="U174" s="7">
        <f t="shared" si="27"/>
        <v>6060000</v>
      </c>
      <c r="V174" s="7">
        <f t="shared" si="28"/>
        <v>0</v>
      </c>
      <c r="W174" s="7">
        <f t="shared" si="29"/>
        <v>0</v>
      </c>
      <c r="X174" s="7">
        <f t="shared" si="30"/>
        <v>0</v>
      </c>
    </row>
    <row r="175" spans="1:24">
      <c r="A175">
        <v>174</v>
      </c>
      <c r="B175" s="96" t="s">
        <v>3429</v>
      </c>
      <c r="C175" s="95">
        <v>40497</v>
      </c>
      <c r="D175" s="82">
        <v>3420000</v>
      </c>
      <c r="E175" s="82">
        <v>3420000</v>
      </c>
      <c r="F175" s="82">
        <v>3420000</v>
      </c>
      <c r="G175" s="82">
        <v>3420000</v>
      </c>
      <c r="I175" s="97">
        <v>0</v>
      </c>
      <c r="J175" s="97">
        <v>0</v>
      </c>
      <c r="K175" s="97">
        <v>0</v>
      </c>
      <c r="M175" s="7">
        <f t="shared" si="23"/>
        <v>0</v>
      </c>
      <c r="N175" s="7">
        <f t="shared" si="32"/>
        <v>0</v>
      </c>
      <c r="O175" s="7">
        <f t="shared" si="31"/>
        <v>10000</v>
      </c>
      <c r="P175" s="99">
        <f t="shared" si="24"/>
        <v>2.9325513196480938E-3</v>
      </c>
      <c r="Q175" s="99">
        <f t="shared" si="33"/>
        <v>-1.4243833078142249E-2</v>
      </c>
      <c r="S175" s="7">
        <f t="shared" si="25"/>
        <v>3762000.0000000005</v>
      </c>
      <c r="T175" s="7">
        <f t="shared" si="26"/>
        <v>1140000</v>
      </c>
      <c r="U175" s="7">
        <f t="shared" si="27"/>
        <v>6100000</v>
      </c>
      <c r="V175" s="7">
        <f t="shared" si="28"/>
        <v>0</v>
      </c>
      <c r="W175" s="7">
        <f t="shared" si="29"/>
        <v>0</v>
      </c>
      <c r="X175" s="7">
        <f t="shared" si="30"/>
        <v>0</v>
      </c>
    </row>
    <row r="176" spans="1:24">
      <c r="A176">
        <v>175</v>
      </c>
      <c r="B176" s="96" t="s">
        <v>3428</v>
      </c>
      <c r="C176" s="95">
        <v>40498</v>
      </c>
      <c r="D176" s="82">
        <v>3420000</v>
      </c>
      <c r="E176" s="82">
        <v>3420000</v>
      </c>
      <c r="F176" s="82">
        <v>3420000</v>
      </c>
      <c r="G176" s="82">
        <v>3420000</v>
      </c>
      <c r="I176" s="98">
        <v>0</v>
      </c>
      <c r="J176" s="98">
        <v>0</v>
      </c>
      <c r="K176" s="98">
        <v>0</v>
      </c>
      <c r="M176" s="7">
        <f t="shared" si="23"/>
        <v>0</v>
      </c>
      <c r="N176" s="7">
        <f t="shared" si="32"/>
        <v>0</v>
      </c>
      <c r="O176" s="7">
        <f t="shared" si="31"/>
        <v>0</v>
      </c>
      <c r="P176" s="99">
        <f t="shared" si="24"/>
        <v>0</v>
      </c>
      <c r="Q176" s="99">
        <f t="shared" si="33"/>
        <v>-1.1311281758494156E-2</v>
      </c>
      <c r="S176" s="7">
        <f t="shared" si="25"/>
        <v>3762000.0000000005</v>
      </c>
      <c r="T176" s="7">
        <f t="shared" si="26"/>
        <v>1140000</v>
      </c>
      <c r="U176" s="7">
        <f t="shared" si="27"/>
        <v>6100000</v>
      </c>
      <c r="V176" s="7">
        <f t="shared" si="28"/>
        <v>0</v>
      </c>
      <c r="W176" s="7">
        <f t="shared" si="29"/>
        <v>0</v>
      </c>
      <c r="X176" s="7">
        <f t="shared" si="30"/>
        <v>0</v>
      </c>
    </row>
    <row r="177" spans="1:24">
      <c r="A177">
        <v>176</v>
      </c>
      <c r="B177" s="96" t="s">
        <v>3427</v>
      </c>
      <c r="C177" s="95">
        <v>40500</v>
      </c>
      <c r="D177" s="82">
        <v>3420000</v>
      </c>
      <c r="E177" s="82">
        <v>3420000</v>
      </c>
      <c r="F177" s="82">
        <v>3420000</v>
      </c>
      <c r="G177" s="82">
        <v>3420000</v>
      </c>
      <c r="I177" s="82">
        <f>G177*1.1</f>
        <v>3762000.0000000005</v>
      </c>
      <c r="J177" s="82">
        <f>G177/3</f>
        <v>1140000</v>
      </c>
      <c r="K177" s="7">
        <f>G445</f>
        <v>6170000</v>
      </c>
      <c r="L177" s="7">
        <f>K177-I177</f>
        <v>2407999.9999999995</v>
      </c>
      <c r="M177" s="7">
        <f t="shared" si="23"/>
        <v>142500</v>
      </c>
      <c r="N177" s="7">
        <f t="shared" si="32"/>
        <v>2550499.9999999995</v>
      </c>
      <c r="O177" s="7">
        <f t="shared" si="31"/>
        <v>0</v>
      </c>
      <c r="P177" s="99">
        <f t="shared" si="24"/>
        <v>0</v>
      </c>
      <c r="Q177" s="99">
        <f t="shared" si="33"/>
        <v>-2.2871975400112651E-2</v>
      </c>
      <c r="R177">
        <v>1</v>
      </c>
      <c r="S177" s="7">
        <f t="shared" si="25"/>
        <v>3762000.0000000005</v>
      </c>
      <c r="T177" s="7">
        <f t="shared" si="26"/>
        <v>1140000</v>
      </c>
      <c r="U177" s="7">
        <f t="shared" si="27"/>
        <v>6170000</v>
      </c>
      <c r="V177" s="7">
        <f t="shared" si="28"/>
        <v>2407999.9999999995</v>
      </c>
      <c r="W177" s="7">
        <f t="shared" si="29"/>
        <v>142500</v>
      </c>
      <c r="X177" s="7">
        <f t="shared" si="30"/>
        <v>2550499.9999999995</v>
      </c>
    </row>
    <row r="178" spans="1:24">
      <c r="A178">
        <v>177</v>
      </c>
      <c r="B178" s="96" t="s">
        <v>3426</v>
      </c>
      <c r="C178" s="95">
        <v>40502</v>
      </c>
      <c r="D178" s="82">
        <v>3410000</v>
      </c>
      <c r="E178" s="82">
        <v>3410000</v>
      </c>
      <c r="F178" s="82">
        <v>3410000</v>
      </c>
      <c r="G178" s="82">
        <v>3410000</v>
      </c>
      <c r="I178" s="97">
        <v>0</v>
      </c>
      <c r="J178" s="97">
        <v>0</v>
      </c>
      <c r="K178" s="97">
        <v>0</v>
      </c>
      <c r="M178" s="7">
        <f t="shared" si="23"/>
        <v>0</v>
      </c>
      <c r="N178" s="7">
        <f t="shared" si="32"/>
        <v>0</v>
      </c>
      <c r="O178" s="7">
        <f t="shared" si="31"/>
        <v>-10000</v>
      </c>
      <c r="P178" s="99">
        <f t="shared" si="24"/>
        <v>-2.9239766081871343E-3</v>
      </c>
      <c r="Q178" s="99">
        <f t="shared" si="33"/>
        <v>-1.430054682868408E-2</v>
      </c>
      <c r="S178" s="7">
        <f t="shared" si="25"/>
        <v>3751000.0000000005</v>
      </c>
      <c r="T178" s="7">
        <f t="shared" si="26"/>
        <v>1136666.6666666667</v>
      </c>
      <c r="U178" s="7">
        <f t="shared" si="27"/>
        <v>6180000</v>
      </c>
      <c r="V178" s="7">
        <f t="shared" si="28"/>
        <v>0</v>
      </c>
      <c r="W178" s="7">
        <f t="shared" si="29"/>
        <v>0</v>
      </c>
      <c r="X178" s="7">
        <f t="shared" si="30"/>
        <v>0</v>
      </c>
    </row>
    <row r="179" spans="1:24">
      <c r="A179">
        <v>178</v>
      </c>
      <c r="B179" s="96" t="s">
        <v>3425</v>
      </c>
      <c r="C179" s="95">
        <v>40504</v>
      </c>
      <c r="D179" s="82">
        <v>3400000</v>
      </c>
      <c r="E179" s="82">
        <v>3400000</v>
      </c>
      <c r="F179" s="82">
        <v>3400000</v>
      </c>
      <c r="G179" s="82">
        <v>3400000</v>
      </c>
      <c r="I179" s="97">
        <v>0</v>
      </c>
      <c r="J179" s="97">
        <v>0</v>
      </c>
      <c r="K179" s="97">
        <v>0</v>
      </c>
      <c r="M179" s="7">
        <f t="shared" si="23"/>
        <v>0</v>
      </c>
      <c r="N179" s="7">
        <f t="shared" si="32"/>
        <v>0</v>
      </c>
      <c r="O179" s="7">
        <f t="shared" si="31"/>
        <v>-10000</v>
      </c>
      <c r="P179" s="99">
        <f t="shared" si="24"/>
        <v>-2.9325513196480938E-3</v>
      </c>
      <c r="Q179" s="99">
        <f t="shared" si="33"/>
        <v>-2.0106367817274672E-2</v>
      </c>
      <c r="S179" s="7">
        <f t="shared" si="25"/>
        <v>3740000.0000000005</v>
      </c>
      <c r="T179" s="7">
        <f t="shared" si="26"/>
        <v>1133333.3333333333</v>
      </c>
      <c r="U179" s="7">
        <f t="shared" si="27"/>
        <v>6170000</v>
      </c>
      <c r="V179" s="7">
        <f t="shared" si="28"/>
        <v>0</v>
      </c>
      <c r="W179" s="7">
        <f t="shared" si="29"/>
        <v>0</v>
      </c>
      <c r="X179" s="7">
        <f t="shared" si="30"/>
        <v>0</v>
      </c>
    </row>
    <row r="180" spans="1:24">
      <c r="A180">
        <v>179</v>
      </c>
      <c r="B180" s="96" t="s">
        <v>3424</v>
      </c>
      <c r="C180" s="95">
        <v>40505</v>
      </c>
      <c r="D180" s="82">
        <v>3410000</v>
      </c>
      <c r="E180" s="82">
        <v>3410000</v>
      </c>
      <c r="F180" s="82">
        <v>3410000</v>
      </c>
      <c r="G180" s="82">
        <v>3410000</v>
      </c>
      <c r="I180" s="97">
        <v>0</v>
      </c>
      <c r="J180" s="97">
        <v>0</v>
      </c>
      <c r="K180" s="97">
        <v>0</v>
      </c>
      <c r="M180" s="7">
        <f t="shared" si="23"/>
        <v>0</v>
      </c>
      <c r="N180" s="7">
        <f t="shared" si="32"/>
        <v>0</v>
      </c>
      <c r="O180" s="7">
        <f t="shared" si="31"/>
        <v>10000</v>
      </c>
      <c r="P180" s="99">
        <f t="shared" si="24"/>
        <v>2.9411764705882353E-3</v>
      </c>
      <c r="Q180" s="99">
        <f t="shared" si="33"/>
        <v>-2.9239766081871343E-3</v>
      </c>
      <c r="S180" s="7">
        <f t="shared" si="25"/>
        <v>3751000.0000000005</v>
      </c>
      <c r="T180" s="7">
        <f t="shared" si="26"/>
        <v>1136666.6666666667</v>
      </c>
      <c r="U180" s="7">
        <f t="shared" si="27"/>
        <v>6180000</v>
      </c>
      <c r="V180" s="7">
        <f t="shared" si="28"/>
        <v>0</v>
      </c>
      <c r="W180" s="7">
        <f t="shared" si="29"/>
        <v>0</v>
      </c>
      <c r="X180" s="7">
        <f t="shared" si="30"/>
        <v>0</v>
      </c>
    </row>
    <row r="181" spans="1:24">
      <c r="A181">
        <v>180</v>
      </c>
      <c r="B181" s="96" t="s">
        <v>3423</v>
      </c>
      <c r="C181" s="95">
        <v>40506</v>
      </c>
      <c r="D181" s="82">
        <v>3410000</v>
      </c>
      <c r="E181" s="82">
        <v>3410000</v>
      </c>
      <c r="F181" s="82">
        <v>3410000</v>
      </c>
      <c r="G181" s="82">
        <v>3410000</v>
      </c>
      <c r="I181" s="98">
        <v>0</v>
      </c>
      <c r="J181" s="98">
        <v>0</v>
      </c>
      <c r="K181" s="98">
        <v>0</v>
      </c>
      <c r="M181" s="7">
        <f t="shared" si="23"/>
        <v>0</v>
      </c>
      <c r="N181" s="7">
        <f t="shared" si="32"/>
        <v>0</v>
      </c>
      <c r="O181" s="7">
        <f t="shared" si="31"/>
        <v>0</v>
      </c>
      <c r="P181" s="99">
        <f t="shared" si="24"/>
        <v>0</v>
      </c>
      <c r="Q181" s="99">
        <f t="shared" si="33"/>
        <v>-2.9153514572469929E-3</v>
      </c>
      <c r="S181" s="7">
        <f t="shared" si="25"/>
        <v>3751000.0000000005</v>
      </c>
      <c r="T181" s="7">
        <f t="shared" si="26"/>
        <v>1136666.6666666667</v>
      </c>
      <c r="U181" s="7">
        <f t="shared" si="27"/>
        <v>6160000</v>
      </c>
      <c r="V181" s="7">
        <f t="shared" si="28"/>
        <v>0</v>
      </c>
      <c r="W181" s="7">
        <f t="shared" si="29"/>
        <v>0</v>
      </c>
      <c r="X181" s="7">
        <f t="shared" si="30"/>
        <v>0</v>
      </c>
    </row>
    <row r="182" spans="1:24">
      <c r="A182">
        <v>181</v>
      </c>
      <c r="B182" s="96" t="s">
        <v>3422</v>
      </c>
      <c r="C182" s="95">
        <v>40509</v>
      </c>
      <c r="D182" s="82">
        <v>3420000</v>
      </c>
      <c r="E182" s="82">
        <v>3420000</v>
      </c>
      <c r="F182" s="82">
        <v>3420000</v>
      </c>
      <c r="G182" s="82">
        <v>3420000</v>
      </c>
      <c r="I182" s="82">
        <f>G182*1.1</f>
        <v>3762000.0000000005</v>
      </c>
      <c r="J182" s="82">
        <f>G182/3</f>
        <v>1140000</v>
      </c>
      <c r="K182" s="7">
        <f>G450</f>
        <v>6120000</v>
      </c>
      <c r="L182" s="7">
        <f>K182-I182</f>
        <v>2357999.9999999995</v>
      </c>
      <c r="M182" s="7">
        <f t="shared" si="23"/>
        <v>142500</v>
      </c>
      <c r="N182" s="7">
        <f t="shared" si="32"/>
        <v>2500499.9999999995</v>
      </c>
      <c r="O182" s="7">
        <f t="shared" si="31"/>
        <v>10000</v>
      </c>
      <c r="P182" s="99">
        <f t="shared" si="24"/>
        <v>2.9325513196480938E-3</v>
      </c>
      <c r="Q182" s="99">
        <f t="shared" si="33"/>
        <v>-2.9153514572469929E-3</v>
      </c>
      <c r="R182">
        <v>1</v>
      </c>
      <c r="S182" s="7">
        <f t="shared" si="25"/>
        <v>3762000.0000000005</v>
      </c>
      <c r="T182" s="7">
        <f t="shared" si="26"/>
        <v>1140000</v>
      </c>
      <c r="U182" s="7">
        <f t="shared" si="27"/>
        <v>6120000</v>
      </c>
      <c r="V182" s="7">
        <f t="shared" si="28"/>
        <v>2357999.9999999995</v>
      </c>
      <c r="W182" s="7">
        <f t="shared" si="29"/>
        <v>142500</v>
      </c>
      <c r="X182" s="7">
        <f t="shared" si="30"/>
        <v>2500499.9999999995</v>
      </c>
    </row>
    <row r="183" spans="1:24">
      <c r="A183">
        <v>182</v>
      </c>
      <c r="B183" s="96" t="s">
        <v>3421</v>
      </c>
      <c r="C183" s="95">
        <v>40510</v>
      </c>
      <c r="D183" s="82">
        <v>3400000</v>
      </c>
      <c r="E183" s="82">
        <v>3400000</v>
      </c>
      <c r="F183" s="82">
        <v>3400000</v>
      </c>
      <c r="G183" s="82">
        <v>3400000</v>
      </c>
      <c r="I183" s="97">
        <v>0</v>
      </c>
      <c r="J183" s="97">
        <v>0</v>
      </c>
      <c r="K183" s="97">
        <v>0</v>
      </c>
      <c r="M183" s="7">
        <f t="shared" si="23"/>
        <v>0</v>
      </c>
      <c r="N183" s="7">
        <f t="shared" si="32"/>
        <v>0</v>
      </c>
      <c r="O183" s="7">
        <f t="shared" si="31"/>
        <v>-20000</v>
      </c>
      <c r="P183" s="99">
        <f t="shared" si="24"/>
        <v>-5.8479532163742687E-3</v>
      </c>
      <c r="Q183" s="99">
        <f t="shared" si="33"/>
        <v>1.7199862401100913E-5</v>
      </c>
      <c r="S183" s="7">
        <f t="shared" si="25"/>
        <v>3740000.0000000005</v>
      </c>
      <c r="T183" s="7">
        <f t="shared" si="26"/>
        <v>1133333.3333333333</v>
      </c>
      <c r="U183" s="7">
        <f t="shared" si="27"/>
        <v>6050000</v>
      </c>
      <c r="V183" s="7">
        <f t="shared" si="28"/>
        <v>0</v>
      </c>
      <c r="W183" s="7">
        <f t="shared" si="29"/>
        <v>0</v>
      </c>
      <c r="X183" s="7">
        <f t="shared" si="30"/>
        <v>0</v>
      </c>
    </row>
    <row r="184" spans="1:24">
      <c r="A184">
        <v>183</v>
      </c>
      <c r="B184" s="96" t="s">
        <v>3420</v>
      </c>
      <c r="C184" s="95">
        <v>40511</v>
      </c>
      <c r="D184" s="82">
        <v>3400000</v>
      </c>
      <c r="E184" s="82">
        <v>3400000</v>
      </c>
      <c r="F184" s="82">
        <v>3400000</v>
      </c>
      <c r="G184" s="82">
        <v>3400000</v>
      </c>
      <c r="I184" s="97">
        <v>0</v>
      </c>
      <c r="J184" s="97">
        <v>0</v>
      </c>
      <c r="K184" s="97">
        <v>0</v>
      </c>
      <c r="M184" s="7">
        <f t="shared" si="23"/>
        <v>0</v>
      </c>
      <c r="N184" s="7">
        <f t="shared" si="32"/>
        <v>0</v>
      </c>
      <c r="O184" s="7">
        <f t="shared" si="31"/>
        <v>0</v>
      </c>
      <c r="P184" s="99">
        <f t="shared" si="24"/>
        <v>0</v>
      </c>
      <c r="Q184" s="99">
        <f t="shared" si="33"/>
        <v>-2.9067767457860334E-3</v>
      </c>
      <c r="S184" s="7">
        <f t="shared" si="25"/>
        <v>3740000.0000000005</v>
      </c>
      <c r="T184" s="7">
        <f t="shared" si="26"/>
        <v>1133333.3333333333</v>
      </c>
      <c r="U184" s="7">
        <f t="shared" si="27"/>
        <v>6000000</v>
      </c>
      <c r="V184" s="7">
        <f t="shared" si="28"/>
        <v>0</v>
      </c>
      <c r="W184" s="7">
        <f t="shared" si="29"/>
        <v>0</v>
      </c>
      <c r="X184" s="7">
        <f t="shared" si="30"/>
        <v>0</v>
      </c>
    </row>
    <row r="185" spans="1:24">
      <c r="A185">
        <v>184</v>
      </c>
      <c r="B185" s="96" t="s">
        <v>3419</v>
      </c>
      <c r="C185" s="95">
        <v>40512</v>
      </c>
      <c r="D185" s="82">
        <v>3410000</v>
      </c>
      <c r="E185" s="82">
        <v>3410000</v>
      </c>
      <c r="F185" s="82">
        <v>3410000</v>
      </c>
      <c r="G185" s="82">
        <v>3410000</v>
      </c>
      <c r="I185" s="97">
        <v>0</v>
      </c>
      <c r="J185" s="97">
        <v>0</v>
      </c>
      <c r="K185" s="97">
        <v>0</v>
      </c>
      <c r="M185" s="7">
        <f t="shared" si="23"/>
        <v>0</v>
      </c>
      <c r="N185" s="7">
        <f t="shared" si="32"/>
        <v>0</v>
      </c>
      <c r="O185" s="7">
        <f t="shared" si="31"/>
        <v>10000</v>
      </c>
      <c r="P185" s="99">
        <f t="shared" si="24"/>
        <v>2.9411764705882353E-3</v>
      </c>
      <c r="Q185" s="99">
        <f t="shared" si="33"/>
        <v>2.5774573862060411E-5</v>
      </c>
      <c r="S185" s="7">
        <f t="shared" si="25"/>
        <v>3751000.0000000005</v>
      </c>
      <c r="T185" s="7">
        <f t="shared" si="26"/>
        <v>1136666.6666666667</v>
      </c>
      <c r="U185" s="7">
        <f t="shared" si="27"/>
        <v>6100000</v>
      </c>
      <c r="V185" s="7">
        <f t="shared" si="28"/>
        <v>0</v>
      </c>
      <c r="W185" s="7">
        <f t="shared" si="29"/>
        <v>0</v>
      </c>
      <c r="X185" s="7">
        <f t="shared" si="30"/>
        <v>0</v>
      </c>
    </row>
    <row r="186" spans="1:24">
      <c r="A186">
        <v>185</v>
      </c>
      <c r="B186" s="96" t="s">
        <v>3418</v>
      </c>
      <c r="C186" s="95">
        <v>40513</v>
      </c>
      <c r="D186" s="82">
        <v>3410000</v>
      </c>
      <c r="E186" s="82">
        <v>3410000</v>
      </c>
      <c r="F186" s="82">
        <v>3410000</v>
      </c>
      <c r="G186" s="82">
        <v>3410000</v>
      </c>
      <c r="I186" s="98">
        <v>0</v>
      </c>
      <c r="J186" s="98">
        <v>0</v>
      </c>
      <c r="K186" s="98">
        <v>0</v>
      </c>
      <c r="M186" s="7">
        <f t="shared" si="23"/>
        <v>0</v>
      </c>
      <c r="N186" s="7">
        <f t="shared" si="32"/>
        <v>0</v>
      </c>
      <c r="O186" s="7">
        <f t="shared" si="31"/>
        <v>0</v>
      </c>
      <c r="P186" s="99">
        <f t="shared" si="24"/>
        <v>0</v>
      </c>
      <c r="Q186" s="99">
        <f t="shared" si="33"/>
        <v>2.5774573862060411E-5</v>
      </c>
      <c r="S186" s="7">
        <f t="shared" si="25"/>
        <v>3751000.0000000005</v>
      </c>
      <c r="T186" s="7">
        <f t="shared" si="26"/>
        <v>1136666.6666666667</v>
      </c>
      <c r="U186" s="7">
        <f t="shared" si="27"/>
        <v>6150000</v>
      </c>
      <c r="V186" s="7">
        <f t="shared" si="28"/>
        <v>0</v>
      </c>
      <c r="W186" s="7">
        <f t="shared" si="29"/>
        <v>0</v>
      </c>
      <c r="X186" s="7">
        <f t="shared" si="30"/>
        <v>0</v>
      </c>
    </row>
    <row r="187" spans="1:24">
      <c r="A187">
        <v>186</v>
      </c>
      <c r="B187" s="96" t="s">
        <v>3417</v>
      </c>
      <c r="C187" s="95">
        <v>40517</v>
      </c>
      <c r="D187" s="82">
        <v>3500000</v>
      </c>
      <c r="E187" s="82">
        <v>3500000</v>
      </c>
      <c r="F187" s="82">
        <v>3500000</v>
      </c>
      <c r="G187" s="82">
        <v>3500000</v>
      </c>
      <c r="I187" s="82">
        <f>G187*1.1</f>
        <v>3850000.0000000005</v>
      </c>
      <c r="J187" s="82">
        <f>G187/3</f>
        <v>1166666.6666666667</v>
      </c>
      <c r="K187" s="7">
        <f>G455</f>
        <v>6200000</v>
      </c>
      <c r="L187" s="7">
        <f>K187-I187</f>
        <v>2349999.9999999995</v>
      </c>
      <c r="M187" s="7">
        <f t="shared" si="23"/>
        <v>145833.33333333334</v>
      </c>
      <c r="N187" s="7">
        <f t="shared" si="32"/>
        <v>2495833.333333333</v>
      </c>
      <c r="O187" s="7">
        <f t="shared" si="31"/>
        <v>90000</v>
      </c>
      <c r="P187" s="99">
        <f t="shared" si="24"/>
        <v>2.6392961876832845E-2</v>
      </c>
      <c r="Q187" s="99">
        <f t="shared" si="33"/>
        <v>2.5774573862060411E-5</v>
      </c>
      <c r="R187">
        <v>1</v>
      </c>
      <c r="S187" s="7">
        <f t="shared" si="25"/>
        <v>3850000.0000000005</v>
      </c>
      <c r="T187" s="7">
        <f t="shared" si="26"/>
        <v>1166666.6666666667</v>
      </c>
      <c r="U187" s="7">
        <f t="shared" si="27"/>
        <v>6200000</v>
      </c>
      <c r="V187" s="7">
        <f t="shared" si="28"/>
        <v>2349999.9999999995</v>
      </c>
      <c r="W187" s="7">
        <f t="shared" si="29"/>
        <v>145833.33333333334</v>
      </c>
      <c r="X187" s="7">
        <f t="shared" si="30"/>
        <v>2495833.333333333</v>
      </c>
    </row>
    <row r="188" spans="1:24">
      <c r="A188">
        <v>187</v>
      </c>
      <c r="B188" s="96" t="s">
        <v>3416</v>
      </c>
      <c r="C188" s="95">
        <v>40518</v>
      </c>
      <c r="D188" s="82">
        <v>3490000</v>
      </c>
      <c r="E188" s="82">
        <v>3490000</v>
      </c>
      <c r="F188" s="82">
        <v>3490000</v>
      </c>
      <c r="G188" s="82">
        <v>3490000</v>
      </c>
      <c r="I188" s="97">
        <v>0</v>
      </c>
      <c r="J188" s="97">
        <v>0</v>
      </c>
      <c r="K188" s="97">
        <v>0</v>
      </c>
      <c r="M188" s="7">
        <f t="shared" si="23"/>
        <v>0</v>
      </c>
      <c r="N188" s="7">
        <f t="shared" si="32"/>
        <v>0</v>
      </c>
      <c r="O188" s="7">
        <f t="shared" si="31"/>
        <v>-10000</v>
      </c>
      <c r="P188" s="99">
        <f t="shared" si="24"/>
        <v>-2.8571428571428571E-3</v>
      </c>
      <c r="Q188" s="99">
        <f t="shared" si="33"/>
        <v>2.3486185131046812E-2</v>
      </c>
      <c r="S188" s="7">
        <f t="shared" si="25"/>
        <v>3839000.0000000005</v>
      </c>
      <c r="T188" s="7">
        <f t="shared" si="26"/>
        <v>1163333.3333333333</v>
      </c>
      <c r="U188" s="7">
        <f t="shared" si="27"/>
        <v>6250000</v>
      </c>
      <c r="V188" s="7">
        <f t="shared" si="28"/>
        <v>0</v>
      </c>
      <c r="W188" s="7">
        <f t="shared" si="29"/>
        <v>0</v>
      </c>
      <c r="X188" s="7">
        <f t="shared" si="30"/>
        <v>0</v>
      </c>
    </row>
    <row r="189" spans="1:24">
      <c r="A189">
        <v>188</v>
      </c>
      <c r="B189" s="96" t="s">
        <v>3415</v>
      </c>
      <c r="C189" s="95">
        <v>40519</v>
      </c>
      <c r="D189" s="82">
        <v>3490000</v>
      </c>
      <c r="E189" s="82">
        <v>3490000</v>
      </c>
      <c r="F189" s="82">
        <v>3490000</v>
      </c>
      <c r="G189" s="82">
        <v>3490000</v>
      </c>
      <c r="I189" s="97">
        <v>0</v>
      </c>
      <c r="J189" s="97">
        <v>0</v>
      </c>
      <c r="K189" s="97">
        <v>0</v>
      </c>
      <c r="M189" s="7">
        <f t="shared" si="23"/>
        <v>0</v>
      </c>
      <c r="N189" s="7">
        <f t="shared" si="32"/>
        <v>0</v>
      </c>
      <c r="O189" s="7">
        <f t="shared" si="31"/>
        <v>0</v>
      </c>
      <c r="P189" s="99">
        <f t="shared" si="24"/>
        <v>0</v>
      </c>
      <c r="Q189" s="99">
        <f t="shared" si="33"/>
        <v>2.6476995490278224E-2</v>
      </c>
      <c r="S189" s="7">
        <f t="shared" si="25"/>
        <v>3839000.0000000005</v>
      </c>
      <c r="T189" s="7">
        <f t="shared" si="26"/>
        <v>1163333.3333333333</v>
      </c>
      <c r="U189" s="7">
        <f t="shared" si="27"/>
        <v>6270000</v>
      </c>
      <c r="V189" s="7">
        <f t="shared" si="28"/>
        <v>0</v>
      </c>
      <c r="W189" s="7">
        <f t="shared" si="29"/>
        <v>0</v>
      </c>
      <c r="X189" s="7">
        <f t="shared" si="30"/>
        <v>0</v>
      </c>
    </row>
    <row r="190" spans="1:24">
      <c r="A190">
        <v>189</v>
      </c>
      <c r="B190" s="96" t="s">
        <v>3414</v>
      </c>
      <c r="C190" s="95">
        <v>40520</v>
      </c>
      <c r="D190" s="82">
        <v>3510000</v>
      </c>
      <c r="E190" s="82">
        <v>3510000</v>
      </c>
      <c r="F190" s="82">
        <v>3510000</v>
      </c>
      <c r="G190" s="82">
        <v>3510000</v>
      </c>
      <c r="I190" s="97">
        <v>0</v>
      </c>
      <c r="J190" s="97">
        <v>0</v>
      </c>
      <c r="K190" s="97">
        <v>0</v>
      </c>
      <c r="M190" s="7">
        <f t="shared" si="23"/>
        <v>0</v>
      </c>
      <c r="N190" s="7">
        <f t="shared" si="32"/>
        <v>0</v>
      </c>
      <c r="O190" s="7">
        <f t="shared" si="31"/>
        <v>20000</v>
      </c>
      <c r="P190" s="99">
        <f t="shared" si="24"/>
        <v>5.7306590257879654E-3</v>
      </c>
      <c r="Q190" s="99">
        <f t="shared" si="33"/>
        <v>2.6476995490278224E-2</v>
      </c>
      <c r="S190" s="7">
        <f t="shared" si="25"/>
        <v>3861000.0000000005</v>
      </c>
      <c r="T190" s="7">
        <f t="shared" si="26"/>
        <v>1170000</v>
      </c>
      <c r="U190" s="7">
        <f t="shared" si="27"/>
        <v>6050000</v>
      </c>
      <c r="V190" s="7">
        <f t="shared" si="28"/>
        <v>0</v>
      </c>
      <c r="W190" s="7">
        <f t="shared" si="29"/>
        <v>0</v>
      </c>
      <c r="X190" s="7">
        <f t="shared" si="30"/>
        <v>0</v>
      </c>
    </row>
    <row r="191" spans="1:24">
      <c r="A191">
        <v>190</v>
      </c>
      <c r="B191" s="96" t="s">
        <v>3413</v>
      </c>
      <c r="C191" s="95">
        <v>40521</v>
      </c>
      <c r="D191" s="82">
        <v>3500000</v>
      </c>
      <c r="E191" s="82">
        <v>3500000</v>
      </c>
      <c r="F191" s="82">
        <v>3500000</v>
      </c>
      <c r="G191" s="82">
        <v>3500000</v>
      </c>
      <c r="I191" s="98">
        <v>0</v>
      </c>
      <c r="J191" s="98">
        <v>0</v>
      </c>
      <c r="K191" s="98">
        <v>0</v>
      </c>
      <c r="M191" s="7">
        <f t="shared" si="23"/>
        <v>0</v>
      </c>
      <c r="N191" s="7">
        <f t="shared" si="32"/>
        <v>0</v>
      </c>
      <c r="O191" s="7">
        <f t="shared" si="31"/>
        <v>-10000</v>
      </c>
      <c r="P191" s="99">
        <f t="shared" si="24"/>
        <v>-2.8490028490028491E-3</v>
      </c>
      <c r="Q191" s="99">
        <f t="shared" si="33"/>
        <v>2.9266478045477953E-2</v>
      </c>
      <c r="S191" s="7">
        <f t="shared" si="25"/>
        <v>3850000.0000000005</v>
      </c>
      <c r="T191" s="7">
        <f t="shared" si="26"/>
        <v>1166666.6666666667</v>
      </c>
      <c r="U191" s="7">
        <f t="shared" si="27"/>
        <v>5900000</v>
      </c>
      <c r="V191" s="7">
        <f t="shared" si="28"/>
        <v>0</v>
      </c>
      <c r="W191" s="7">
        <f t="shared" si="29"/>
        <v>0</v>
      </c>
      <c r="X191" s="7">
        <f t="shared" si="30"/>
        <v>0</v>
      </c>
    </row>
    <row r="192" spans="1:24">
      <c r="A192">
        <v>191</v>
      </c>
      <c r="B192" s="96" t="s">
        <v>3412</v>
      </c>
      <c r="C192" s="95">
        <v>40522</v>
      </c>
      <c r="D192" s="82">
        <v>3470000</v>
      </c>
      <c r="E192" s="82">
        <v>3470000</v>
      </c>
      <c r="F192" s="82">
        <v>3470000</v>
      </c>
      <c r="G192" s="82">
        <v>3470000</v>
      </c>
      <c r="I192" s="82">
        <f>G192*1.1</f>
        <v>3817000.0000000005</v>
      </c>
      <c r="J192" s="82">
        <f>G192/3</f>
        <v>1156666.6666666667</v>
      </c>
      <c r="K192" s="7">
        <f>G460</f>
        <v>6000000</v>
      </c>
      <c r="L192" s="7">
        <f>K192-I192</f>
        <v>2182999.9999999995</v>
      </c>
      <c r="M192" s="7">
        <f t="shared" si="23"/>
        <v>144583.33333333334</v>
      </c>
      <c r="N192" s="7">
        <f t="shared" si="32"/>
        <v>2327583.333333333</v>
      </c>
      <c r="O192" s="7">
        <f t="shared" si="31"/>
        <v>-30000</v>
      </c>
      <c r="P192" s="99">
        <f t="shared" si="24"/>
        <v>-8.5714285714285719E-3</v>
      </c>
      <c r="Q192" s="99">
        <f t="shared" si="33"/>
        <v>2.6417475196475103E-2</v>
      </c>
      <c r="R192">
        <v>1</v>
      </c>
      <c r="S192" s="7">
        <f t="shared" si="25"/>
        <v>3817000.0000000005</v>
      </c>
      <c r="T192" s="7">
        <f t="shared" si="26"/>
        <v>1156666.6666666667</v>
      </c>
      <c r="U192" s="7">
        <f t="shared" si="27"/>
        <v>6000000</v>
      </c>
      <c r="V192" s="7">
        <f t="shared" si="28"/>
        <v>2182999.9999999995</v>
      </c>
      <c r="W192" s="7">
        <f t="shared" si="29"/>
        <v>144583.33333333334</v>
      </c>
      <c r="X192" s="7">
        <f t="shared" si="30"/>
        <v>2327583.333333333</v>
      </c>
    </row>
    <row r="193" spans="1:24">
      <c r="A193">
        <v>192</v>
      </c>
      <c r="B193" s="96" t="s">
        <v>3411</v>
      </c>
      <c r="C193" s="95">
        <v>40524</v>
      </c>
      <c r="D193" s="82">
        <v>3480000</v>
      </c>
      <c r="E193" s="82">
        <v>3480000</v>
      </c>
      <c r="F193" s="82">
        <v>3480000</v>
      </c>
      <c r="G193" s="82">
        <v>3480000</v>
      </c>
      <c r="I193" s="97">
        <v>0</v>
      </c>
      <c r="J193" s="97">
        <v>0</v>
      </c>
      <c r="K193" s="97">
        <v>0</v>
      </c>
      <c r="M193" s="7">
        <f t="shared" si="23"/>
        <v>0</v>
      </c>
      <c r="N193" s="7">
        <f t="shared" si="32"/>
        <v>0</v>
      </c>
      <c r="O193" s="7">
        <f t="shared" si="31"/>
        <v>10000</v>
      </c>
      <c r="P193" s="99">
        <f t="shared" si="24"/>
        <v>2.881844380403458E-3</v>
      </c>
      <c r="Q193" s="99">
        <f t="shared" si="33"/>
        <v>-8.5469152517863127E-3</v>
      </c>
      <c r="S193" s="7">
        <f t="shared" si="25"/>
        <v>3828000.0000000005</v>
      </c>
      <c r="T193" s="7">
        <f t="shared" si="26"/>
        <v>1160000</v>
      </c>
      <c r="U193" s="7">
        <f t="shared" si="27"/>
        <v>6250000</v>
      </c>
      <c r="V193" s="7">
        <f t="shared" si="28"/>
        <v>0</v>
      </c>
      <c r="W193" s="7">
        <f t="shared" si="29"/>
        <v>0</v>
      </c>
      <c r="X193" s="7">
        <f t="shared" si="30"/>
        <v>0</v>
      </c>
    </row>
    <row r="194" spans="1:24">
      <c r="A194">
        <v>193</v>
      </c>
      <c r="B194" s="96" t="s">
        <v>3410</v>
      </c>
      <c r="C194" s="95">
        <v>40525</v>
      </c>
      <c r="D194" s="82">
        <v>3480000</v>
      </c>
      <c r="E194" s="82">
        <v>3480000</v>
      </c>
      <c r="F194" s="82">
        <v>3480000</v>
      </c>
      <c r="G194" s="82">
        <v>3480000</v>
      </c>
      <c r="I194" s="97">
        <v>0</v>
      </c>
      <c r="J194" s="97">
        <v>0</v>
      </c>
      <c r="K194" s="97">
        <v>0</v>
      </c>
      <c r="M194" s="7">
        <f t="shared" ref="M194:M257" si="34">J194*$AI$6/200</f>
        <v>0</v>
      </c>
      <c r="N194" s="7">
        <f t="shared" si="32"/>
        <v>0</v>
      </c>
      <c r="O194" s="7">
        <f t="shared" si="31"/>
        <v>0</v>
      </c>
      <c r="P194" s="99">
        <f t="shared" si="24"/>
        <v>0</v>
      </c>
      <c r="Q194" s="99">
        <f t="shared" si="33"/>
        <v>-2.807928014239998E-3</v>
      </c>
      <c r="S194" s="7">
        <f t="shared" si="25"/>
        <v>3828000.0000000005</v>
      </c>
      <c r="T194" s="7">
        <f t="shared" si="26"/>
        <v>1160000</v>
      </c>
      <c r="U194" s="7">
        <f t="shared" si="27"/>
        <v>6200000</v>
      </c>
      <c r="V194" s="7">
        <f t="shared" si="28"/>
        <v>0</v>
      </c>
      <c r="W194" s="7">
        <f t="shared" si="29"/>
        <v>0</v>
      </c>
      <c r="X194" s="7">
        <f t="shared" si="30"/>
        <v>0</v>
      </c>
    </row>
    <row r="195" spans="1:24">
      <c r="A195">
        <v>194</v>
      </c>
      <c r="B195" s="96" t="s">
        <v>3409</v>
      </c>
      <c r="C195" s="95">
        <v>40526</v>
      </c>
      <c r="D195" s="82">
        <v>3480000</v>
      </c>
      <c r="E195" s="82">
        <v>3480000</v>
      </c>
      <c r="F195" s="82">
        <v>3480000</v>
      </c>
      <c r="G195" s="82">
        <v>3480000</v>
      </c>
      <c r="I195" s="97">
        <v>0</v>
      </c>
      <c r="J195" s="97">
        <v>0</v>
      </c>
      <c r="K195" s="97">
        <v>0</v>
      </c>
      <c r="M195" s="7">
        <f t="shared" si="34"/>
        <v>0</v>
      </c>
      <c r="N195" s="7">
        <f t="shared" si="32"/>
        <v>0</v>
      </c>
      <c r="O195" s="7">
        <f t="shared" si="31"/>
        <v>0</v>
      </c>
      <c r="P195" s="99">
        <f t="shared" ref="P195:P258" si="35">O195/G194</f>
        <v>0</v>
      </c>
      <c r="Q195" s="99">
        <f t="shared" si="33"/>
        <v>-2.807928014239998E-3</v>
      </c>
      <c r="S195" s="7">
        <f t="shared" ref="S195:S258" si="36">G195*1.1</f>
        <v>3828000.0000000005</v>
      </c>
      <c r="T195" s="7">
        <f t="shared" ref="T195:T258" si="37">G195/3</f>
        <v>1160000</v>
      </c>
      <c r="U195" s="7">
        <f t="shared" ref="U195:U258" si="38">G463</f>
        <v>6090000</v>
      </c>
      <c r="V195" s="7">
        <f t="shared" ref="V195:V258" si="39">(U195-S195)*R195</f>
        <v>0</v>
      </c>
      <c r="W195" s="7">
        <f t="shared" ref="W195:W258" si="40">(T195*$AI$6/200)*R195</f>
        <v>0</v>
      </c>
      <c r="X195" s="7">
        <f t="shared" ref="X195:X258" si="41">V195+W195</f>
        <v>0</v>
      </c>
    </row>
    <row r="196" spans="1:24">
      <c r="A196">
        <v>195</v>
      </c>
      <c r="B196" s="96" t="s">
        <v>3408</v>
      </c>
      <c r="C196" s="95">
        <v>40530</v>
      </c>
      <c r="D196" s="82">
        <v>3490000</v>
      </c>
      <c r="E196" s="82">
        <v>3490000</v>
      </c>
      <c r="F196" s="82">
        <v>3490000</v>
      </c>
      <c r="G196" s="82">
        <v>3490000</v>
      </c>
      <c r="I196" s="98">
        <v>0</v>
      </c>
      <c r="J196" s="98">
        <v>0</v>
      </c>
      <c r="K196" s="98">
        <v>0</v>
      </c>
      <c r="M196" s="7">
        <f t="shared" si="34"/>
        <v>0</v>
      </c>
      <c r="N196" s="7">
        <f t="shared" si="32"/>
        <v>0</v>
      </c>
      <c r="O196" s="7">
        <f t="shared" ref="O196:O259" si="42">G196-G195</f>
        <v>10000</v>
      </c>
      <c r="P196" s="99">
        <f t="shared" si="35"/>
        <v>2.8735632183908046E-3</v>
      </c>
      <c r="Q196" s="99">
        <f t="shared" si="33"/>
        <v>-8.5385870400279621E-3</v>
      </c>
      <c r="S196" s="7">
        <f t="shared" si="36"/>
        <v>3839000.0000000005</v>
      </c>
      <c r="T196" s="7">
        <f t="shared" si="37"/>
        <v>1163333.3333333333</v>
      </c>
      <c r="U196" s="7">
        <f t="shared" si="38"/>
        <v>6000000</v>
      </c>
      <c r="V196" s="7">
        <f t="shared" si="39"/>
        <v>0</v>
      </c>
      <c r="W196" s="7">
        <f t="shared" si="40"/>
        <v>0</v>
      </c>
      <c r="X196" s="7">
        <f t="shared" si="41"/>
        <v>0</v>
      </c>
    </row>
    <row r="197" spans="1:24">
      <c r="A197">
        <v>196</v>
      </c>
      <c r="B197" s="96" t="s">
        <v>3407</v>
      </c>
      <c r="C197" s="95">
        <v>40531</v>
      </c>
      <c r="D197" s="82">
        <v>3470000</v>
      </c>
      <c r="E197" s="82">
        <v>3470000</v>
      </c>
      <c r="F197" s="82">
        <v>3470000</v>
      </c>
      <c r="G197" s="82">
        <v>3470000</v>
      </c>
      <c r="I197" s="82">
        <f>G197*1.1</f>
        <v>3817000.0000000005</v>
      </c>
      <c r="J197" s="82">
        <f>G197/3</f>
        <v>1156666.6666666667</v>
      </c>
      <c r="K197" s="7">
        <f>G465</f>
        <v>5900000</v>
      </c>
      <c r="L197" s="7">
        <f>K197-I197</f>
        <v>2082999.9999999995</v>
      </c>
      <c r="M197" s="7">
        <f t="shared" si="34"/>
        <v>144583.33333333334</v>
      </c>
      <c r="N197" s="7">
        <f t="shared" si="32"/>
        <v>2227583.333333333</v>
      </c>
      <c r="O197" s="7">
        <f t="shared" si="42"/>
        <v>-20000</v>
      </c>
      <c r="P197" s="99">
        <f t="shared" si="35"/>
        <v>-5.7306590257879654E-3</v>
      </c>
      <c r="Q197" s="99">
        <f t="shared" si="33"/>
        <v>-2.8160209726343088E-3</v>
      </c>
      <c r="R197">
        <v>1</v>
      </c>
      <c r="S197" s="7">
        <f t="shared" si="36"/>
        <v>3817000.0000000005</v>
      </c>
      <c r="T197" s="7">
        <f t="shared" si="37"/>
        <v>1156666.6666666667</v>
      </c>
      <c r="U197" s="7">
        <f t="shared" si="38"/>
        <v>5900000</v>
      </c>
      <c r="V197" s="7">
        <f t="shared" si="39"/>
        <v>2082999.9999999995</v>
      </c>
      <c r="W197" s="7">
        <f t="shared" si="40"/>
        <v>144583.33333333334</v>
      </c>
      <c r="X197" s="7">
        <f t="shared" si="41"/>
        <v>2227583.333333333</v>
      </c>
    </row>
    <row r="198" spans="1:24">
      <c r="A198">
        <v>197</v>
      </c>
      <c r="B198" s="96" t="s">
        <v>3406</v>
      </c>
      <c r="C198" s="95">
        <v>40532</v>
      </c>
      <c r="D198" s="82">
        <v>3470000</v>
      </c>
      <c r="E198" s="82">
        <v>3470000</v>
      </c>
      <c r="F198" s="82">
        <v>3470000</v>
      </c>
      <c r="G198" s="82">
        <v>3470000</v>
      </c>
      <c r="I198" s="97">
        <v>0</v>
      </c>
      <c r="J198" s="97">
        <v>0</v>
      </c>
      <c r="K198" s="97">
        <v>0</v>
      </c>
      <c r="M198" s="7">
        <f t="shared" si="34"/>
        <v>0</v>
      </c>
      <c r="N198" s="7">
        <f t="shared" si="32"/>
        <v>0</v>
      </c>
      <c r="O198" s="7">
        <f t="shared" si="42"/>
        <v>0</v>
      </c>
      <c r="P198" s="99">
        <f t="shared" si="35"/>
        <v>0</v>
      </c>
      <c r="Q198" s="99">
        <f t="shared" si="33"/>
        <v>2.4748573006297576E-5</v>
      </c>
      <c r="S198" s="7">
        <f t="shared" si="36"/>
        <v>3817000.0000000005</v>
      </c>
      <c r="T198" s="7">
        <f t="shared" si="37"/>
        <v>1156666.6666666667</v>
      </c>
      <c r="U198" s="7">
        <f t="shared" si="38"/>
        <v>5890000</v>
      </c>
      <c r="V198" s="7">
        <f t="shared" si="39"/>
        <v>0</v>
      </c>
      <c r="W198" s="7">
        <f t="shared" si="40"/>
        <v>0</v>
      </c>
      <c r="X198" s="7">
        <f t="shared" si="41"/>
        <v>0</v>
      </c>
    </row>
    <row r="199" spans="1:24">
      <c r="A199">
        <v>198</v>
      </c>
      <c r="B199" s="96" t="s">
        <v>3405</v>
      </c>
      <c r="C199" s="95">
        <v>40533</v>
      </c>
      <c r="D199" s="82">
        <v>3490000</v>
      </c>
      <c r="E199" s="82">
        <v>3490000</v>
      </c>
      <c r="F199" s="82">
        <v>3490000</v>
      </c>
      <c r="G199" s="82">
        <v>3490000</v>
      </c>
      <c r="I199" s="97">
        <v>0</v>
      </c>
      <c r="J199" s="97">
        <v>0</v>
      </c>
      <c r="K199" s="97">
        <v>0</v>
      </c>
      <c r="M199" s="7">
        <f t="shared" si="34"/>
        <v>0</v>
      </c>
      <c r="N199" s="7">
        <f t="shared" si="32"/>
        <v>0</v>
      </c>
      <c r="O199" s="7">
        <f t="shared" si="42"/>
        <v>20000</v>
      </c>
      <c r="P199" s="99">
        <f t="shared" si="35"/>
        <v>5.763688760806916E-3</v>
      </c>
      <c r="Q199" s="99">
        <f t="shared" si="33"/>
        <v>-2.8570958073971609E-3</v>
      </c>
      <c r="S199" s="7">
        <f t="shared" si="36"/>
        <v>3839000.0000000005</v>
      </c>
      <c r="T199" s="7">
        <f t="shared" si="37"/>
        <v>1163333.3333333333</v>
      </c>
      <c r="U199" s="7">
        <f t="shared" si="38"/>
        <v>5800000</v>
      </c>
      <c r="V199" s="7">
        <f t="shared" si="39"/>
        <v>0</v>
      </c>
      <c r="W199" s="7">
        <f t="shared" si="40"/>
        <v>0</v>
      </c>
      <c r="X199" s="7">
        <f t="shared" si="41"/>
        <v>0</v>
      </c>
    </row>
    <row r="200" spans="1:24">
      <c r="A200">
        <v>199</v>
      </c>
      <c r="B200" s="96" t="s">
        <v>3404</v>
      </c>
      <c r="C200" s="95">
        <v>40534</v>
      </c>
      <c r="D200" s="82">
        <v>3480000</v>
      </c>
      <c r="E200" s="82">
        <v>3480000</v>
      </c>
      <c r="F200" s="82">
        <v>3480000</v>
      </c>
      <c r="G200" s="82">
        <v>3480000</v>
      </c>
      <c r="I200" s="97">
        <v>0</v>
      </c>
      <c r="J200" s="97">
        <v>0</v>
      </c>
      <c r="K200" s="97">
        <v>0</v>
      </c>
      <c r="M200" s="7">
        <f t="shared" si="34"/>
        <v>0</v>
      </c>
      <c r="N200" s="7">
        <f t="shared" ref="N200:N263" si="43">L200+M200</f>
        <v>0</v>
      </c>
      <c r="O200" s="7">
        <f t="shared" si="42"/>
        <v>-10000</v>
      </c>
      <c r="P200" s="99">
        <f t="shared" si="35"/>
        <v>-2.8653295128939827E-3</v>
      </c>
      <c r="Q200" s="99">
        <f t="shared" ref="Q200:Q263" si="44">SUM(P195:P199)</f>
        <v>2.9065929534097552E-3</v>
      </c>
      <c r="S200" s="7">
        <f t="shared" si="36"/>
        <v>3828000.0000000005</v>
      </c>
      <c r="T200" s="7">
        <f t="shared" si="37"/>
        <v>1160000</v>
      </c>
      <c r="U200" s="7">
        <f t="shared" si="38"/>
        <v>5870000</v>
      </c>
      <c r="V200" s="7">
        <f t="shared" si="39"/>
        <v>0</v>
      </c>
      <c r="W200" s="7">
        <f t="shared" si="40"/>
        <v>0</v>
      </c>
      <c r="X200" s="7">
        <f t="shared" si="41"/>
        <v>0</v>
      </c>
    </row>
    <row r="201" spans="1:24">
      <c r="A201">
        <v>200</v>
      </c>
      <c r="B201" s="96" t="s">
        <v>3403</v>
      </c>
      <c r="C201" s="95">
        <v>40535</v>
      </c>
      <c r="D201" s="82">
        <v>3500000</v>
      </c>
      <c r="E201" s="82">
        <v>3500000</v>
      </c>
      <c r="F201" s="82">
        <v>3500000</v>
      </c>
      <c r="G201" s="82">
        <v>3500000</v>
      </c>
      <c r="I201" s="98">
        <v>0</v>
      </c>
      <c r="J201" s="98">
        <v>0</v>
      </c>
      <c r="K201" s="98">
        <v>0</v>
      </c>
      <c r="M201" s="7">
        <f t="shared" si="34"/>
        <v>0</v>
      </c>
      <c r="N201" s="7">
        <f t="shared" si="43"/>
        <v>0</v>
      </c>
      <c r="O201" s="7">
        <f t="shared" si="42"/>
        <v>20000</v>
      </c>
      <c r="P201" s="99">
        <f t="shared" si="35"/>
        <v>5.7471264367816091E-3</v>
      </c>
      <c r="Q201" s="99">
        <f t="shared" si="44"/>
        <v>4.1263440515772448E-5</v>
      </c>
      <c r="S201" s="7">
        <f t="shared" si="36"/>
        <v>3850000.0000000005</v>
      </c>
      <c r="T201" s="7">
        <f t="shared" si="37"/>
        <v>1166666.6666666667</v>
      </c>
      <c r="U201" s="7">
        <f t="shared" si="38"/>
        <v>5930000</v>
      </c>
      <c r="V201" s="7">
        <f t="shared" si="39"/>
        <v>0</v>
      </c>
      <c r="W201" s="7">
        <f t="shared" si="40"/>
        <v>0</v>
      </c>
      <c r="X201" s="7">
        <f t="shared" si="41"/>
        <v>0</v>
      </c>
    </row>
    <row r="202" spans="1:24">
      <c r="A202">
        <v>201</v>
      </c>
      <c r="B202" s="96" t="s">
        <v>3402</v>
      </c>
      <c r="C202" s="95">
        <v>40537</v>
      </c>
      <c r="D202" s="82">
        <v>3500000</v>
      </c>
      <c r="E202" s="82">
        <v>3500000</v>
      </c>
      <c r="F202" s="82">
        <v>3500000</v>
      </c>
      <c r="G202" s="82">
        <v>3500000</v>
      </c>
      <c r="I202" s="82">
        <f>G202*1.1</f>
        <v>3850000.0000000005</v>
      </c>
      <c r="J202" s="82">
        <f>G202/3</f>
        <v>1166666.6666666667</v>
      </c>
      <c r="K202" s="7">
        <f>G470</f>
        <v>5850000</v>
      </c>
      <c r="L202" s="7">
        <f>K202-I202</f>
        <v>1999999.9999999995</v>
      </c>
      <c r="M202" s="7">
        <f t="shared" si="34"/>
        <v>145833.33333333334</v>
      </c>
      <c r="N202" s="7">
        <f t="shared" si="43"/>
        <v>2145833.333333333</v>
      </c>
      <c r="O202" s="7">
        <f t="shared" si="42"/>
        <v>0</v>
      </c>
      <c r="P202" s="99">
        <f t="shared" si="35"/>
        <v>0</v>
      </c>
      <c r="Q202" s="99">
        <f t="shared" si="44"/>
        <v>2.914826658906577E-3</v>
      </c>
      <c r="R202">
        <v>1</v>
      </c>
      <c r="S202" s="7">
        <f t="shared" si="36"/>
        <v>3850000.0000000005</v>
      </c>
      <c r="T202" s="7">
        <f t="shared" si="37"/>
        <v>1166666.6666666667</v>
      </c>
      <c r="U202" s="7">
        <f t="shared" si="38"/>
        <v>5850000</v>
      </c>
      <c r="V202" s="7">
        <f t="shared" si="39"/>
        <v>1999999.9999999995</v>
      </c>
      <c r="W202" s="7">
        <f t="shared" si="40"/>
        <v>145833.33333333334</v>
      </c>
      <c r="X202" s="7">
        <f t="shared" si="41"/>
        <v>2145833.333333333</v>
      </c>
    </row>
    <row r="203" spans="1:24">
      <c r="A203">
        <v>202</v>
      </c>
      <c r="B203" s="96" t="s">
        <v>3401</v>
      </c>
      <c r="C203" s="95">
        <v>40538</v>
      </c>
      <c r="D203" s="82">
        <v>3500000</v>
      </c>
      <c r="E203" s="82">
        <v>3500000</v>
      </c>
      <c r="F203" s="82">
        <v>3500000</v>
      </c>
      <c r="G203" s="82">
        <v>3500000</v>
      </c>
      <c r="I203" s="97">
        <v>0</v>
      </c>
      <c r="J203" s="97">
        <v>0</v>
      </c>
      <c r="K203" s="97">
        <v>0</v>
      </c>
      <c r="M203" s="7">
        <f t="shared" si="34"/>
        <v>0</v>
      </c>
      <c r="N203" s="7">
        <f t="shared" si="43"/>
        <v>0</v>
      </c>
      <c r="O203" s="7">
        <f t="shared" si="42"/>
        <v>0</v>
      </c>
      <c r="P203" s="99">
        <f t="shared" si="35"/>
        <v>0</v>
      </c>
      <c r="Q203" s="99">
        <f t="shared" si="44"/>
        <v>8.645485684694542E-3</v>
      </c>
      <c r="S203" s="7">
        <f t="shared" si="36"/>
        <v>3850000.0000000005</v>
      </c>
      <c r="T203" s="7">
        <f t="shared" si="37"/>
        <v>1166666.6666666667</v>
      </c>
      <c r="U203" s="7">
        <f t="shared" si="38"/>
        <v>5960000</v>
      </c>
      <c r="V203" s="7">
        <f t="shared" si="39"/>
        <v>0</v>
      </c>
      <c r="W203" s="7">
        <f t="shared" si="40"/>
        <v>0</v>
      </c>
      <c r="X203" s="7">
        <f t="shared" si="41"/>
        <v>0</v>
      </c>
    </row>
    <row r="204" spans="1:24">
      <c r="A204">
        <v>203</v>
      </c>
      <c r="B204" s="96" t="s">
        <v>3400</v>
      </c>
      <c r="C204" s="95">
        <v>40539</v>
      </c>
      <c r="D204" s="82">
        <v>3510000</v>
      </c>
      <c r="E204" s="82">
        <v>3510000</v>
      </c>
      <c r="F204" s="82">
        <v>3510000</v>
      </c>
      <c r="G204" s="82">
        <v>3510000</v>
      </c>
      <c r="I204" s="97">
        <v>0</v>
      </c>
      <c r="J204" s="97">
        <v>0</v>
      </c>
      <c r="K204" s="97">
        <v>0</v>
      </c>
      <c r="M204" s="7">
        <f t="shared" si="34"/>
        <v>0</v>
      </c>
      <c r="N204" s="7">
        <f t="shared" si="43"/>
        <v>0</v>
      </c>
      <c r="O204" s="7">
        <f t="shared" si="42"/>
        <v>10000</v>
      </c>
      <c r="P204" s="99">
        <f t="shared" si="35"/>
        <v>2.8571428571428571E-3</v>
      </c>
      <c r="Q204" s="99">
        <f t="shared" si="44"/>
        <v>8.645485684694542E-3</v>
      </c>
      <c r="S204" s="7">
        <f t="shared" si="36"/>
        <v>3861000.0000000005</v>
      </c>
      <c r="T204" s="7">
        <f t="shared" si="37"/>
        <v>1170000</v>
      </c>
      <c r="U204" s="7">
        <f t="shared" si="38"/>
        <v>6120000</v>
      </c>
      <c r="V204" s="7">
        <f t="shared" si="39"/>
        <v>0</v>
      </c>
      <c r="W204" s="7">
        <f t="shared" si="40"/>
        <v>0</v>
      </c>
      <c r="X204" s="7">
        <f t="shared" si="41"/>
        <v>0</v>
      </c>
    </row>
    <row r="205" spans="1:24">
      <c r="A205">
        <v>204</v>
      </c>
      <c r="B205" s="96" t="s">
        <v>3399</v>
      </c>
      <c r="C205" s="95">
        <v>40540</v>
      </c>
      <c r="D205" s="82">
        <v>3530000</v>
      </c>
      <c r="E205" s="82">
        <v>3530000</v>
      </c>
      <c r="F205" s="82">
        <v>3530000</v>
      </c>
      <c r="G205" s="82">
        <v>3530000</v>
      </c>
      <c r="I205" s="97">
        <v>0</v>
      </c>
      <c r="J205" s="97">
        <v>0</v>
      </c>
      <c r="K205" s="97">
        <v>0</v>
      </c>
      <c r="M205" s="7">
        <f t="shared" si="34"/>
        <v>0</v>
      </c>
      <c r="N205" s="7">
        <f t="shared" si="43"/>
        <v>0</v>
      </c>
      <c r="O205" s="7">
        <f t="shared" si="42"/>
        <v>20000</v>
      </c>
      <c r="P205" s="99">
        <f t="shared" si="35"/>
        <v>5.6980056980056983E-3</v>
      </c>
      <c r="Q205" s="99">
        <f t="shared" si="44"/>
        <v>5.7389397810304835E-3</v>
      </c>
      <c r="S205" s="7">
        <f t="shared" si="36"/>
        <v>3883000.0000000005</v>
      </c>
      <c r="T205" s="7">
        <f t="shared" si="37"/>
        <v>1176666.6666666667</v>
      </c>
      <c r="U205" s="7">
        <f t="shared" si="38"/>
        <v>6100000</v>
      </c>
      <c r="V205" s="7">
        <f t="shared" si="39"/>
        <v>0</v>
      </c>
      <c r="W205" s="7">
        <f t="shared" si="40"/>
        <v>0</v>
      </c>
      <c r="X205" s="7">
        <f t="shared" si="41"/>
        <v>0</v>
      </c>
    </row>
    <row r="206" spans="1:24">
      <c r="A206">
        <v>205</v>
      </c>
      <c r="B206" s="96" t="s">
        <v>3398</v>
      </c>
      <c r="C206" s="95">
        <v>40541</v>
      </c>
      <c r="D206" s="82">
        <v>3550000</v>
      </c>
      <c r="E206" s="82">
        <v>3550000</v>
      </c>
      <c r="F206" s="82">
        <v>3550000</v>
      </c>
      <c r="G206" s="82">
        <v>3550000</v>
      </c>
      <c r="I206" s="98">
        <v>0</v>
      </c>
      <c r="J206" s="98">
        <v>0</v>
      </c>
      <c r="K206" s="98">
        <v>0</v>
      </c>
      <c r="M206" s="7">
        <f t="shared" si="34"/>
        <v>0</v>
      </c>
      <c r="N206" s="7">
        <f t="shared" si="43"/>
        <v>0</v>
      </c>
      <c r="O206" s="7">
        <f t="shared" si="42"/>
        <v>20000</v>
      </c>
      <c r="P206" s="99">
        <f t="shared" si="35"/>
        <v>5.6657223796033997E-3</v>
      </c>
      <c r="Q206" s="99">
        <f t="shared" si="44"/>
        <v>1.4302274991930163E-2</v>
      </c>
      <c r="S206" s="7">
        <f t="shared" si="36"/>
        <v>3905000.0000000005</v>
      </c>
      <c r="T206" s="7">
        <f t="shared" si="37"/>
        <v>1183333.3333333333</v>
      </c>
      <c r="U206" s="7">
        <f t="shared" si="38"/>
        <v>6220000</v>
      </c>
      <c r="V206" s="7">
        <f t="shared" si="39"/>
        <v>0</v>
      </c>
      <c r="W206" s="7">
        <f t="shared" si="40"/>
        <v>0</v>
      </c>
      <c r="X206" s="7">
        <f t="shared" si="41"/>
        <v>0</v>
      </c>
    </row>
    <row r="207" spans="1:24">
      <c r="A207">
        <v>206</v>
      </c>
      <c r="B207" s="96" t="s">
        <v>3397</v>
      </c>
      <c r="C207" s="95">
        <v>40542</v>
      </c>
      <c r="D207" s="82">
        <v>3600000</v>
      </c>
      <c r="E207" s="82">
        <v>3600000</v>
      </c>
      <c r="F207" s="82">
        <v>3600000</v>
      </c>
      <c r="G207" s="82">
        <v>3600000</v>
      </c>
      <c r="I207" s="82">
        <f>G207*1.1</f>
        <v>3960000.0000000005</v>
      </c>
      <c r="J207" s="82">
        <f>G207/3</f>
        <v>1200000</v>
      </c>
      <c r="K207" s="7">
        <f>G475</f>
        <v>6150000</v>
      </c>
      <c r="L207" s="7">
        <f>K207-I207</f>
        <v>2189999.9999999995</v>
      </c>
      <c r="M207" s="7">
        <f t="shared" si="34"/>
        <v>150000</v>
      </c>
      <c r="N207" s="7">
        <f t="shared" si="43"/>
        <v>2339999.9999999995</v>
      </c>
      <c r="O207" s="7">
        <f t="shared" si="42"/>
        <v>50000</v>
      </c>
      <c r="P207" s="99">
        <f t="shared" si="35"/>
        <v>1.4084507042253521E-2</v>
      </c>
      <c r="Q207" s="99">
        <f t="shared" si="44"/>
        <v>1.4220870934751956E-2</v>
      </c>
      <c r="R207">
        <v>1</v>
      </c>
      <c r="S207" s="7">
        <f t="shared" si="36"/>
        <v>3960000.0000000005</v>
      </c>
      <c r="T207" s="7">
        <f t="shared" si="37"/>
        <v>1200000</v>
      </c>
      <c r="U207" s="7">
        <f t="shared" si="38"/>
        <v>6150000</v>
      </c>
      <c r="V207" s="7">
        <f t="shared" si="39"/>
        <v>2189999.9999999995</v>
      </c>
      <c r="W207" s="7">
        <f t="shared" si="40"/>
        <v>150000</v>
      </c>
      <c r="X207" s="7">
        <f t="shared" si="41"/>
        <v>2339999.9999999995</v>
      </c>
    </row>
    <row r="208" spans="1:24">
      <c r="A208">
        <v>207</v>
      </c>
      <c r="B208" s="96" t="s">
        <v>3396</v>
      </c>
      <c r="C208" s="95">
        <v>40544</v>
      </c>
      <c r="D208" s="82">
        <v>3650000</v>
      </c>
      <c r="E208" s="82">
        <v>3650000</v>
      </c>
      <c r="F208" s="82">
        <v>3650000</v>
      </c>
      <c r="G208" s="82">
        <v>3650000</v>
      </c>
      <c r="I208" s="97">
        <v>0</v>
      </c>
      <c r="J208" s="97">
        <v>0</v>
      </c>
      <c r="K208" s="97">
        <v>0</v>
      </c>
      <c r="M208" s="7">
        <f t="shared" si="34"/>
        <v>0</v>
      </c>
      <c r="N208" s="7">
        <f t="shared" si="43"/>
        <v>0</v>
      </c>
      <c r="O208" s="7">
        <f t="shared" si="42"/>
        <v>50000</v>
      </c>
      <c r="P208" s="99">
        <f t="shared" si="35"/>
        <v>1.3888888888888888E-2</v>
      </c>
      <c r="Q208" s="99">
        <f t="shared" si="44"/>
        <v>2.8305377977005476E-2</v>
      </c>
      <c r="S208" s="7">
        <f t="shared" si="36"/>
        <v>4015000.0000000005</v>
      </c>
      <c r="T208" s="7">
        <f t="shared" si="37"/>
        <v>1216666.6666666667</v>
      </c>
      <c r="U208" s="7">
        <f t="shared" si="38"/>
        <v>6020000</v>
      </c>
      <c r="V208" s="7">
        <f t="shared" si="39"/>
        <v>0</v>
      </c>
      <c r="W208" s="7">
        <f t="shared" si="40"/>
        <v>0</v>
      </c>
      <c r="X208" s="7">
        <f t="shared" si="41"/>
        <v>0</v>
      </c>
    </row>
    <row r="209" spans="1:24">
      <c r="A209">
        <v>208</v>
      </c>
      <c r="B209" s="96" t="s">
        <v>3395</v>
      </c>
      <c r="C209" s="95">
        <v>40545</v>
      </c>
      <c r="D209" s="82">
        <v>3660000</v>
      </c>
      <c r="E209" s="82">
        <v>3660000</v>
      </c>
      <c r="F209" s="82">
        <v>3660000</v>
      </c>
      <c r="G209" s="82">
        <v>3660000</v>
      </c>
      <c r="I209" s="97">
        <v>0</v>
      </c>
      <c r="J209" s="97">
        <v>0</v>
      </c>
      <c r="K209" s="97">
        <v>0</v>
      </c>
      <c r="M209" s="7">
        <f t="shared" si="34"/>
        <v>0</v>
      </c>
      <c r="N209" s="7">
        <f t="shared" si="43"/>
        <v>0</v>
      </c>
      <c r="O209" s="7">
        <f t="shared" si="42"/>
        <v>10000</v>
      </c>
      <c r="P209" s="99">
        <f t="shared" si="35"/>
        <v>2.7397260273972603E-3</v>
      </c>
      <c r="Q209" s="99">
        <f t="shared" si="44"/>
        <v>4.2194266865894364E-2</v>
      </c>
      <c r="S209" s="7">
        <f t="shared" si="36"/>
        <v>4026000.0000000005</v>
      </c>
      <c r="T209" s="7">
        <f t="shared" si="37"/>
        <v>1220000</v>
      </c>
      <c r="U209" s="7">
        <f t="shared" si="38"/>
        <v>6050000</v>
      </c>
      <c r="V209" s="7">
        <f t="shared" si="39"/>
        <v>0</v>
      </c>
      <c r="W209" s="7">
        <f t="shared" si="40"/>
        <v>0</v>
      </c>
      <c r="X209" s="7">
        <f t="shared" si="41"/>
        <v>0</v>
      </c>
    </row>
    <row r="210" spans="1:24">
      <c r="A210">
        <v>209</v>
      </c>
      <c r="B210" s="96" t="s">
        <v>3394</v>
      </c>
      <c r="C210" s="95">
        <v>40546</v>
      </c>
      <c r="D210" s="82">
        <v>3640000</v>
      </c>
      <c r="E210" s="82">
        <v>3640000</v>
      </c>
      <c r="F210" s="82">
        <v>3640000</v>
      </c>
      <c r="G210" s="82">
        <v>3640000</v>
      </c>
      <c r="I210" s="97">
        <v>0</v>
      </c>
      <c r="J210" s="97">
        <v>0</v>
      </c>
      <c r="K210" s="97">
        <v>0</v>
      </c>
      <c r="M210" s="7">
        <f t="shared" si="34"/>
        <v>0</v>
      </c>
      <c r="N210" s="7">
        <f t="shared" si="43"/>
        <v>0</v>
      </c>
      <c r="O210" s="7">
        <f t="shared" si="42"/>
        <v>-20000</v>
      </c>
      <c r="P210" s="99">
        <f t="shared" si="35"/>
        <v>-5.4644808743169399E-3</v>
      </c>
      <c r="Q210" s="99">
        <f t="shared" si="44"/>
        <v>4.207685003614877E-2</v>
      </c>
      <c r="S210" s="7">
        <f t="shared" si="36"/>
        <v>4004000.0000000005</v>
      </c>
      <c r="T210" s="7">
        <f t="shared" si="37"/>
        <v>1213333.3333333333</v>
      </c>
      <c r="U210" s="7">
        <f t="shared" si="38"/>
        <v>6120000</v>
      </c>
      <c r="V210" s="7">
        <f t="shared" si="39"/>
        <v>0</v>
      </c>
      <c r="W210" s="7">
        <f t="shared" si="40"/>
        <v>0</v>
      </c>
      <c r="X210" s="7">
        <f t="shared" si="41"/>
        <v>0</v>
      </c>
    </row>
    <row r="211" spans="1:24">
      <c r="A211">
        <v>210</v>
      </c>
      <c r="B211" s="96" t="s">
        <v>3393</v>
      </c>
      <c r="C211" s="95">
        <v>40547</v>
      </c>
      <c r="D211" s="82">
        <v>3620000</v>
      </c>
      <c r="E211" s="82">
        <v>3620000</v>
      </c>
      <c r="F211" s="82">
        <v>3620000</v>
      </c>
      <c r="G211" s="82">
        <v>3620000</v>
      </c>
      <c r="I211" s="98">
        <v>0</v>
      </c>
      <c r="J211" s="98">
        <v>0</v>
      </c>
      <c r="K211" s="98">
        <v>0</v>
      </c>
      <c r="M211" s="7">
        <f t="shared" si="34"/>
        <v>0</v>
      </c>
      <c r="N211" s="7">
        <f t="shared" si="43"/>
        <v>0</v>
      </c>
      <c r="O211" s="7">
        <f t="shared" si="42"/>
        <v>-20000</v>
      </c>
      <c r="P211" s="99">
        <f t="shared" si="35"/>
        <v>-5.4945054945054949E-3</v>
      </c>
      <c r="Q211" s="99">
        <f t="shared" si="44"/>
        <v>3.0914363463826137E-2</v>
      </c>
      <c r="S211" s="7">
        <f t="shared" si="36"/>
        <v>3982000.0000000005</v>
      </c>
      <c r="T211" s="7">
        <f t="shared" si="37"/>
        <v>1206666.6666666667</v>
      </c>
      <c r="U211" s="7">
        <f t="shared" si="38"/>
        <v>6150000</v>
      </c>
      <c r="V211" s="7">
        <f t="shared" si="39"/>
        <v>0</v>
      </c>
      <c r="W211" s="7">
        <f t="shared" si="40"/>
        <v>0</v>
      </c>
      <c r="X211" s="7">
        <f t="shared" si="41"/>
        <v>0</v>
      </c>
    </row>
    <row r="212" spans="1:24">
      <c r="A212">
        <v>211</v>
      </c>
      <c r="B212" s="96" t="s">
        <v>3392</v>
      </c>
      <c r="C212" s="95">
        <v>40548</v>
      </c>
      <c r="D212" s="82">
        <v>3640000</v>
      </c>
      <c r="E212" s="82">
        <v>3640000</v>
      </c>
      <c r="F212" s="82">
        <v>3640000</v>
      </c>
      <c r="G212" s="82">
        <v>3640000</v>
      </c>
      <c r="I212" s="82">
        <f>G212*1.1</f>
        <v>4004000.0000000005</v>
      </c>
      <c r="J212" s="82">
        <f>G212/3</f>
        <v>1213333.3333333333</v>
      </c>
      <c r="K212" s="7">
        <f>G480</f>
        <v>6080000</v>
      </c>
      <c r="L212" s="7">
        <f>K212-I212</f>
        <v>2075999.9999999995</v>
      </c>
      <c r="M212" s="7">
        <f t="shared" si="34"/>
        <v>151666.66666666666</v>
      </c>
      <c r="N212" s="7">
        <f t="shared" si="43"/>
        <v>2227666.666666666</v>
      </c>
      <c r="O212" s="7">
        <f t="shared" si="42"/>
        <v>20000</v>
      </c>
      <c r="P212" s="99">
        <f t="shared" si="35"/>
        <v>5.5248618784530384E-3</v>
      </c>
      <c r="Q212" s="99">
        <f t="shared" si="44"/>
        <v>1.9754135589717236E-2</v>
      </c>
      <c r="R212">
        <v>1</v>
      </c>
      <c r="S212" s="7">
        <f t="shared" si="36"/>
        <v>4004000.0000000005</v>
      </c>
      <c r="T212" s="7">
        <f t="shared" si="37"/>
        <v>1213333.3333333333</v>
      </c>
      <c r="U212" s="7">
        <f t="shared" si="38"/>
        <v>6080000</v>
      </c>
      <c r="V212" s="7">
        <f t="shared" si="39"/>
        <v>2075999.9999999995</v>
      </c>
      <c r="W212" s="7">
        <f t="shared" si="40"/>
        <v>151666.66666666666</v>
      </c>
      <c r="X212" s="7">
        <f t="shared" si="41"/>
        <v>2227666.666666666</v>
      </c>
    </row>
    <row r="213" spans="1:24">
      <c r="A213">
        <v>212</v>
      </c>
      <c r="B213" s="96" t="s">
        <v>3391</v>
      </c>
      <c r="C213" s="95">
        <v>40549</v>
      </c>
      <c r="D213" s="82">
        <v>3600000</v>
      </c>
      <c r="E213" s="82">
        <v>3600000</v>
      </c>
      <c r="F213" s="82">
        <v>3600000</v>
      </c>
      <c r="G213" s="82">
        <v>3600000</v>
      </c>
      <c r="I213" s="97">
        <v>0</v>
      </c>
      <c r="J213" s="97">
        <v>0</v>
      </c>
      <c r="K213" s="97">
        <v>0</v>
      </c>
      <c r="M213" s="7">
        <f t="shared" si="34"/>
        <v>0</v>
      </c>
      <c r="N213" s="7">
        <f t="shared" si="43"/>
        <v>0</v>
      </c>
      <c r="O213" s="7">
        <f t="shared" si="42"/>
        <v>-40000</v>
      </c>
      <c r="P213" s="99">
        <f t="shared" si="35"/>
        <v>-1.098901098901099E-2</v>
      </c>
      <c r="Q213" s="99">
        <f t="shared" si="44"/>
        <v>1.1194490425916751E-2</v>
      </c>
      <c r="S213" s="7">
        <f t="shared" si="36"/>
        <v>3960000.0000000005</v>
      </c>
      <c r="T213" s="7">
        <f t="shared" si="37"/>
        <v>1200000</v>
      </c>
      <c r="U213" s="7">
        <f t="shared" si="38"/>
        <v>6060000</v>
      </c>
      <c r="V213" s="7">
        <f t="shared" si="39"/>
        <v>0</v>
      </c>
      <c r="W213" s="7">
        <f t="shared" si="40"/>
        <v>0</v>
      </c>
      <c r="X213" s="7">
        <f t="shared" si="41"/>
        <v>0</v>
      </c>
    </row>
    <row r="214" spans="1:24">
      <c r="A214">
        <v>213</v>
      </c>
      <c r="B214" s="96" t="s">
        <v>3390</v>
      </c>
      <c r="C214" s="95">
        <v>40551</v>
      </c>
      <c r="D214" s="82">
        <v>3600000</v>
      </c>
      <c r="E214" s="82">
        <v>3600000</v>
      </c>
      <c r="F214" s="82">
        <v>3600000</v>
      </c>
      <c r="G214" s="82">
        <v>3600000</v>
      </c>
      <c r="I214" s="97">
        <v>0</v>
      </c>
      <c r="J214" s="97">
        <v>0</v>
      </c>
      <c r="K214" s="97">
        <v>0</v>
      </c>
      <c r="M214" s="7">
        <f t="shared" si="34"/>
        <v>0</v>
      </c>
      <c r="N214" s="7">
        <f t="shared" si="43"/>
        <v>0</v>
      </c>
      <c r="O214" s="7">
        <f t="shared" si="42"/>
        <v>0</v>
      </c>
      <c r="P214" s="99">
        <f t="shared" si="35"/>
        <v>0</v>
      </c>
      <c r="Q214" s="99">
        <f t="shared" si="44"/>
        <v>-1.3683409451983127E-2</v>
      </c>
      <c r="S214" s="7">
        <f t="shared" si="36"/>
        <v>3960000.0000000005</v>
      </c>
      <c r="T214" s="7">
        <f t="shared" si="37"/>
        <v>1200000</v>
      </c>
      <c r="U214" s="7">
        <f t="shared" si="38"/>
        <v>6020000</v>
      </c>
      <c r="V214" s="7">
        <f t="shared" si="39"/>
        <v>0</v>
      </c>
      <c r="W214" s="7">
        <f t="shared" si="40"/>
        <v>0</v>
      </c>
      <c r="X214" s="7">
        <f t="shared" si="41"/>
        <v>0</v>
      </c>
    </row>
    <row r="215" spans="1:24">
      <c r="A215">
        <v>214</v>
      </c>
      <c r="B215" s="96" t="s">
        <v>3389</v>
      </c>
      <c r="C215" s="95">
        <v>40552</v>
      </c>
      <c r="D215" s="82">
        <v>3580000</v>
      </c>
      <c r="E215" s="82">
        <v>3580000</v>
      </c>
      <c r="F215" s="82">
        <v>3580000</v>
      </c>
      <c r="G215" s="82">
        <v>3580000</v>
      </c>
      <c r="I215" s="97">
        <v>0</v>
      </c>
      <c r="J215" s="97">
        <v>0</v>
      </c>
      <c r="K215" s="97">
        <v>0</v>
      </c>
      <c r="M215" s="7">
        <f t="shared" si="34"/>
        <v>0</v>
      </c>
      <c r="N215" s="7">
        <f t="shared" si="43"/>
        <v>0</v>
      </c>
      <c r="O215" s="7">
        <f t="shared" si="42"/>
        <v>-20000</v>
      </c>
      <c r="P215" s="99">
        <f t="shared" si="35"/>
        <v>-5.5555555555555558E-3</v>
      </c>
      <c r="Q215" s="99">
        <f t="shared" si="44"/>
        <v>-1.6423135479380388E-2</v>
      </c>
      <c r="S215" s="7">
        <f t="shared" si="36"/>
        <v>3938000.0000000005</v>
      </c>
      <c r="T215" s="7">
        <f t="shared" si="37"/>
        <v>1193333.3333333333</v>
      </c>
      <c r="U215" s="7">
        <f t="shared" si="38"/>
        <v>6130000</v>
      </c>
      <c r="V215" s="7">
        <f t="shared" si="39"/>
        <v>0</v>
      </c>
      <c r="W215" s="7">
        <f t="shared" si="40"/>
        <v>0</v>
      </c>
      <c r="X215" s="7">
        <f t="shared" si="41"/>
        <v>0</v>
      </c>
    </row>
    <row r="216" spans="1:24">
      <c r="A216">
        <v>215</v>
      </c>
      <c r="B216" s="96" t="s">
        <v>3388</v>
      </c>
      <c r="C216" s="95">
        <v>40553</v>
      </c>
      <c r="D216" s="82">
        <v>3590000</v>
      </c>
      <c r="E216" s="82">
        <v>3590000</v>
      </c>
      <c r="F216" s="82">
        <v>3590000</v>
      </c>
      <c r="G216" s="82">
        <v>3590000</v>
      </c>
      <c r="I216" s="98">
        <v>0</v>
      </c>
      <c r="J216" s="98">
        <v>0</v>
      </c>
      <c r="K216" s="98">
        <v>0</v>
      </c>
      <c r="M216" s="7">
        <f t="shared" si="34"/>
        <v>0</v>
      </c>
      <c r="N216" s="7">
        <f t="shared" si="43"/>
        <v>0</v>
      </c>
      <c r="O216" s="7">
        <f t="shared" si="42"/>
        <v>10000</v>
      </c>
      <c r="P216" s="99">
        <f t="shared" si="35"/>
        <v>2.7932960893854749E-3</v>
      </c>
      <c r="Q216" s="99">
        <f t="shared" si="44"/>
        <v>-1.6514210160619002E-2</v>
      </c>
      <c r="S216" s="7">
        <f t="shared" si="36"/>
        <v>3949000.0000000005</v>
      </c>
      <c r="T216" s="7">
        <f t="shared" si="37"/>
        <v>1196666.6666666667</v>
      </c>
      <c r="U216" s="7">
        <f t="shared" si="38"/>
        <v>6130000</v>
      </c>
      <c r="V216" s="7">
        <f t="shared" si="39"/>
        <v>0</v>
      </c>
      <c r="W216" s="7">
        <f t="shared" si="40"/>
        <v>0</v>
      </c>
      <c r="X216" s="7">
        <f t="shared" si="41"/>
        <v>0</v>
      </c>
    </row>
    <row r="217" spans="1:24">
      <c r="A217">
        <v>216</v>
      </c>
      <c r="B217" s="96" t="s">
        <v>3387</v>
      </c>
      <c r="C217" s="95">
        <v>40554</v>
      </c>
      <c r="D217" s="82">
        <v>3610000</v>
      </c>
      <c r="E217" s="82">
        <v>3610000</v>
      </c>
      <c r="F217" s="82">
        <v>3610000</v>
      </c>
      <c r="G217" s="82">
        <v>3610000</v>
      </c>
      <c r="I217" s="82">
        <f>G217*1.1</f>
        <v>3971000.0000000005</v>
      </c>
      <c r="J217" s="82">
        <f>G217/3</f>
        <v>1203333.3333333333</v>
      </c>
      <c r="K217" s="7">
        <f>G485</f>
        <v>6210000</v>
      </c>
      <c r="L217" s="7">
        <f>K217-I217</f>
        <v>2238999.9999999995</v>
      </c>
      <c r="M217" s="7">
        <f t="shared" si="34"/>
        <v>150416.66666666666</v>
      </c>
      <c r="N217" s="7">
        <f t="shared" si="43"/>
        <v>2389416.666666666</v>
      </c>
      <c r="O217" s="7">
        <f t="shared" si="42"/>
        <v>20000</v>
      </c>
      <c r="P217" s="99">
        <f t="shared" si="35"/>
        <v>5.5710306406685237E-3</v>
      </c>
      <c r="Q217" s="99">
        <f t="shared" si="44"/>
        <v>-8.2264085767280309E-3</v>
      </c>
      <c r="R217">
        <v>1</v>
      </c>
      <c r="S217" s="7">
        <f t="shared" si="36"/>
        <v>3971000.0000000005</v>
      </c>
      <c r="T217" s="7">
        <f t="shared" si="37"/>
        <v>1203333.3333333333</v>
      </c>
      <c r="U217" s="7">
        <f t="shared" si="38"/>
        <v>6210000</v>
      </c>
      <c r="V217" s="7">
        <f t="shared" si="39"/>
        <v>2238999.9999999995</v>
      </c>
      <c r="W217" s="7">
        <f t="shared" si="40"/>
        <v>150416.66666666666</v>
      </c>
      <c r="X217" s="7">
        <f t="shared" si="41"/>
        <v>2389416.666666666</v>
      </c>
    </row>
    <row r="218" spans="1:24">
      <c r="A218">
        <v>217</v>
      </c>
      <c r="B218" s="96" t="s">
        <v>3386</v>
      </c>
      <c r="C218" s="95">
        <v>40555</v>
      </c>
      <c r="D218" s="82">
        <v>3625000</v>
      </c>
      <c r="E218" s="82">
        <v>3625000</v>
      </c>
      <c r="F218" s="82">
        <v>3625000</v>
      </c>
      <c r="G218" s="82">
        <v>3625000</v>
      </c>
      <c r="I218" s="97">
        <v>0</v>
      </c>
      <c r="J218" s="97">
        <v>0</v>
      </c>
      <c r="K218" s="97">
        <v>0</v>
      </c>
      <c r="M218" s="7">
        <f t="shared" si="34"/>
        <v>0</v>
      </c>
      <c r="N218" s="7">
        <f t="shared" si="43"/>
        <v>0</v>
      </c>
      <c r="O218" s="7">
        <f t="shared" si="42"/>
        <v>15000</v>
      </c>
      <c r="P218" s="99">
        <f t="shared" si="35"/>
        <v>4.1551246537396124E-3</v>
      </c>
      <c r="Q218" s="99">
        <f t="shared" si="44"/>
        <v>-8.1802398145125466E-3</v>
      </c>
      <c r="S218" s="7">
        <f t="shared" si="36"/>
        <v>3987500.0000000005</v>
      </c>
      <c r="T218" s="7">
        <f t="shared" si="37"/>
        <v>1208333.3333333333</v>
      </c>
      <c r="U218" s="7">
        <f t="shared" si="38"/>
        <v>6140000</v>
      </c>
      <c r="V218" s="7">
        <f t="shared" si="39"/>
        <v>0</v>
      </c>
      <c r="W218" s="7">
        <f t="shared" si="40"/>
        <v>0</v>
      </c>
      <c r="X218" s="7">
        <f t="shared" si="41"/>
        <v>0</v>
      </c>
    </row>
    <row r="219" spans="1:24">
      <c r="A219">
        <v>218</v>
      </c>
      <c r="B219" s="96" t="s">
        <v>3385</v>
      </c>
      <c r="C219" s="95">
        <v>40556</v>
      </c>
      <c r="D219" s="82">
        <v>3670000</v>
      </c>
      <c r="E219" s="82">
        <v>3670000</v>
      </c>
      <c r="F219" s="82">
        <v>3670000</v>
      </c>
      <c r="G219" s="82">
        <v>3670000</v>
      </c>
      <c r="I219" s="97">
        <v>0</v>
      </c>
      <c r="J219" s="97">
        <v>0</v>
      </c>
      <c r="K219" s="97">
        <v>0</v>
      </c>
      <c r="M219" s="7">
        <f t="shared" si="34"/>
        <v>0</v>
      </c>
      <c r="N219" s="7">
        <f t="shared" si="43"/>
        <v>0</v>
      </c>
      <c r="O219" s="7">
        <f t="shared" si="42"/>
        <v>45000</v>
      </c>
      <c r="P219" s="99">
        <f t="shared" si="35"/>
        <v>1.2413793103448275E-2</v>
      </c>
      <c r="Q219" s="99">
        <f t="shared" si="44"/>
        <v>6.9638958282380557E-3</v>
      </c>
      <c r="S219" s="7">
        <f t="shared" si="36"/>
        <v>4037000.0000000005</v>
      </c>
      <c r="T219" s="7">
        <f t="shared" si="37"/>
        <v>1223333.3333333333</v>
      </c>
      <c r="U219" s="7">
        <f t="shared" si="38"/>
        <v>6130000</v>
      </c>
      <c r="V219" s="7">
        <f t="shared" si="39"/>
        <v>0</v>
      </c>
      <c r="W219" s="7">
        <f t="shared" si="40"/>
        <v>0</v>
      </c>
      <c r="X219" s="7">
        <f t="shared" si="41"/>
        <v>0</v>
      </c>
    </row>
    <row r="220" spans="1:24">
      <c r="A220">
        <v>219</v>
      </c>
      <c r="B220" s="96" t="s">
        <v>3384</v>
      </c>
      <c r="C220" s="95">
        <v>40558</v>
      </c>
      <c r="D220" s="82">
        <v>3650000</v>
      </c>
      <c r="E220" s="82">
        <v>3650000</v>
      </c>
      <c r="F220" s="82">
        <v>3650000</v>
      </c>
      <c r="G220" s="82">
        <v>3650000</v>
      </c>
      <c r="I220" s="97">
        <v>0</v>
      </c>
      <c r="J220" s="97">
        <v>0</v>
      </c>
      <c r="K220" s="97">
        <v>0</v>
      </c>
      <c r="M220" s="7">
        <f t="shared" si="34"/>
        <v>0</v>
      </c>
      <c r="N220" s="7">
        <f t="shared" si="43"/>
        <v>0</v>
      </c>
      <c r="O220" s="7">
        <f t="shared" si="42"/>
        <v>-20000</v>
      </c>
      <c r="P220" s="99">
        <f t="shared" si="35"/>
        <v>-5.4495912806539508E-3</v>
      </c>
      <c r="Q220" s="99">
        <f t="shared" si="44"/>
        <v>1.9377688931686329E-2</v>
      </c>
      <c r="S220" s="7">
        <f t="shared" si="36"/>
        <v>4015000.0000000005</v>
      </c>
      <c r="T220" s="7">
        <f t="shared" si="37"/>
        <v>1216666.6666666667</v>
      </c>
      <c r="U220" s="7">
        <f t="shared" si="38"/>
        <v>6170000</v>
      </c>
      <c r="V220" s="7">
        <f t="shared" si="39"/>
        <v>0</v>
      </c>
      <c r="W220" s="7">
        <f t="shared" si="40"/>
        <v>0</v>
      </c>
      <c r="X220" s="7">
        <f t="shared" si="41"/>
        <v>0</v>
      </c>
    </row>
    <row r="221" spans="1:24">
      <c r="A221">
        <v>220</v>
      </c>
      <c r="B221" s="96" t="s">
        <v>3383</v>
      </c>
      <c r="C221" s="95">
        <v>40559</v>
      </c>
      <c r="D221" s="82">
        <v>3600000</v>
      </c>
      <c r="E221" s="82">
        <v>3600000</v>
      </c>
      <c r="F221" s="82">
        <v>3600000</v>
      </c>
      <c r="G221" s="82">
        <v>3600000</v>
      </c>
      <c r="I221" s="98">
        <v>0</v>
      </c>
      <c r="J221" s="98">
        <v>0</v>
      </c>
      <c r="K221" s="98">
        <v>0</v>
      </c>
      <c r="M221" s="7">
        <f t="shared" si="34"/>
        <v>0</v>
      </c>
      <c r="N221" s="7">
        <f t="shared" si="43"/>
        <v>0</v>
      </c>
      <c r="O221" s="7">
        <f t="shared" si="42"/>
        <v>-50000</v>
      </c>
      <c r="P221" s="99">
        <f t="shared" si="35"/>
        <v>-1.3698630136986301E-2</v>
      </c>
      <c r="Q221" s="99">
        <f t="shared" si="44"/>
        <v>1.9483653206587934E-2</v>
      </c>
      <c r="S221" s="7">
        <f t="shared" si="36"/>
        <v>3960000.0000000005</v>
      </c>
      <c r="T221" s="7">
        <f t="shared" si="37"/>
        <v>1200000</v>
      </c>
      <c r="U221" s="7">
        <f t="shared" si="38"/>
        <v>6170000</v>
      </c>
      <c r="V221" s="7">
        <f t="shared" si="39"/>
        <v>0</v>
      </c>
      <c r="W221" s="7">
        <f t="shared" si="40"/>
        <v>0</v>
      </c>
      <c r="X221" s="7">
        <f t="shared" si="41"/>
        <v>0</v>
      </c>
    </row>
    <row r="222" spans="1:24">
      <c r="A222">
        <v>221</v>
      </c>
      <c r="B222" s="96" t="s">
        <v>3382</v>
      </c>
      <c r="C222" s="95">
        <v>40560</v>
      </c>
      <c r="D222" s="82">
        <v>3610000</v>
      </c>
      <c r="E222" s="82">
        <v>3610000</v>
      </c>
      <c r="F222" s="82">
        <v>3610000</v>
      </c>
      <c r="G222" s="82">
        <v>3610000</v>
      </c>
      <c r="I222" s="82">
        <f>G222*1.1</f>
        <v>3971000.0000000005</v>
      </c>
      <c r="J222" s="82">
        <f>G222/3</f>
        <v>1203333.3333333333</v>
      </c>
      <c r="K222" s="7">
        <f>G490</f>
        <v>6210000</v>
      </c>
      <c r="L222" s="7">
        <f>K222-I222</f>
        <v>2238999.9999999995</v>
      </c>
      <c r="M222" s="7">
        <f t="shared" si="34"/>
        <v>150416.66666666666</v>
      </c>
      <c r="N222" s="7">
        <f t="shared" si="43"/>
        <v>2389416.666666666</v>
      </c>
      <c r="O222" s="7">
        <f t="shared" si="42"/>
        <v>10000</v>
      </c>
      <c r="P222" s="99">
        <f t="shared" si="35"/>
        <v>2.7777777777777779E-3</v>
      </c>
      <c r="Q222" s="99">
        <f t="shared" si="44"/>
        <v>2.9917269802161618E-3</v>
      </c>
      <c r="R222">
        <v>1</v>
      </c>
      <c r="S222" s="7">
        <f t="shared" si="36"/>
        <v>3971000.0000000005</v>
      </c>
      <c r="T222" s="7">
        <f t="shared" si="37"/>
        <v>1203333.3333333333</v>
      </c>
      <c r="U222" s="7">
        <f t="shared" si="38"/>
        <v>6210000</v>
      </c>
      <c r="V222" s="7">
        <f t="shared" si="39"/>
        <v>2238999.9999999995</v>
      </c>
      <c r="W222" s="7">
        <f t="shared" si="40"/>
        <v>150416.66666666666</v>
      </c>
      <c r="X222" s="7">
        <f t="shared" si="41"/>
        <v>2389416.666666666</v>
      </c>
    </row>
    <row r="223" spans="1:24">
      <c r="A223">
        <v>222</v>
      </c>
      <c r="B223" s="96" t="s">
        <v>3381</v>
      </c>
      <c r="C223" s="95">
        <v>40561</v>
      </c>
      <c r="D223" s="82">
        <v>3600000</v>
      </c>
      <c r="E223" s="82">
        <v>3600000</v>
      </c>
      <c r="F223" s="82">
        <v>3600000</v>
      </c>
      <c r="G223" s="82">
        <v>3600000</v>
      </c>
      <c r="I223" s="97">
        <v>0</v>
      </c>
      <c r="J223" s="97">
        <v>0</v>
      </c>
      <c r="K223" s="97">
        <v>0</v>
      </c>
      <c r="M223" s="7">
        <f t="shared" si="34"/>
        <v>0</v>
      </c>
      <c r="N223" s="7">
        <f t="shared" si="43"/>
        <v>0</v>
      </c>
      <c r="O223" s="7">
        <f t="shared" si="42"/>
        <v>-10000</v>
      </c>
      <c r="P223" s="99">
        <f t="shared" si="35"/>
        <v>-2.7700831024930748E-3</v>
      </c>
      <c r="Q223" s="99">
        <f t="shared" si="44"/>
        <v>1.9847411732541341E-4</v>
      </c>
      <c r="S223" s="7">
        <f t="shared" si="36"/>
        <v>3960000.0000000005</v>
      </c>
      <c r="T223" s="7">
        <f t="shared" si="37"/>
        <v>1200000</v>
      </c>
      <c r="U223" s="7">
        <f t="shared" si="38"/>
        <v>6350000</v>
      </c>
      <c r="V223" s="7">
        <f t="shared" si="39"/>
        <v>0</v>
      </c>
      <c r="W223" s="7">
        <f t="shared" si="40"/>
        <v>0</v>
      </c>
      <c r="X223" s="7">
        <f t="shared" si="41"/>
        <v>0</v>
      </c>
    </row>
    <row r="224" spans="1:24">
      <c r="A224">
        <v>223</v>
      </c>
      <c r="B224" s="96" t="s">
        <v>3380</v>
      </c>
      <c r="C224" s="95">
        <v>40562</v>
      </c>
      <c r="D224" s="82">
        <v>3620000</v>
      </c>
      <c r="E224" s="82">
        <v>3620000</v>
      </c>
      <c r="F224" s="82">
        <v>3620000</v>
      </c>
      <c r="G224" s="82">
        <v>3620000</v>
      </c>
      <c r="I224" s="97">
        <v>0</v>
      </c>
      <c r="J224" s="97">
        <v>0</v>
      </c>
      <c r="K224" s="97">
        <v>0</v>
      </c>
      <c r="M224" s="7">
        <f t="shared" si="34"/>
        <v>0</v>
      </c>
      <c r="N224" s="7">
        <f t="shared" si="43"/>
        <v>0</v>
      </c>
      <c r="O224" s="7">
        <f t="shared" si="42"/>
        <v>20000</v>
      </c>
      <c r="P224" s="99">
        <f t="shared" si="35"/>
        <v>5.5555555555555558E-3</v>
      </c>
      <c r="Q224" s="99">
        <f t="shared" si="44"/>
        <v>-6.7267336389072729E-3</v>
      </c>
      <c r="S224" s="7">
        <f t="shared" si="36"/>
        <v>3982000.0000000005</v>
      </c>
      <c r="T224" s="7">
        <f t="shared" si="37"/>
        <v>1206666.6666666667</v>
      </c>
      <c r="U224" s="7">
        <f t="shared" si="38"/>
        <v>6600000</v>
      </c>
      <c r="V224" s="7">
        <f t="shared" si="39"/>
        <v>0</v>
      </c>
      <c r="W224" s="7">
        <f t="shared" si="40"/>
        <v>0</v>
      </c>
      <c r="X224" s="7">
        <f t="shared" si="41"/>
        <v>0</v>
      </c>
    </row>
    <row r="225" spans="1:24">
      <c r="A225">
        <v>224</v>
      </c>
      <c r="B225" s="96" t="s">
        <v>3379</v>
      </c>
      <c r="C225" s="95">
        <v>40563</v>
      </c>
      <c r="D225" s="82">
        <v>3610000</v>
      </c>
      <c r="E225" s="82">
        <v>3610000</v>
      </c>
      <c r="F225" s="82">
        <v>3610000</v>
      </c>
      <c r="G225" s="82">
        <v>3610000</v>
      </c>
      <c r="I225" s="97">
        <v>0</v>
      </c>
      <c r="J225" s="97">
        <v>0</v>
      </c>
      <c r="K225" s="97">
        <v>0</v>
      </c>
      <c r="M225" s="7">
        <f t="shared" si="34"/>
        <v>0</v>
      </c>
      <c r="N225" s="7">
        <f t="shared" si="43"/>
        <v>0</v>
      </c>
      <c r="O225" s="7">
        <f t="shared" si="42"/>
        <v>-10000</v>
      </c>
      <c r="P225" s="99">
        <f t="shared" si="35"/>
        <v>-2.7624309392265192E-3</v>
      </c>
      <c r="Q225" s="99">
        <f t="shared" si="44"/>
        <v>-1.3584971186799993E-2</v>
      </c>
      <c r="S225" s="7">
        <f t="shared" si="36"/>
        <v>3971000.0000000005</v>
      </c>
      <c r="T225" s="7">
        <f t="shared" si="37"/>
        <v>1203333.3333333333</v>
      </c>
      <c r="U225" s="7">
        <f t="shared" si="38"/>
        <v>6690000</v>
      </c>
      <c r="V225" s="7">
        <f t="shared" si="39"/>
        <v>0</v>
      </c>
      <c r="W225" s="7">
        <f t="shared" si="40"/>
        <v>0</v>
      </c>
      <c r="X225" s="7">
        <f t="shared" si="41"/>
        <v>0</v>
      </c>
    </row>
    <row r="226" spans="1:24">
      <c r="A226">
        <v>225</v>
      </c>
      <c r="B226" s="96" t="s">
        <v>3378</v>
      </c>
      <c r="C226" s="95">
        <v>40565</v>
      </c>
      <c r="D226" s="82">
        <v>3600000</v>
      </c>
      <c r="E226" s="82">
        <v>3600000</v>
      </c>
      <c r="F226" s="82">
        <v>3600000</v>
      </c>
      <c r="G226" s="82">
        <v>3600000</v>
      </c>
      <c r="I226" s="98">
        <v>0</v>
      </c>
      <c r="J226" s="98">
        <v>0</v>
      </c>
      <c r="K226" s="98">
        <v>0</v>
      </c>
      <c r="M226" s="7">
        <f t="shared" si="34"/>
        <v>0</v>
      </c>
      <c r="N226" s="7">
        <f t="shared" si="43"/>
        <v>0</v>
      </c>
      <c r="O226" s="7">
        <f t="shared" si="42"/>
        <v>-10000</v>
      </c>
      <c r="P226" s="99">
        <f t="shared" si="35"/>
        <v>-2.7700831024930748E-3</v>
      </c>
      <c r="Q226" s="99">
        <f t="shared" si="44"/>
        <v>-1.0897810845372561E-2</v>
      </c>
      <c r="S226" s="7">
        <f t="shared" si="36"/>
        <v>3960000.0000000005</v>
      </c>
      <c r="T226" s="7">
        <f t="shared" si="37"/>
        <v>1200000</v>
      </c>
      <c r="U226" s="7">
        <f t="shared" si="38"/>
        <v>6670000</v>
      </c>
      <c r="V226" s="7">
        <f t="shared" si="39"/>
        <v>0</v>
      </c>
      <c r="W226" s="7">
        <f t="shared" si="40"/>
        <v>0</v>
      </c>
      <c r="X226" s="7">
        <f t="shared" si="41"/>
        <v>0</v>
      </c>
    </row>
    <row r="227" spans="1:24">
      <c r="A227">
        <v>226</v>
      </c>
      <c r="B227" s="96" t="s">
        <v>3377</v>
      </c>
      <c r="C227" s="95">
        <v>40566</v>
      </c>
      <c r="D227" s="82">
        <v>3570000</v>
      </c>
      <c r="E227" s="82">
        <v>3570000</v>
      </c>
      <c r="F227" s="82">
        <v>3570000</v>
      </c>
      <c r="G227" s="82">
        <v>3570000</v>
      </c>
      <c r="I227" s="82">
        <f>G227*1.1</f>
        <v>3927000.0000000005</v>
      </c>
      <c r="J227" s="82">
        <f>G227/3</f>
        <v>1190000</v>
      </c>
      <c r="K227" s="7">
        <f>G495</f>
        <v>6700000</v>
      </c>
      <c r="L227" s="7">
        <f>K227-I227</f>
        <v>2772999.9999999995</v>
      </c>
      <c r="M227" s="7">
        <f t="shared" si="34"/>
        <v>148750</v>
      </c>
      <c r="N227" s="7">
        <f t="shared" si="43"/>
        <v>2921749.9999999995</v>
      </c>
      <c r="O227" s="7">
        <f t="shared" si="42"/>
        <v>-30000</v>
      </c>
      <c r="P227" s="99">
        <f t="shared" si="35"/>
        <v>-8.3333333333333332E-3</v>
      </c>
      <c r="Q227" s="99">
        <f t="shared" si="44"/>
        <v>3.0736189120664833E-5</v>
      </c>
      <c r="R227">
        <v>1</v>
      </c>
      <c r="S227" s="7">
        <f t="shared" si="36"/>
        <v>3927000.0000000005</v>
      </c>
      <c r="T227" s="7">
        <f t="shared" si="37"/>
        <v>1190000</v>
      </c>
      <c r="U227" s="7">
        <f t="shared" si="38"/>
        <v>6700000</v>
      </c>
      <c r="V227" s="7">
        <f t="shared" si="39"/>
        <v>2772999.9999999995</v>
      </c>
      <c r="W227" s="7">
        <f t="shared" si="40"/>
        <v>148750</v>
      </c>
      <c r="X227" s="7">
        <f t="shared" si="41"/>
        <v>2921749.9999999995</v>
      </c>
    </row>
    <row r="228" spans="1:24">
      <c r="A228">
        <v>227</v>
      </c>
      <c r="B228" s="96" t="s">
        <v>3376</v>
      </c>
      <c r="C228" s="95">
        <v>40567</v>
      </c>
      <c r="D228" s="82">
        <v>3550000</v>
      </c>
      <c r="E228" s="82">
        <v>3550000</v>
      </c>
      <c r="F228" s="82">
        <v>3550000</v>
      </c>
      <c r="G228" s="82">
        <v>3550000</v>
      </c>
      <c r="I228" s="97">
        <v>0</v>
      </c>
      <c r="J228" s="97">
        <v>0</v>
      </c>
      <c r="K228" s="97">
        <v>0</v>
      </c>
      <c r="M228" s="7">
        <f t="shared" si="34"/>
        <v>0</v>
      </c>
      <c r="N228" s="7">
        <f t="shared" si="43"/>
        <v>0</v>
      </c>
      <c r="O228" s="7">
        <f t="shared" si="42"/>
        <v>-20000</v>
      </c>
      <c r="P228" s="99">
        <f t="shared" si="35"/>
        <v>-5.6022408963585435E-3</v>
      </c>
      <c r="Q228" s="99">
        <f t="shared" si="44"/>
        <v>-1.1080374921990446E-2</v>
      </c>
      <c r="S228" s="7">
        <f t="shared" si="36"/>
        <v>3905000.0000000005</v>
      </c>
      <c r="T228" s="7">
        <f t="shared" si="37"/>
        <v>1183333.3333333333</v>
      </c>
      <c r="U228" s="7">
        <f t="shared" si="38"/>
        <v>6950000</v>
      </c>
      <c r="V228" s="7">
        <f t="shared" si="39"/>
        <v>0</v>
      </c>
      <c r="W228" s="7">
        <f t="shared" si="40"/>
        <v>0</v>
      </c>
      <c r="X228" s="7">
        <f t="shared" si="41"/>
        <v>0</v>
      </c>
    </row>
    <row r="229" spans="1:24">
      <c r="A229">
        <v>228</v>
      </c>
      <c r="B229" s="96" t="s">
        <v>3375</v>
      </c>
      <c r="C229" s="95">
        <v>40569</v>
      </c>
      <c r="D229" s="82">
        <v>3560000</v>
      </c>
      <c r="E229" s="82">
        <v>3560000</v>
      </c>
      <c r="F229" s="82">
        <v>3560000</v>
      </c>
      <c r="G229" s="82">
        <v>3560000</v>
      </c>
      <c r="I229" s="97">
        <v>0</v>
      </c>
      <c r="J229" s="97">
        <v>0</v>
      </c>
      <c r="K229" s="97">
        <v>0</v>
      </c>
      <c r="M229" s="7">
        <f t="shared" si="34"/>
        <v>0</v>
      </c>
      <c r="N229" s="7">
        <f t="shared" si="43"/>
        <v>0</v>
      </c>
      <c r="O229" s="7">
        <f t="shared" si="42"/>
        <v>10000</v>
      </c>
      <c r="P229" s="99">
        <f t="shared" si="35"/>
        <v>2.8169014084507044E-3</v>
      </c>
      <c r="Q229" s="99">
        <f t="shared" si="44"/>
        <v>-1.3912532715855915E-2</v>
      </c>
      <c r="S229" s="7">
        <f t="shared" si="36"/>
        <v>3916000.0000000005</v>
      </c>
      <c r="T229" s="7">
        <f t="shared" si="37"/>
        <v>1186666.6666666667</v>
      </c>
      <c r="U229" s="7">
        <f t="shared" si="38"/>
        <v>7530000</v>
      </c>
      <c r="V229" s="7">
        <f t="shared" si="39"/>
        <v>0</v>
      </c>
      <c r="W229" s="7">
        <f t="shared" si="40"/>
        <v>0</v>
      </c>
      <c r="X229" s="7">
        <f t="shared" si="41"/>
        <v>0</v>
      </c>
    </row>
    <row r="230" spans="1:24">
      <c r="A230">
        <v>229</v>
      </c>
      <c r="B230" s="96" t="s">
        <v>3374</v>
      </c>
      <c r="C230" s="95">
        <v>40570</v>
      </c>
      <c r="D230" s="82">
        <v>3540000</v>
      </c>
      <c r="E230" s="82">
        <v>3540000</v>
      </c>
      <c r="F230" s="82">
        <v>3540000</v>
      </c>
      <c r="G230" s="82">
        <v>3540000</v>
      </c>
      <c r="I230" s="97">
        <v>0</v>
      </c>
      <c r="J230" s="97">
        <v>0</v>
      </c>
      <c r="K230" s="97">
        <v>0</v>
      </c>
      <c r="M230" s="7">
        <f t="shared" si="34"/>
        <v>0</v>
      </c>
      <c r="N230" s="7">
        <f t="shared" si="43"/>
        <v>0</v>
      </c>
      <c r="O230" s="7">
        <f t="shared" si="42"/>
        <v>-20000</v>
      </c>
      <c r="P230" s="99">
        <f t="shared" si="35"/>
        <v>-5.6179775280898875E-3</v>
      </c>
      <c r="Q230" s="99">
        <f t="shared" si="44"/>
        <v>-1.6651186862960767E-2</v>
      </c>
      <c r="S230" s="7">
        <f t="shared" si="36"/>
        <v>3894000.0000000005</v>
      </c>
      <c r="T230" s="7">
        <f t="shared" si="37"/>
        <v>1180000</v>
      </c>
      <c r="U230" s="7">
        <f t="shared" si="38"/>
        <v>7720000</v>
      </c>
      <c r="V230" s="7">
        <f t="shared" si="39"/>
        <v>0</v>
      </c>
      <c r="W230" s="7">
        <f t="shared" si="40"/>
        <v>0</v>
      </c>
      <c r="X230" s="7">
        <f t="shared" si="41"/>
        <v>0</v>
      </c>
    </row>
    <row r="231" spans="1:24">
      <c r="A231">
        <v>230</v>
      </c>
      <c r="B231" s="96" t="s">
        <v>3373</v>
      </c>
      <c r="C231" s="95">
        <v>40572</v>
      </c>
      <c r="D231" s="82">
        <v>3570000</v>
      </c>
      <c r="E231" s="82">
        <v>3570000</v>
      </c>
      <c r="F231" s="82">
        <v>3570000</v>
      </c>
      <c r="G231" s="82">
        <v>3570000</v>
      </c>
      <c r="I231" s="98">
        <v>0</v>
      </c>
      <c r="J231" s="98">
        <v>0</v>
      </c>
      <c r="K231" s="98">
        <v>0</v>
      </c>
      <c r="M231" s="7">
        <f t="shared" si="34"/>
        <v>0</v>
      </c>
      <c r="N231" s="7">
        <f t="shared" si="43"/>
        <v>0</v>
      </c>
      <c r="O231" s="7">
        <f t="shared" si="42"/>
        <v>30000</v>
      </c>
      <c r="P231" s="99">
        <f t="shared" si="35"/>
        <v>8.4745762711864406E-3</v>
      </c>
      <c r="Q231" s="99">
        <f t="shared" si="44"/>
        <v>-1.9506733451824135E-2</v>
      </c>
      <c r="S231" s="7">
        <f t="shared" si="36"/>
        <v>3927000.0000000005</v>
      </c>
      <c r="T231" s="7">
        <f t="shared" si="37"/>
        <v>1190000</v>
      </c>
      <c r="U231" s="7">
        <f t="shared" si="38"/>
        <v>7810000</v>
      </c>
      <c r="V231" s="7">
        <f t="shared" si="39"/>
        <v>0</v>
      </c>
      <c r="W231" s="7">
        <f t="shared" si="40"/>
        <v>0</v>
      </c>
      <c r="X231" s="7">
        <f t="shared" si="41"/>
        <v>0</v>
      </c>
    </row>
    <row r="232" spans="1:24">
      <c r="A232">
        <v>231</v>
      </c>
      <c r="B232" s="96" t="s">
        <v>3372</v>
      </c>
      <c r="C232" s="95">
        <v>40573</v>
      </c>
      <c r="D232" s="82">
        <v>3560000</v>
      </c>
      <c r="E232" s="82">
        <v>3560000</v>
      </c>
      <c r="F232" s="82">
        <v>3560000</v>
      </c>
      <c r="G232" s="82">
        <v>3560000</v>
      </c>
      <c r="I232" s="82">
        <f>G232*1.1</f>
        <v>3916000.0000000005</v>
      </c>
      <c r="J232" s="82">
        <f>G232/3</f>
        <v>1186666.6666666667</v>
      </c>
      <c r="K232" s="7">
        <f>G500</f>
        <v>9150000</v>
      </c>
      <c r="L232" s="7">
        <f>K232-I232</f>
        <v>5234000</v>
      </c>
      <c r="M232" s="7">
        <f t="shared" si="34"/>
        <v>148333.33333333334</v>
      </c>
      <c r="N232" s="7">
        <f t="shared" si="43"/>
        <v>5382333.333333333</v>
      </c>
      <c r="O232" s="7">
        <f t="shared" si="42"/>
        <v>-10000</v>
      </c>
      <c r="P232" s="99">
        <f t="shared" si="35"/>
        <v>-2.8011204481792717E-3</v>
      </c>
      <c r="Q232" s="99">
        <f t="shared" si="44"/>
        <v>-8.2620740781446187E-3</v>
      </c>
      <c r="R232">
        <v>1</v>
      </c>
      <c r="S232" s="7">
        <f t="shared" si="36"/>
        <v>3916000.0000000005</v>
      </c>
      <c r="T232" s="7">
        <f t="shared" si="37"/>
        <v>1186666.6666666667</v>
      </c>
      <c r="U232" s="7">
        <f t="shared" si="38"/>
        <v>9150000</v>
      </c>
      <c r="V232" s="7">
        <f t="shared" si="39"/>
        <v>5234000</v>
      </c>
      <c r="W232" s="7">
        <f t="shared" si="40"/>
        <v>148333.33333333334</v>
      </c>
      <c r="X232" s="7">
        <f t="shared" si="41"/>
        <v>5382333.333333333</v>
      </c>
    </row>
    <row r="233" spans="1:24">
      <c r="A233">
        <v>232</v>
      </c>
      <c r="B233" s="96" t="s">
        <v>3371</v>
      </c>
      <c r="C233" s="95">
        <v>40574</v>
      </c>
      <c r="D233" s="82">
        <v>3560000</v>
      </c>
      <c r="E233" s="82">
        <v>3560000</v>
      </c>
      <c r="F233" s="82">
        <v>3560000</v>
      </c>
      <c r="G233" s="82">
        <v>3560000</v>
      </c>
      <c r="I233" s="97">
        <v>0</v>
      </c>
      <c r="J233" s="97">
        <v>0</v>
      </c>
      <c r="K233" s="97">
        <v>0</v>
      </c>
      <c r="M233" s="7">
        <f t="shared" si="34"/>
        <v>0</v>
      </c>
      <c r="N233" s="7">
        <f t="shared" si="43"/>
        <v>0</v>
      </c>
      <c r="O233" s="7">
        <f t="shared" si="42"/>
        <v>0</v>
      </c>
      <c r="P233" s="99">
        <f t="shared" si="35"/>
        <v>0</v>
      </c>
      <c r="Q233" s="99">
        <f t="shared" si="44"/>
        <v>-2.7298611929905572E-3</v>
      </c>
      <c r="S233" s="7">
        <f t="shared" si="36"/>
        <v>3916000.0000000005</v>
      </c>
      <c r="T233" s="7">
        <f t="shared" si="37"/>
        <v>1186666.6666666667</v>
      </c>
      <c r="U233" s="7">
        <f t="shared" si="38"/>
        <v>10100000</v>
      </c>
      <c r="V233" s="7">
        <f t="shared" si="39"/>
        <v>0</v>
      </c>
      <c r="W233" s="7">
        <f t="shared" si="40"/>
        <v>0</v>
      </c>
      <c r="X233" s="7">
        <f t="shared" si="41"/>
        <v>0</v>
      </c>
    </row>
    <row r="234" spans="1:24">
      <c r="A234">
        <v>233</v>
      </c>
      <c r="B234" s="96" t="s">
        <v>3370</v>
      </c>
      <c r="C234" s="95">
        <v>40575</v>
      </c>
      <c r="D234" s="82">
        <v>3560000</v>
      </c>
      <c r="E234" s="82">
        <v>3560000</v>
      </c>
      <c r="F234" s="82">
        <v>3560000</v>
      </c>
      <c r="G234" s="82">
        <v>3560000</v>
      </c>
      <c r="I234" s="97">
        <v>0</v>
      </c>
      <c r="J234" s="97">
        <v>0</v>
      </c>
      <c r="K234" s="97">
        <v>0</v>
      </c>
      <c r="M234" s="7">
        <f t="shared" si="34"/>
        <v>0</v>
      </c>
      <c r="N234" s="7">
        <f t="shared" si="43"/>
        <v>0</v>
      </c>
      <c r="O234" s="7">
        <f t="shared" si="42"/>
        <v>0</v>
      </c>
      <c r="P234" s="99">
        <f t="shared" si="35"/>
        <v>0</v>
      </c>
      <c r="Q234" s="99">
        <f t="shared" si="44"/>
        <v>2.8723797033679854E-3</v>
      </c>
      <c r="S234" s="7">
        <f t="shared" si="36"/>
        <v>3916000.0000000005</v>
      </c>
      <c r="T234" s="7">
        <f t="shared" si="37"/>
        <v>1186666.6666666667</v>
      </c>
      <c r="U234" s="7">
        <f t="shared" si="38"/>
        <v>8000000</v>
      </c>
      <c r="V234" s="7">
        <f t="shared" si="39"/>
        <v>0</v>
      </c>
      <c r="W234" s="7">
        <f t="shared" si="40"/>
        <v>0</v>
      </c>
      <c r="X234" s="7">
        <f t="shared" si="41"/>
        <v>0</v>
      </c>
    </row>
    <row r="235" spans="1:24">
      <c r="A235">
        <v>234</v>
      </c>
      <c r="B235" s="96" t="s">
        <v>3369</v>
      </c>
      <c r="C235" s="95">
        <v>40579</v>
      </c>
      <c r="D235" s="82">
        <v>3570000</v>
      </c>
      <c r="E235" s="82">
        <v>3570000</v>
      </c>
      <c r="F235" s="82">
        <v>3570000</v>
      </c>
      <c r="G235" s="82">
        <v>3570000</v>
      </c>
      <c r="I235" s="97">
        <v>0</v>
      </c>
      <c r="J235" s="97">
        <v>0</v>
      </c>
      <c r="K235" s="97">
        <v>0</v>
      </c>
      <c r="M235" s="7">
        <f t="shared" si="34"/>
        <v>0</v>
      </c>
      <c r="N235" s="7">
        <f t="shared" si="43"/>
        <v>0</v>
      </c>
      <c r="O235" s="7">
        <f t="shared" si="42"/>
        <v>10000</v>
      </c>
      <c r="P235" s="99">
        <f t="shared" si="35"/>
        <v>2.8089887640449437E-3</v>
      </c>
      <c r="Q235" s="99">
        <f t="shared" si="44"/>
        <v>5.5478294917281432E-5</v>
      </c>
      <c r="S235" s="7">
        <f t="shared" si="36"/>
        <v>3927000.0000000005</v>
      </c>
      <c r="T235" s="7">
        <f t="shared" si="37"/>
        <v>1190000</v>
      </c>
      <c r="U235" s="7">
        <f t="shared" si="38"/>
        <v>7800000</v>
      </c>
      <c r="V235" s="7">
        <f t="shared" si="39"/>
        <v>0</v>
      </c>
      <c r="W235" s="7">
        <f t="shared" si="40"/>
        <v>0</v>
      </c>
      <c r="X235" s="7">
        <f t="shared" si="41"/>
        <v>0</v>
      </c>
    </row>
    <row r="236" spans="1:24">
      <c r="A236">
        <v>235</v>
      </c>
      <c r="B236" s="96" t="s">
        <v>3368</v>
      </c>
      <c r="C236" s="95">
        <v>40580</v>
      </c>
      <c r="D236" s="82">
        <v>3600000</v>
      </c>
      <c r="E236" s="82">
        <v>3600000</v>
      </c>
      <c r="F236" s="82">
        <v>3600000</v>
      </c>
      <c r="G236" s="82">
        <v>3600000</v>
      </c>
      <c r="I236" s="98">
        <v>0</v>
      </c>
      <c r="J236" s="98">
        <v>0</v>
      </c>
      <c r="K236" s="98">
        <v>0</v>
      </c>
      <c r="M236" s="7">
        <f t="shared" si="34"/>
        <v>0</v>
      </c>
      <c r="N236" s="7">
        <f t="shared" si="43"/>
        <v>0</v>
      </c>
      <c r="O236" s="7">
        <f t="shared" si="42"/>
        <v>30000</v>
      </c>
      <c r="P236" s="99">
        <f t="shared" si="35"/>
        <v>8.4033613445378148E-3</v>
      </c>
      <c r="Q236" s="99">
        <f t="shared" si="44"/>
        <v>8.4824445870521122E-3</v>
      </c>
      <c r="S236" s="7">
        <f t="shared" si="36"/>
        <v>3960000.0000000005</v>
      </c>
      <c r="T236" s="7">
        <f t="shared" si="37"/>
        <v>1200000</v>
      </c>
      <c r="U236" s="7">
        <f t="shared" si="38"/>
        <v>7950000</v>
      </c>
      <c r="V236" s="7">
        <f t="shared" si="39"/>
        <v>0</v>
      </c>
      <c r="W236" s="7">
        <f t="shared" si="40"/>
        <v>0</v>
      </c>
      <c r="X236" s="7">
        <f t="shared" si="41"/>
        <v>0</v>
      </c>
    </row>
    <row r="237" spans="1:24">
      <c r="A237">
        <v>236</v>
      </c>
      <c r="B237" s="96" t="s">
        <v>3367</v>
      </c>
      <c r="C237" s="95">
        <v>40581</v>
      </c>
      <c r="D237" s="82">
        <v>3580000</v>
      </c>
      <c r="E237" s="82">
        <v>3580000</v>
      </c>
      <c r="F237" s="82">
        <v>3580000</v>
      </c>
      <c r="G237" s="82">
        <v>3580000</v>
      </c>
      <c r="I237" s="82">
        <f>G237*1.1</f>
        <v>3938000.0000000005</v>
      </c>
      <c r="J237" s="82">
        <f>G237/3</f>
        <v>1193333.3333333333</v>
      </c>
      <c r="K237" s="7">
        <f>G505</f>
        <v>8400000</v>
      </c>
      <c r="L237" s="7">
        <f>K237-I237</f>
        <v>4462000</v>
      </c>
      <c r="M237" s="7">
        <f t="shared" si="34"/>
        <v>149166.66666666666</v>
      </c>
      <c r="N237" s="7">
        <f t="shared" si="43"/>
        <v>4611166.666666667</v>
      </c>
      <c r="O237" s="7">
        <f t="shared" si="42"/>
        <v>-20000</v>
      </c>
      <c r="P237" s="99">
        <f t="shared" si="35"/>
        <v>-5.5555555555555558E-3</v>
      </c>
      <c r="Q237" s="99">
        <f t="shared" si="44"/>
        <v>8.4112296604034863E-3</v>
      </c>
      <c r="R237">
        <v>1</v>
      </c>
      <c r="S237" s="7">
        <f t="shared" si="36"/>
        <v>3938000.0000000005</v>
      </c>
      <c r="T237" s="7">
        <f t="shared" si="37"/>
        <v>1193333.3333333333</v>
      </c>
      <c r="U237" s="7">
        <f t="shared" si="38"/>
        <v>8400000</v>
      </c>
      <c r="V237" s="7">
        <f t="shared" si="39"/>
        <v>4462000</v>
      </c>
      <c r="W237" s="7">
        <f t="shared" si="40"/>
        <v>149166.66666666666</v>
      </c>
      <c r="X237" s="7">
        <f t="shared" si="41"/>
        <v>4611166.666666667</v>
      </c>
    </row>
    <row r="238" spans="1:24">
      <c r="A238">
        <v>237</v>
      </c>
      <c r="B238" s="96" t="s">
        <v>3366</v>
      </c>
      <c r="C238" s="95">
        <v>40582</v>
      </c>
      <c r="D238" s="82">
        <v>3580000</v>
      </c>
      <c r="E238" s="82">
        <v>3580000</v>
      </c>
      <c r="F238" s="82">
        <v>3580000</v>
      </c>
      <c r="G238" s="82">
        <v>3580000</v>
      </c>
      <c r="I238" s="97">
        <v>0</v>
      </c>
      <c r="J238" s="97">
        <v>0</v>
      </c>
      <c r="K238" s="97">
        <v>0</v>
      </c>
      <c r="M238" s="7">
        <f t="shared" si="34"/>
        <v>0</v>
      </c>
      <c r="N238" s="7">
        <f t="shared" si="43"/>
        <v>0</v>
      </c>
      <c r="O238" s="7">
        <f t="shared" si="42"/>
        <v>0</v>
      </c>
      <c r="P238" s="99">
        <f t="shared" si="35"/>
        <v>0</v>
      </c>
      <c r="Q238" s="99">
        <f t="shared" si="44"/>
        <v>5.6567945530272027E-3</v>
      </c>
      <c r="S238" s="7">
        <f t="shared" si="36"/>
        <v>3938000.0000000005</v>
      </c>
      <c r="T238" s="7">
        <f t="shared" si="37"/>
        <v>1193333.3333333333</v>
      </c>
      <c r="U238" s="7">
        <f t="shared" si="38"/>
        <v>8400000</v>
      </c>
      <c r="V238" s="7">
        <f t="shared" si="39"/>
        <v>0</v>
      </c>
      <c r="W238" s="7">
        <f t="shared" si="40"/>
        <v>0</v>
      </c>
      <c r="X238" s="7">
        <f t="shared" si="41"/>
        <v>0</v>
      </c>
    </row>
    <row r="239" spans="1:24">
      <c r="A239">
        <v>238</v>
      </c>
      <c r="B239" s="96" t="s">
        <v>3365</v>
      </c>
      <c r="C239" s="95">
        <v>40583</v>
      </c>
      <c r="D239" s="82">
        <v>3570000</v>
      </c>
      <c r="E239" s="82">
        <v>3570000</v>
      </c>
      <c r="F239" s="82">
        <v>3570000</v>
      </c>
      <c r="G239" s="82">
        <v>3570000</v>
      </c>
      <c r="I239" s="97">
        <v>0</v>
      </c>
      <c r="J239" s="97">
        <v>0</v>
      </c>
      <c r="K239" s="97">
        <v>0</v>
      </c>
      <c r="M239" s="7">
        <f t="shared" si="34"/>
        <v>0</v>
      </c>
      <c r="N239" s="7">
        <f t="shared" si="43"/>
        <v>0</v>
      </c>
      <c r="O239" s="7">
        <f t="shared" si="42"/>
        <v>-10000</v>
      </c>
      <c r="P239" s="99">
        <f t="shared" si="35"/>
        <v>-2.7932960893854749E-3</v>
      </c>
      <c r="Q239" s="99">
        <f t="shared" si="44"/>
        <v>5.6567945530272027E-3</v>
      </c>
      <c r="S239" s="7">
        <f t="shared" si="36"/>
        <v>3927000.0000000005</v>
      </c>
      <c r="T239" s="7">
        <f t="shared" si="37"/>
        <v>1190000</v>
      </c>
      <c r="U239" s="7">
        <f t="shared" si="38"/>
        <v>7850000</v>
      </c>
      <c r="V239" s="7">
        <f t="shared" si="39"/>
        <v>0</v>
      </c>
      <c r="W239" s="7">
        <f t="shared" si="40"/>
        <v>0</v>
      </c>
      <c r="X239" s="7">
        <f t="shared" si="41"/>
        <v>0</v>
      </c>
    </row>
    <row r="240" spans="1:24">
      <c r="A240">
        <v>239</v>
      </c>
      <c r="B240" s="96" t="s">
        <v>3364</v>
      </c>
      <c r="C240" s="95">
        <v>40584</v>
      </c>
      <c r="D240" s="82">
        <v>3580000</v>
      </c>
      <c r="E240" s="82">
        <v>3580000</v>
      </c>
      <c r="F240" s="82">
        <v>3580000</v>
      </c>
      <c r="G240" s="82">
        <v>3580000</v>
      </c>
      <c r="I240" s="97">
        <v>0</v>
      </c>
      <c r="J240" s="97">
        <v>0</v>
      </c>
      <c r="K240" s="97">
        <v>0</v>
      </c>
      <c r="M240" s="7">
        <f t="shared" si="34"/>
        <v>0</v>
      </c>
      <c r="N240" s="7">
        <f t="shared" si="43"/>
        <v>0</v>
      </c>
      <c r="O240" s="7">
        <f t="shared" si="42"/>
        <v>10000</v>
      </c>
      <c r="P240" s="99">
        <f t="shared" si="35"/>
        <v>2.8011204481792717E-3</v>
      </c>
      <c r="Q240" s="99">
        <f t="shared" si="44"/>
        <v>2.8634984636417278E-3</v>
      </c>
      <c r="S240" s="7">
        <f t="shared" si="36"/>
        <v>3938000.0000000005</v>
      </c>
      <c r="T240" s="7">
        <f t="shared" si="37"/>
        <v>1193333.3333333333</v>
      </c>
      <c r="U240" s="7">
        <f t="shared" si="38"/>
        <v>7690000</v>
      </c>
      <c r="V240" s="7">
        <f t="shared" si="39"/>
        <v>0</v>
      </c>
      <c r="W240" s="7">
        <f t="shared" si="40"/>
        <v>0</v>
      </c>
      <c r="X240" s="7">
        <f t="shared" si="41"/>
        <v>0</v>
      </c>
    </row>
    <row r="241" spans="1:24">
      <c r="A241">
        <v>240</v>
      </c>
      <c r="B241" s="96" t="s">
        <v>3363</v>
      </c>
      <c r="C241" s="95">
        <v>40586</v>
      </c>
      <c r="D241" s="82">
        <v>3580000</v>
      </c>
      <c r="E241" s="82">
        <v>3580000</v>
      </c>
      <c r="F241" s="82">
        <v>3580000</v>
      </c>
      <c r="G241" s="82">
        <v>3580000</v>
      </c>
      <c r="I241" s="98">
        <v>0</v>
      </c>
      <c r="J241" s="98">
        <v>0</v>
      </c>
      <c r="K241" s="98">
        <v>0</v>
      </c>
      <c r="M241" s="7">
        <f t="shared" si="34"/>
        <v>0</v>
      </c>
      <c r="N241" s="7">
        <f t="shared" si="43"/>
        <v>0</v>
      </c>
      <c r="O241" s="7">
        <f t="shared" si="42"/>
        <v>0</v>
      </c>
      <c r="P241" s="99">
        <f t="shared" si="35"/>
        <v>0</v>
      </c>
      <c r="Q241" s="99">
        <f t="shared" si="44"/>
        <v>2.8556301477760558E-3</v>
      </c>
      <c r="S241" s="7">
        <f t="shared" si="36"/>
        <v>3938000.0000000005</v>
      </c>
      <c r="T241" s="7">
        <f t="shared" si="37"/>
        <v>1193333.3333333333</v>
      </c>
      <c r="U241" s="7">
        <f t="shared" si="38"/>
        <v>7550000</v>
      </c>
      <c r="V241" s="7">
        <f t="shared" si="39"/>
        <v>0</v>
      </c>
      <c r="W241" s="7">
        <f t="shared" si="40"/>
        <v>0</v>
      </c>
      <c r="X241" s="7">
        <f t="shared" si="41"/>
        <v>0</v>
      </c>
    </row>
    <row r="242" spans="1:24">
      <c r="A242">
        <v>241</v>
      </c>
      <c r="B242" s="96" t="s">
        <v>3362</v>
      </c>
      <c r="C242" s="95">
        <v>40587</v>
      </c>
      <c r="D242" s="82">
        <v>3580000</v>
      </c>
      <c r="E242" s="82">
        <v>3580000</v>
      </c>
      <c r="F242" s="82">
        <v>3580000</v>
      </c>
      <c r="G242" s="82">
        <v>3580000</v>
      </c>
      <c r="I242" s="82">
        <f>G242*1.1</f>
        <v>3938000.0000000005</v>
      </c>
      <c r="J242" s="82">
        <f>G242/3</f>
        <v>1193333.3333333333</v>
      </c>
      <c r="K242" s="7">
        <f>G510</f>
        <v>8050000</v>
      </c>
      <c r="L242" s="7">
        <f>K242-I242</f>
        <v>4111999.9999999995</v>
      </c>
      <c r="M242" s="7">
        <f t="shared" si="34"/>
        <v>149166.66666666666</v>
      </c>
      <c r="N242" s="7">
        <f t="shared" si="43"/>
        <v>4261166.666666666</v>
      </c>
      <c r="O242" s="7">
        <f t="shared" si="42"/>
        <v>0</v>
      </c>
      <c r="P242" s="99">
        <f t="shared" si="35"/>
        <v>0</v>
      </c>
      <c r="Q242" s="99">
        <f t="shared" si="44"/>
        <v>-5.5477311967617581E-3</v>
      </c>
      <c r="R242">
        <v>1</v>
      </c>
      <c r="S242" s="7">
        <f t="shared" si="36"/>
        <v>3938000.0000000005</v>
      </c>
      <c r="T242" s="7">
        <f t="shared" si="37"/>
        <v>1193333.3333333333</v>
      </c>
      <c r="U242" s="7">
        <f t="shared" si="38"/>
        <v>8050000</v>
      </c>
      <c r="V242" s="7">
        <f t="shared" si="39"/>
        <v>4111999.9999999995</v>
      </c>
      <c r="W242" s="7">
        <f t="shared" si="40"/>
        <v>149166.66666666666</v>
      </c>
      <c r="X242" s="7">
        <f t="shared" si="41"/>
        <v>4261166.666666666</v>
      </c>
    </row>
    <row r="243" spans="1:24">
      <c r="A243">
        <v>242</v>
      </c>
      <c r="B243" s="96" t="s">
        <v>3361</v>
      </c>
      <c r="C243" s="95">
        <v>40588</v>
      </c>
      <c r="D243" s="82">
        <v>3570000</v>
      </c>
      <c r="E243" s="82">
        <v>3570000</v>
      </c>
      <c r="F243" s="82">
        <v>3570000</v>
      </c>
      <c r="G243" s="82">
        <v>3570000</v>
      </c>
      <c r="I243" s="97">
        <v>0</v>
      </c>
      <c r="J243" s="97">
        <v>0</v>
      </c>
      <c r="K243" s="97">
        <v>0</v>
      </c>
      <c r="M243" s="7">
        <f t="shared" si="34"/>
        <v>0</v>
      </c>
      <c r="N243" s="7">
        <f t="shared" si="43"/>
        <v>0</v>
      </c>
      <c r="O243" s="7">
        <f t="shared" si="42"/>
        <v>-10000</v>
      </c>
      <c r="P243" s="99">
        <f t="shared" si="35"/>
        <v>-2.7932960893854749E-3</v>
      </c>
      <c r="Q243" s="99">
        <f t="shared" si="44"/>
        <v>7.8243587937967818E-6</v>
      </c>
      <c r="S243" s="7">
        <f t="shared" si="36"/>
        <v>3927000.0000000005</v>
      </c>
      <c r="T243" s="7">
        <f t="shared" si="37"/>
        <v>1190000</v>
      </c>
      <c r="U243" s="7">
        <f t="shared" si="38"/>
        <v>8320000</v>
      </c>
      <c r="V243" s="7">
        <f t="shared" si="39"/>
        <v>0</v>
      </c>
      <c r="W243" s="7">
        <f t="shared" si="40"/>
        <v>0</v>
      </c>
      <c r="X243" s="7">
        <f t="shared" si="41"/>
        <v>0</v>
      </c>
    </row>
    <row r="244" spans="1:24">
      <c r="A244">
        <v>243</v>
      </c>
      <c r="B244" s="96" t="s">
        <v>3360</v>
      </c>
      <c r="C244" s="95">
        <v>40589</v>
      </c>
      <c r="D244" s="82">
        <v>3570000</v>
      </c>
      <c r="E244" s="82">
        <v>3570000</v>
      </c>
      <c r="F244" s="82">
        <v>3570000</v>
      </c>
      <c r="G244" s="82">
        <v>3570000</v>
      </c>
      <c r="I244" s="97">
        <v>0</v>
      </c>
      <c r="J244" s="97">
        <v>0</v>
      </c>
      <c r="K244" s="97">
        <v>0</v>
      </c>
      <c r="M244" s="7">
        <f t="shared" si="34"/>
        <v>0</v>
      </c>
      <c r="N244" s="7">
        <f t="shared" si="43"/>
        <v>0</v>
      </c>
      <c r="O244" s="7">
        <f t="shared" si="42"/>
        <v>0</v>
      </c>
      <c r="P244" s="99">
        <f t="shared" si="35"/>
        <v>0</v>
      </c>
      <c r="Q244" s="99">
        <f t="shared" si="44"/>
        <v>-2.7854717305916782E-3</v>
      </c>
      <c r="S244" s="7">
        <f t="shared" si="36"/>
        <v>3927000.0000000005</v>
      </c>
      <c r="T244" s="7">
        <f t="shared" si="37"/>
        <v>1190000</v>
      </c>
      <c r="U244" s="7">
        <f t="shared" si="38"/>
        <v>8150000</v>
      </c>
      <c r="V244" s="7">
        <f t="shared" si="39"/>
        <v>0</v>
      </c>
      <c r="W244" s="7">
        <f t="shared" si="40"/>
        <v>0</v>
      </c>
      <c r="X244" s="7">
        <f t="shared" si="41"/>
        <v>0</v>
      </c>
    </row>
    <row r="245" spans="1:24">
      <c r="A245">
        <v>244</v>
      </c>
      <c r="B245" s="96" t="s">
        <v>3359</v>
      </c>
      <c r="C245" s="95">
        <v>40590</v>
      </c>
      <c r="D245" s="82">
        <v>3570000</v>
      </c>
      <c r="E245" s="82">
        <v>3570000</v>
      </c>
      <c r="F245" s="82">
        <v>3570000</v>
      </c>
      <c r="G245" s="82">
        <v>3570000</v>
      </c>
      <c r="I245" s="97">
        <v>0</v>
      </c>
      <c r="J245" s="97">
        <v>0</v>
      </c>
      <c r="K245" s="97">
        <v>0</v>
      </c>
      <c r="M245" s="7">
        <f t="shared" si="34"/>
        <v>0</v>
      </c>
      <c r="N245" s="7">
        <f t="shared" si="43"/>
        <v>0</v>
      </c>
      <c r="O245" s="7">
        <f t="shared" si="42"/>
        <v>0</v>
      </c>
      <c r="P245" s="99">
        <f t="shared" si="35"/>
        <v>0</v>
      </c>
      <c r="Q245" s="99">
        <f t="shared" si="44"/>
        <v>7.8243587937967818E-6</v>
      </c>
      <c r="S245" s="7">
        <f t="shared" si="36"/>
        <v>3927000.0000000005</v>
      </c>
      <c r="T245" s="7">
        <f t="shared" si="37"/>
        <v>1190000</v>
      </c>
      <c r="U245" s="7">
        <f t="shared" si="38"/>
        <v>8190000</v>
      </c>
      <c r="V245" s="7">
        <f t="shared" si="39"/>
        <v>0</v>
      </c>
      <c r="W245" s="7">
        <f t="shared" si="40"/>
        <v>0</v>
      </c>
      <c r="X245" s="7">
        <f t="shared" si="41"/>
        <v>0</v>
      </c>
    </row>
    <row r="246" spans="1:24">
      <c r="A246">
        <v>245</v>
      </c>
      <c r="B246" s="96" t="s">
        <v>3358</v>
      </c>
      <c r="C246" s="95">
        <v>40591</v>
      </c>
      <c r="D246" s="82">
        <v>3595000</v>
      </c>
      <c r="E246" s="82">
        <v>3595000</v>
      </c>
      <c r="F246" s="82">
        <v>3595000</v>
      </c>
      <c r="G246" s="82">
        <v>3595000</v>
      </c>
      <c r="I246" s="98">
        <v>0</v>
      </c>
      <c r="J246" s="98">
        <v>0</v>
      </c>
      <c r="K246" s="98">
        <v>0</v>
      </c>
      <c r="M246" s="7">
        <f t="shared" si="34"/>
        <v>0</v>
      </c>
      <c r="N246" s="7">
        <f t="shared" si="43"/>
        <v>0</v>
      </c>
      <c r="O246" s="7">
        <f t="shared" si="42"/>
        <v>25000</v>
      </c>
      <c r="P246" s="99">
        <f t="shared" si="35"/>
        <v>7.0028011204481795E-3</v>
      </c>
      <c r="Q246" s="99">
        <f t="shared" si="44"/>
        <v>-2.7932960893854749E-3</v>
      </c>
      <c r="S246" s="7">
        <f t="shared" si="36"/>
        <v>3954500.0000000005</v>
      </c>
      <c r="T246" s="7">
        <f t="shared" si="37"/>
        <v>1198333.3333333333</v>
      </c>
      <c r="U246" s="7">
        <f t="shared" si="38"/>
        <v>8350000</v>
      </c>
      <c r="V246" s="7">
        <f t="shared" si="39"/>
        <v>0</v>
      </c>
      <c r="W246" s="7">
        <f t="shared" si="40"/>
        <v>0</v>
      </c>
      <c r="X246" s="7">
        <f t="shared" si="41"/>
        <v>0</v>
      </c>
    </row>
    <row r="247" spans="1:24">
      <c r="A247">
        <v>246</v>
      </c>
      <c r="B247" s="96" t="s">
        <v>3357</v>
      </c>
      <c r="C247" s="95">
        <v>40593</v>
      </c>
      <c r="D247" s="82">
        <v>3610000</v>
      </c>
      <c r="E247" s="82">
        <v>3610000</v>
      </c>
      <c r="F247" s="82">
        <v>3610000</v>
      </c>
      <c r="G247" s="82">
        <v>3610000</v>
      </c>
      <c r="I247" s="82">
        <f>G247*1.1</f>
        <v>3971000.0000000005</v>
      </c>
      <c r="J247" s="82">
        <f>G247/3</f>
        <v>1203333.3333333333</v>
      </c>
      <c r="K247" s="7">
        <f>G515</f>
        <v>8280000</v>
      </c>
      <c r="L247" s="7">
        <f>K247-I247</f>
        <v>4309000</v>
      </c>
      <c r="M247" s="7">
        <f t="shared" si="34"/>
        <v>150416.66666666666</v>
      </c>
      <c r="N247" s="7">
        <f t="shared" si="43"/>
        <v>4459416.666666667</v>
      </c>
      <c r="O247" s="7">
        <f t="shared" si="42"/>
        <v>15000</v>
      </c>
      <c r="P247" s="99">
        <f t="shared" si="35"/>
        <v>4.172461752433936E-3</v>
      </c>
      <c r="Q247" s="99">
        <f t="shared" si="44"/>
        <v>4.209505031062705E-3</v>
      </c>
      <c r="R247">
        <v>1</v>
      </c>
      <c r="S247" s="7">
        <f t="shared" si="36"/>
        <v>3971000.0000000005</v>
      </c>
      <c r="T247" s="7">
        <f t="shared" si="37"/>
        <v>1203333.3333333333</v>
      </c>
      <c r="U247" s="7">
        <f t="shared" si="38"/>
        <v>8280000</v>
      </c>
      <c r="V247" s="7">
        <f t="shared" si="39"/>
        <v>4309000</v>
      </c>
      <c r="W247" s="7">
        <f t="shared" si="40"/>
        <v>150416.66666666666</v>
      </c>
      <c r="X247" s="7">
        <f t="shared" si="41"/>
        <v>4459416.666666667</v>
      </c>
    </row>
    <row r="248" spans="1:24">
      <c r="A248">
        <v>247</v>
      </c>
      <c r="B248" s="96" t="s">
        <v>3356</v>
      </c>
      <c r="C248" s="95">
        <v>40594</v>
      </c>
      <c r="D248" s="82">
        <v>3630000</v>
      </c>
      <c r="E248" s="82">
        <v>3630000</v>
      </c>
      <c r="F248" s="82">
        <v>3630000</v>
      </c>
      <c r="G248" s="82">
        <v>3630000</v>
      </c>
      <c r="I248" s="97">
        <v>0</v>
      </c>
      <c r="J248" s="97">
        <v>0</v>
      </c>
      <c r="K248" s="97">
        <v>0</v>
      </c>
      <c r="M248" s="7">
        <f t="shared" si="34"/>
        <v>0</v>
      </c>
      <c r="N248" s="7">
        <f t="shared" si="43"/>
        <v>0</v>
      </c>
      <c r="O248" s="7">
        <f t="shared" si="42"/>
        <v>20000</v>
      </c>
      <c r="P248" s="99">
        <f t="shared" si="35"/>
        <v>5.5401662049861496E-3</v>
      </c>
      <c r="Q248" s="99">
        <f t="shared" si="44"/>
        <v>8.3819667834966402E-3</v>
      </c>
      <c r="S248" s="7">
        <f t="shared" si="36"/>
        <v>3993000.0000000005</v>
      </c>
      <c r="T248" s="7">
        <f t="shared" si="37"/>
        <v>1210000</v>
      </c>
      <c r="U248" s="7">
        <f t="shared" si="38"/>
        <v>8230000</v>
      </c>
      <c r="V248" s="7">
        <f t="shared" si="39"/>
        <v>0</v>
      </c>
      <c r="W248" s="7">
        <f t="shared" si="40"/>
        <v>0</v>
      </c>
      <c r="X248" s="7">
        <f t="shared" si="41"/>
        <v>0</v>
      </c>
    </row>
    <row r="249" spans="1:24">
      <c r="A249">
        <v>248</v>
      </c>
      <c r="B249" s="96" t="s">
        <v>3355</v>
      </c>
      <c r="C249" s="95">
        <v>40596</v>
      </c>
      <c r="D249" s="82">
        <v>3620000</v>
      </c>
      <c r="E249" s="82">
        <v>3620000</v>
      </c>
      <c r="F249" s="82">
        <v>3620000</v>
      </c>
      <c r="G249" s="82">
        <v>3620000</v>
      </c>
      <c r="I249" s="97">
        <v>0</v>
      </c>
      <c r="J249" s="97">
        <v>0</v>
      </c>
      <c r="K249" s="97">
        <v>0</v>
      </c>
      <c r="M249" s="7">
        <f t="shared" si="34"/>
        <v>0</v>
      </c>
      <c r="N249" s="7">
        <f t="shared" si="43"/>
        <v>0</v>
      </c>
      <c r="O249" s="7">
        <f t="shared" si="42"/>
        <v>-10000</v>
      </c>
      <c r="P249" s="99">
        <f t="shared" si="35"/>
        <v>-2.7548209366391185E-3</v>
      </c>
      <c r="Q249" s="99">
        <f t="shared" si="44"/>
        <v>1.6715429077868264E-2</v>
      </c>
      <c r="S249" s="7">
        <f t="shared" si="36"/>
        <v>3982000.0000000005</v>
      </c>
      <c r="T249" s="7">
        <f t="shared" si="37"/>
        <v>1206666.6666666667</v>
      </c>
      <c r="U249" s="7">
        <f t="shared" si="38"/>
        <v>8150000</v>
      </c>
      <c r="V249" s="7">
        <f t="shared" si="39"/>
        <v>0</v>
      </c>
      <c r="W249" s="7">
        <f t="shared" si="40"/>
        <v>0</v>
      </c>
      <c r="X249" s="7">
        <f t="shared" si="41"/>
        <v>0</v>
      </c>
    </row>
    <row r="250" spans="1:24">
      <c r="A250">
        <v>249</v>
      </c>
      <c r="B250" s="96" t="s">
        <v>3354</v>
      </c>
      <c r="C250" s="95">
        <v>40597</v>
      </c>
      <c r="D250" s="82">
        <v>3665000</v>
      </c>
      <c r="E250" s="82">
        <v>3665000</v>
      </c>
      <c r="F250" s="82">
        <v>3665000</v>
      </c>
      <c r="G250" s="82">
        <v>3665000</v>
      </c>
      <c r="I250" s="97">
        <v>0</v>
      </c>
      <c r="J250" s="97">
        <v>0</v>
      </c>
      <c r="K250" s="97">
        <v>0</v>
      </c>
      <c r="M250" s="7">
        <f t="shared" si="34"/>
        <v>0</v>
      </c>
      <c r="N250" s="7">
        <f t="shared" si="43"/>
        <v>0</v>
      </c>
      <c r="O250" s="7">
        <f t="shared" si="42"/>
        <v>45000</v>
      </c>
      <c r="P250" s="99">
        <f t="shared" si="35"/>
        <v>1.2430939226519336E-2</v>
      </c>
      <c r="Q250" s="99">
        <f t="shared" si="44"/>
        <v>1.3960608141229146E-2</v>
      </c>
      <c r="S250" s="7">
        <f t="shared" si="36"/>
        <v>4031500.0000000005</v>
      </c>
      <c r="T250" s="7">
        <f t="shared" si="37"/>
        <v>1221666.6666666667</v>
      </c>
      <c r="U250" s="7">
        <f t="shared" si="38"/>
        <v>8100000</v>
      </c>
      <c r="V250" s="7">
        <f t="shared" si="39"/>
        <v>0</v>
      </c>
      <c r="W250" s="7">
        <f t="shared" si="40"/>
        <v>0</v>
      </c>
      <c r="X250" s="7">
        <f t="shared" si="41"/>
        <v>0</v>
      </c>
    </row>
    <row r="251" spans="1:24">
      <c r="A251">
        <v>250</v>
      </c>
      <c r="B251" s="96" t="s">
        <v>3353</v>
      </c>
      <c r="C251" s="95">
        <v>40598</v>
      </c>
      <c r="D251" s="82">
        <v>3700000</v>
      </c>
      <c r="E251" s="82">
        <v>3700000</v>
      </c>
      <c r="F251" s="82">
        <v>3700000</v>
      </c>
      <c r="G251" s="82">
        <v>3700000</v>
      </c>
      <c r="I251" s="98">
        <v>0</v>
      </c>
      <c r="J251" s="98">
        <v>0</v>
      </c>
      <c r="K251" s="98">
        <v>0</v>
      </c>
      <c r="M251" s="7">
        <f t="shared" si="34"/>
        <v>0</v>
      </c>
      <c r="N251" s="7">
        <f t="shared" si="43"/>
        <v>0</v>
      </c>
      <c r="O251" s="7">
        <f t="shared" si="42"/>
        <v>35000</v>
      </c>
      <c r="P251" s="99">
        <f t="shared" si="35"/>
        <v>9.5497953615279671E-3</v>
      </c>
      <c r="Q251" s="99">
        <f t="shared" si="44"/>
        <v>2.6391547367748482E-2</v>
      </c>
      <c r="S251" s="7">
        <f t="shared" si="36"/>
        <v>4070000.0000000005</v>
      </c>
      <c r="T251" s="7">
        <f t="shared" si="37"/>
        <v>1233333.3333333333</v>
      </c>
      <c r="U251" s="7">
        <f t="shared" si="38"/>
        <v>8240000</v>
      </c>
      <c r="V251" s="7">
        <f t="shared" si="39"/>
        <v>0</v>
      </c>
      <c r="W251" s="7">
        <f t="shared" si="40"/>
        <v>0</v>
      </c>
      <c r="X251" s="7">
        <f t="shared" si="41"/>
        <v>0</v>
      </c>
    </row>
    <row r="252" spans="1:24">
      <c r="A252">
        <v>251</v>
      </c>
      <c r="B252" s="96" t="s">
        <v>3352</v>
      </c>
      <c r="C252" s="95">
        <v>40600</v>
      </c>
      <c r="D252" s="82">
        <v>3770000</v>
      </c>
      <c r="E252" s="82">
        <v>3770000</v>
      </c>
      <c r="F252" s="82">
        <v>3770000</v>
      </c>
      <c r="G252" s="82">
        <v>3770000</v>
      </c>
      <c r="I252" s="82">
        <f>G252*1.1</f>
        <v>4147000.0000000005</v>
      </c>
      <c r="J252" s="82">
        <f>G252/3</f>
        <v>1256666.6666666667</v>
      </c>
      <c r="K252" s="7">
        <f>G520</f>
        <v>8140000</v>
      </c>
      <c r="L252" s="7">
        <f>K252-I252</f>
        <v>3992999.9999999995</v>
      </c>
      <c r="M252" s="7">
        <f t="shared" si="34"/>
        <v>157083.33333333334</v>
      </c>
      <c r="N252" s="7">
        <f t="shared" si="43"/>
        <v>4150083.333333333</v>
      </c>
      <c r="O252" s="7">
        <f t="shared" si="42"/>
        <v>70000</v>
      </c>
      <c r="P252" s="99">
        <f t="shared" si="35"/>
        <v>1.891891891891892E-2</v>
      </c>
      <c r="Q252" s="99">
        <f t="shared" si="44"/>
        <v>2.8938541608828271E-2</v>
      </c>
      <c r="R252">
        <v>1</v>
      </c>
      <c r="S252" s="7">
        <f t="shared" si="36"/>
        <v>4147000.0000000005</v>
      </c>
      <c r="T252" s="7">
        <f t="shared" si="37"/>
        <v>1256666.6666666667</v>
      </c>
      <c r="U252" s="7">
        <f t="shared" si="38"/>
        <v>8140000</v>
      </c>
      <c r="V252" s="7">
        <f t="shared" si="39"/>
        <v>3992999.9999999995</v>
      </c>
      <c r="W252" s="7">
        <f t="shared" si="40"/>
        <v>157083.33333333334</v>
      </c>
      <c r="X252" s="7">
        <f t="shared" si="41"/>
        <v>4150083.333333333</v>
      </c>
    </row>
    <row r="253" spans="1:24">
      <c r="A253">
        <v>252</v>
      </c>
      <c r="B253" s="96" t="s">
        <v>3351</v>
      </c>
      <c r="C253" s="95">
        <v>40601</v>
      </c>
      <c r="D253" s="82">
        <v>3800000</v>
      </c>
      <c r="E253" s="82">
        <v>3800000</v>
      </c>
      <c r="F253" s="82">
        <v>3800000</v>
      </c>
      <c r="G253" s="82">
        <v>3800000</v>
      </c>
      <c r="I253" s="97">
        <v>0</v>
      </c>
      <c r="J253" s="97">
        <v>0</v>
      </c>
      <c r="K253" s="97">
        <v>0</v>
      </c>
      <c r="M253" s="7">
        <f t="shared" si="34"/>
        <v>0</v>
      </c>
      <c r="N253" s="7">
        <f t="shared" si="43"/>
        <v>0</v>
      </c>
      <c r="O253" s="7">
        <f t="shared" si="42"/>
        <v>30000</v>
      </c>
      <c r="P253" s="99">
        <f t="shared" si="35"/>
        <v>7.9575596816976128E-3</v>
      </c>
      <c r="Q253" s="99">
        <f t="shared" si="44"/>
        <v>4.3684998775313254E-2</v>
      </c>
      <c r="S253" s="7">
        <f t="shared" si="36"/>
        <v>4180000.0000000005</v>
      </c>
      <c r="T253" s="7">
        <f t="shared" si="37"/>
        <v>1266666.6666666667</v>
      </c>
      <c r="U253" s="7">
        <f t="shared" si="38"/>
        <v>8140000</v>
      </c>
      <c r="V253" s="7">
        <f t="shared" si="39"/>
        <v>0</v>
      </c>
      <c r="W253" s="7">
        <f t="shared" si="40"/>
        <v>0</v>
      </c>
      <c r="X253" s="7">
        <f t="shared" si="41"/>
        <v>0</v>
      </c>
    </row>
    <row r="254" spans="1:24">
      <c r="A254">
        <v>253</v>
      </c>
      <c r="B254" s="96" t="s">
        <v>3350</v>
      </c>
      <c r="C254" s="95">
        <v>40602</v>
      </c>
      <c r="D254" s="82">
        <v>3840000</v>
      </c>
      <c r="E254" s="82">
        <v>3840000</v>
      </c>
      <c r="F254" s="82">
        <v>3840000</v>
      </c>
      <c r="G254" s="82">
        <v>3840000</v>
      </c>
      <c r="I254" s="97">
        <v>0</v>
      </c>
      <c r="J254" s="97">
        <v>0</v>
      </c>
      <c r="K254" s="97">
        <v>0</v>
      </c>
      <c r="M254" s="7">
        <f t="shared" si="34"/>
        <v>0</v>
      </c>
      <c r="N254" s="7">
        <f t="shared" si="43"/>
        <v>0</v>
      </c>
      <c r="O254" s="7">
        <f t="shared" si="42"/>
        <v>40000</v>
      </c>
      <c r="P254" s="99">
        <f t="shared" si="35"/>
        <v>1.0526315789473684E-2</v>
      </c>
      <c r="Q254" s="99">
        <f t="shared" si="44"/>
        <v>4.610239225202472E-2</v>
      </c>
      <c r="S254" s="7">
        <f t="shared" si="36"/>
        <v>4224000</v>
      </c>
      <c r="T254" s="7">
        <f t="shared" si="37"/>
        <v>1280000</v>
      </c>
      <c r="U254" s="7">
        <f t="shared" si="38"/>
        <v>8120000</v>
      </c>
      <c r="V254" s="7">
        <f t="shared" si="39"/>
        <v>0</v>
      </c>
      <c r="W254" s="7">
        <f t="shared" si="40"/>
        <v>0</v>
      </c>
      <c r="X254" s="7">
        <f t="shared" si="41"/>
        <v>0</v>
      </c>
    </row>
    <row r="255" spans="1:24">
      <c r="A255">
        <v>254</v>
      </c>
      <c r="B255" s="96" t="s">
        <v>3349</v>
      </c>
      <c r="C255" s="95">
        <v>40603</v>
      </c>
      <c r="D255" s="82">
        <v>3970000</v>
      </c>
      <c r="E255" s="82">
        <v>3970000</v>
      </c>
      <c r="F255" s="82">
        <v>3970000</v>
      </c>
      <c r="G255" s="82">
        <v>3970000</v>
      </c>
      <c r="I255" s="97">
        <v>0</v>
      </c>
      <c r="J255" s="97">
        <v>0</v>
      </c>
      <c r="K255" s="97">
        <v>0</v>
      </c>
      <c r="M255" s="7">
        <f t="shared" si="34"/>
        <v>0</v>
      </c>
      <c r="N255" s="7">
        <f t="shared" si="43"/>
        <v>0</v>
      </c>
      <c r="O255" s="7">
        <f t="shared" si="42"/>
        <v>130000</v>
      </c>
      <c r="P255" s="99">
        <f t="shared" si="35"/>
        <v>3.3854166666666664E-2</v>
      </c>
      <c r="Q255" s="99">
        <f t="shared" si="44"/>
        <v>5.938352897813752E-2</v>
      </c>
      <c r="S255" s="7">
        <f t="shared" si="36"/>
        <v>4367000</v>
      </c>
      <c r="T255" s="7">
        <f t="shared" si="37"/>
        <v>1323333.3333333333</v>
      </c>
      <c r="U255" s="7">
        <f t="shared" si="38"/>
        <v>8160000</v>
      </c>
      <c r="V255" s="7">
        <f t="shared" si="39"/>
        <v>0</v>
      </c>
      <c r="W255" s="7">
        <f t="shared" si="40"/>
        <v>0</v>
      </c>
      <c r="X255" s="7">
        <f t="shared" si="41"/>
        <v>0</v>
      </c>
    </row>
    <row r="256" spans="1:24">
      <c r="A256">
        <v>255</v>
      </c>
      <c r="B256" s="96" t="s">
        <v>3348</v>
      </c>
      <c r="C256" s="95">
        <v>40605</v>
      </c>
      <c r="D256" s="82">
        <v>3950000</v>
      </c>
      <c r="E256" s="82">
        <v>3950000</v>
      </c>
      <c r="F256" s="82">
        <v>3950000</v>
      </c>
      <c r="G256" s="82">
        <v>3950000</v>
      </c>
      <c r="I256" s="98">
        <v>0</v>
      </c>
      <c r="J256" s="98">
        <v>0</v>
      </c>
      <c r="K256" s="98">
        <v>0</v>
      </c>
      <c r="M256" s="7">
        <f t="shared" si="34"/>
        <v>0</v>
      </c>
      <c r="N256" s="7">
        <f t="shared" si="43"/>
        <v>0</v>
      </c>
      <c r="O256" s="7">
        <f t="shared" si="42"/>
        <v>-20000</v>
      </c>
      <c r="P256" s="99">
        <f t="shared" si="35"/>
        <v>-5.0377833753148613E-3</v>
      </c>
      <c r="Q256" s="99">
        <f t="shared" si="44"/>
        <v>8.0806756418284845E-2</v>
      </c>
      <c r="S256" s="7">
        <f t="shared" si="36"/>
        <v>4345000</v>
      </c>
      <c r="T256" s="7">
        <f t="shared" si="37"/>
        <v>1316666.6666666667</v>
      </c>
      <c r="U256" s="7">
        <f t="shared" si="38"/>
        <v>8160000</v>
      </c>
      <c r="V256" s="7">
        <f t="shared" si="39"/>
        <v>0</v>
      </c>
      <c r="W256" s="7">
        <f t="shared" si="40"/>
        <v>0</v>
      </c>
      <c r="X256" s="7">
        <f t="shared" si="41"/>
        <v>0</v>
      </c>
    </row>
    <row r="257" spans="1:24">
      <c r="A257">
        <v>256</v>
      </c>
      <c r="B257" s="96" t="s">
        <v>3347</v>
      </c>
      <c r="C257" s="95">
        <v>40607</v>
      </c>
      <c r="D257" s="82">
        <v>3950000</v>
      </c>
      <c r="E257" s="82">
        <v>3950000</v>
      </c>
      <c r="F257" s="82">
        <v>3950000</v>
      </c>
      <c r="G257" s="82">
        <v>3950000</v>
      </c>
      <c r="I257" s="82">
        <f>G257*1.1</f>
        <v>4345000</v>
      </c>
      <c r="J257" s="82">
        <f>G257/3</f>
        <v>1316666.6666666667</v>
      </c>
      <c r="K257" s="7">
        <f>G525</f>
        <v>8080000</v>
      </c>
      <c r="L257" s="7">
        <f>K257-I257</f>
        <v>3735000</v>
      </c>
      <c r="M257" s="7">
        <f t="shared" si="34"/>
        <v>164583.33333333334</v>
      </c>
      <c r="N257" s="7">
        <f t="shared" si="43"/>
        <v>3899583.3333333335</v>
      </c>
      <c r="O257" s="7">
        <f t="shared" si="42"/>
        <v>0</v>
      </c>
      <c r="P257" s="99">
        <f t="shared" si="35"/>
        <v>0</v>
      </c>
      <c r="Q257" s="99">
        <f t="shared" si="44"/>
        <v>6.6219177681442018E-2</v>
      </c>
      <c r="R257">
        <v>1</v>
      </c>
      <c r="S257" s="7">
        <f t="shared" si="36"/>
        <v>4345000</v>
      </c>
      <c r="T257" s="7">
        <f t="shared" si="37"/>
        <v>1316666.6666666667</v>
      </c>
      <c r="U257" s="7">
        <f t="shared" si="38"/>
        <v>8080000</v>
      </c>
      <c r="V257" s="7">
        <f t="shared" si="39"/>
        <v>3735000</v>
      </c>
      <c r="W257" s="7">
        <f t="shared" si="40"/>
        <v>164583.33333333334</v>
      </c>
      <c r="X257" s="7">
        <f t="shared" si="41"/>
        <v>3899583.3333333335</v>
      </c>
    </row>
    <row r="258" spans="1:24">
      <c r="A258">
        <v>257</v>
      </c>
      <c r="B258" s="96" t="s">
        <v>3346</v>
      </c>
      <c r="C258" s="95">
        <v>40608</v>
      </c>
      <c r="D258" s="82">
        <v>3900000</v>
      </c>
      <c r="E258" s="82">
        <v>3900000</v>
      </c>
      <c r="F258" s="82">
        <v>3900000</v>
      </c>
      <c r="G258" s="82">
        <v>3900000</v>
      </c>
      <c r="I258" s="97">
        <v>0</v>
      </c>
      <c r="J258" s="97">
        <v>0</v>
      </c>
      <c r="K258" s="97">
        <v>0</v>
      </c>
      <c r="M258" s="7">
        <f t="shared" ref="M258:M321" si="45">J258*$AI$6/200</f>
        <v>0</v>
      </c>
      <c r="N258" s="7">
        <f t="shared" si="43"/>
        <v>0</v>
      </c>
      <c r="O258" s="7">
        <f t="shared" si="42"/>
        <v>-50000</v>
      </c>
      <c r="P258" s="99">
        <f t="shared" si="35"/>
        <v>-1.2658227848101266E-2</v>
      </c>
      <c r="Q258" s="99">
        <f t="shared" si="44"/>
        <v>4.7300258762523105E-2</v>
      </c>
      <c r="S258" s="7">
        <f t="shared" si="36"/>
        <v>4290000</v>
      </c>
      <c r="T258" s="7">
        <f t="shared" si="37"/>
        <v>1300000</v>
      </c>
      <c r="U258" s="7">
        <f t="shared" si="38"/>
        <v>8120000</v>
      </c>
      <c r="V258" s="7">
        <f t="shared" si="39"/>
        <v>0</v>
      </c>
      <c r="W258" s="7">
        <f t="shared" si="40"/>
        <v>0</v>
      </c>
      <c r="X258" s="7">
        <f t="shared" si="41"/>
        <v>0</v>
      </c>
    </row>
    <row r="259" spans="1:24">
      <c r="A259">
        <v>258</v>
      </c>
      <c r="B259" s="96" t="s">
        <v>3345</v>
      </c>
      <c r="C259" s="95">
        <v>40609</v>
      </c>
      <c r="D259" s="82">
        <v>3850000</v>
      </c>
      <c r="E259" s="82">
        <v>3850000</v>
      </c>
      <c r="F259" s="82">
        <v>3850000</v>
      </c>
      <c r="G259" s="82">
        <v>3850000</v>
      </c>
      <c r="I259" s="97">
        <v>0</v>
      </c>
      <c r="J259" s="97">
        <v>0</v>
      </c>
      <c r="K259" s="97">
        <v>0</v>
      </c>
      <c r="M259" s="7">
        <f t="shared" si="45"/>
        <v>0</v>
      </c>
      <c r="N259" s="7">
        <f t="shared" si="43"/>
        <v>0</v>
      </c>
      <c r="O259" s="7">
        <f t="shared" si="42"/>
        <v>-50000</v>
      </c>
      <c r="P259" s="99">
        <f t="shared" ref="P259:P322" si="46">O259/G258</f>
        <v>-1.282051282051282E-2</v>
      </c>
      <c r="Q259" s="99">
        <f t="shared" si="44"/>
        <v>2.6684471232724223E-2</v>
      </c>
      <c r="S259" s="7">
        <f t="shared" ref="S259:S322" si="47">G259*1.1</f>
        <v>4235000</v>
      </c>
      <c r="T259" s="7">
        <f t="shared" ref="T259:T322" si="48">G259/3</f>
        <v>1283333.3333333333</v>
      </c>
      <c r="U259" s="7">
        <f t="shared" ref="U259:U322" si="49">G527</f>
        <v>8250000</v>
      </c>
      <c r="V259" s="7">
        <f t="shared" ref="V259:V322" si="50">(U259-S259)*R259</f>
        <v>0</v>
      </c>
      <c r="W259" s="7">
        <f t="shared" ref="W259:W322" si="51">(T259*$AI$6/200)*R259</f>
        <v>0</v>
      </c>
      <c r="X259" s="7">
        <f t="shared" ref="X259:X322" si="52">V259+W259</f>
        <v>0</v>
      </c>
    </row>
    <row r="260" spans="1:24">
      <c r="A260">
        <v>259</v>
      </c>
      <c r="B260" s="96" t="s">
        <v>3344</v>
      </c>
      <c r="C260" s="95">
        <v>40610</v>
      </c>
      <c r="D260" s="82">
        <v>3850000</v>
      </c>
      <c r="E260" s="82">
        <v>3850000</v>
      </c>
      <c r="F260" s="82">
        <v>3850000</v>
      </c>
      <c r="G260" s="82">
        <v>3850000</v>
      </c>
      <c r="I260" s="97">
        <v>0</v>
      </c>
      <c r="J260" s="97">
        <v>0</v>
      </c>
      <c r="K260" s="97">
        <v>0</v>
      </c>
      <c r="M260" s="7">
        <f t="shared" si="45"/>
        <v>0</v>
      </c>
      <c r="N260" s="7">
        <f t="shared" si="43"/>
        <v>0</v>
      </c>
      <c r="O260" s="7">
        <f t="shared" ref="O260:O323" si="53">G260-G259</f>
        <v>0</v>
      </c>
      <c r="P260" s="99">
        <f t="shared" si="46"/>
        <v>0</v>
      </c>
      <c r="Q260" s="99">
        <f t="shared" si="44"/>
        <v>3.3376426227377208E-3</v>
      </c>
      <c r="S260" s="7">
        <f t="shared" si="47"/>
        <v>4235000</v>
      </c>
      <c r="T260" s="7">
        <f t="shared" si="48"/>
        <v>1283333.3333333333</v>
      </c>
      <c r="U260" s="7">
        <f t="shared" si="49"/>
        <v>8100000</v>
      </c>
      <c r="V260" s="7">
        <f t="shared" si="50"/>
        <v>0</v>
      </c>
      <c r="W260" s="7">
        <f t="shared" si="51"/>
        <v>0</v>
      </c>
      <c r="X260" s="7">
        <f t="shared" si="52"/>
        <v>0</v>
      </c>
    </row>
    <row r="261" spans="1:24">
      <c r="A261">
        <v>260</v>
      </c>
      <c r="B261" s="96" t="s">
        <v>3343</v>
      </c>
      <c r="C261" s="95">
        <v>40611</v>
      </c>
      <c r="D261" s="82">
        <v>3850000</v>
      </c>
      <c r="E261" s="82">
        <v>3850000</v>
      </c>
      <c r="F261" s="82">
        <v>3850000</v>
      </c>
      <c r="G261" s="82">
        <v>3850000</v>
      </c>
      <c r="I261" s="98">
        <v>0</v>
      </c>
      <c r="J261" s="98">
        <v>0</v>
      </c>
      <c r="K261" s="98">
        <v>0</v>
      </c>
      <c r="M261" s="7">
        <f t="shared" si="45"/>
        <v>0</v>
      </c>
      <c r="N261" s="7">
        <f t="shared" si="43"/>
        <v>0</v>
      </c>
      <c r="O261" s="7">
        <f t="shared" si="53"/>
        <v>0</v>
      </c>
      <c r="P261" s="99">
        <f t="shared" si="46"/>
        <v>0</v>
      </c>
      <c r="Q261" s="99">
        <f t="shared" si="44"/>
        <v>-3.0516524043928947E-2</v>
      </c>
      <c r="S261" s="7">
        <f t="shared" si="47"/>
        <v>4235000</v>
      </c>
      <c r="T261" s="7">
        <f t="shared" si="48"/>
        <v>1283333.3333333333</v>
      </c>
      <c r="U261" s="7">
        <f t="shared" si="49"/>
        <v>7750000</v>
      </c>
      <c r="V261" s="7">
        <f t="shared" si="50"/>
        <v>0</v>
      </c>
      <c r="W261" s="7">
        <f t="shared" si="51"/>
        <v>0</v>
      </c>
      <c r="X261" s="7">
        <f t="shared" si="52"/>
        <v>0</v>
      </c>
    </row>
    <row r="262" spans="1:24">
      <c r="A262">
        <v>261</v>
      </c>
      <c r="B262" s="96" t="s">
        <v>3342</v>
      </c>
      <c r="C262" s="95">
        <v>40612</v>
      </c>
      <c r="D262" s="82">
        <v>3870000</v>
      </c>
      <c r="E262" s="82">
        <v>3870000</v>
      </c>
      <c r="F262" s="82">
        <v>3870000</v>
      </c>
      <c r="G262" s="82">
        <v>3870000</v>
      </c>
      <c r="I262" s="82">
        <f>G262*1.1</f>
        <v>4257000</v>
      </c>
      <c r="J262" s="82">
        <f>G262/3</f>
        <v>1290000</v>
      </c>
      <c r="K262" s="7">
        <f>G530</f>
        <v>8000000</v>
      </c>
      <c r="L262" s="7">
        <f>K262-I262</f>
        <v>3743000</v>
      </c>
      <c r="M262" s="7">
        <f t="shared" si="45"/>
        <v>161250</v>
      </c>
      <c r="N262" s="7">
        <f t="shared" si="43"/>
        <v>3904250</v>
      </c>
      <c r="O262" s="7">
        <f t="shared" si="53"/>
        <v>20000</v>
      </c>
      <c r="P262" s="99">
        <f t="shared" si="46"/>
        <v>5.1948051948051948E-3</v>
      </c>
      <c r="Q262" s="99">
        <f t="shared" si="44"/>
        <v>-2.5478740668614087E-2</v>
      </c>
      <c r="R262">
        <v>1</v>
      </c>
      <c r="S262" s="7">
        <f t="shared" si="47"/>
        <v>4257000</v>
      </c>
      <c r="T262" s="7">
        <f t="shared" si="48"/>
        <v>1290000</v>
      </c>
      <c r="U262" s="7">
        <f t="shared" si="49"/>
        <v>8000000</v>
      </c>
      <c r="V262" s="7">
        <f t="shared" si="50"/>
        <v>3743000</v>
      </c>
      <c r="W262" s="7">
        <f t="shared" si="51"/>
        <v>161250</v>
      </c>
      <c r="X262" s="7">
        <f t="shared" si="52"/>
        <v>3904250</v>
      </c>
    </row>
    <row r="263" spans="1:24">
      <c r="A263">
        <v>262</v>
      </c>
      <c r="B263" s="96" t="s">
        <v>3341</v>
      </c>
      <c r="C263" s="95">
        <v>40614</v>
      </c>
      <c r="D263" s="82">
        <v>3880000</v>
      </c>
      <c r="E263" s="82">
        <v>3880000</v>
      </c>
      <c r="F263" s="82">
        <v>3880000</v>
      </c>
      <c r="G263" s="82">
        <v>3880000</v>
      </c>
      <c r="I263" s="97">
        <v>0</v>
      </c>
      <c r="J263" s="97">
        <v>0</v>
      </c>
      <c r="K263" s="97">
        <v>0</v>
      </c>
      <c r="M263" s="7">
        <f t="shared" si="45"/>
        <v>0</v>
      </c>
      <c r="N263" s="7">
        <f t="shared" si="43"/>
        <v>0</v>
      </c>
      <c r="O263" s="7">
        <f t="shared" si="53"/>
        <v>10000</v>
      </c>
      <c r="P263" s="99">
        <f t="shared" si="46"/>
        <v>2.5839793281653748E-3</v>
      </c>
      <c r="Q263" s="99">
        <f t="shared" si="44"/>
        <v>-2.0283935473808891E-2</v>
      </c>
      <c r="S263" s="7">
        <f t="shared" si="47"/>
        <v>4268000</v>
      </c>
      <c r="T263" s="7">
        <f t="shared" si="48"/>
        <v>1293333.3333333333</v>
      </c>
      <c r="U263" s="7">
        <f t="shared" si="49"/>
        <v>8100000</v>
      </c>
      <c r="V263" s="7">
        <f t="shared" si="50"/>
        <v>0</v>
      </c>
      <c r="W263" s="7">
        <f t="shared" si="51"/>
        <v>0</v>
      </c>
      <c r="X263" s="7">
        <f t="shared" si="52"/>
        <v>0</v>
      </c>
    </row>
    <row r="264" spans="1:24">
      <c r="A264">
        <v>263</v>
      </c>
      <c r="B264" s="96" t="s">
        <v>3340</v>
      </c>
      <c r="C264" s="95">
        <v>40615</v>
      </c>
      <c r="D264" s="82">
        <v>3840000</v>
      </c>
      <c r="E264" s="82">
        <v>3840000</v>
      </c>
      <c r="F264" s="82">
        <v>3840000</v>
      </c>
      <c r="G264" s="82">
        <v>3840000</v>
      </c>
      <c r="I264" s="97">
        <v>0</v>
      </c>
      <c r="J264" s="97">
        <v>0</v>
      </c>
      <c r="K264" s="97">
        <v>0</v>
      </c>
      <c r="M264" s="7">
        <f t="shared" si="45"/>
        <v>0</v>
      </c>
      <c r="N264" s="7">
        <f t="shared" ref="N264:N327" si="54">L264+M264</f>
        <v>0</v>
      </c>
      <c r="O264" s="7">
        <f t="shared" si="53"/>
        <v>-40000</v>
      </c>
      <c r="P264" s="99">
        <f t="shared" si="46"/>
        <v>-1.0309278350515464E-2</v>
      </c>
      <c r="Q264" s="99">
        <f t="shared" ref="Q264:Q327" si="55">SUM(P259:P263)</f>
        <v>-5.04172829754225E-3</v>
      </c>
      <c r="S264" s="7">
        <f t="shared" si="47"/>
        <v>4224000</v>
      </c>
      <c r="T264" s="7">
        <f t="shared" si="48"/>
        <v>1280000</v>
      </c>
      <c r="U264" s="7">
        <f t="shared" si="49"/>
        <v>8120000</v>
      </c>
      <c r="V264" s="7">
        <f t="shared" si="50"/>
        <v>0</v>
      </c>
      <c r="W264" s="7">
        <f t="shared" si="51"/>
        <v>0</v>
      </c>
      <c r="X264" s="7">
        <f t="shared" si="52"/>
        <v>0</v>
      </c>
    </row>
    <row r="265" spans="1:24">
      <c r="A265">
        <v>264</v>
      </c>
      <c r="B265" s="96" t="s">
        <v>3339</v>
      </c>
      <c r="C265" s="95">
        <v>40616</v>
      </c>
      <c r="D265" s="82">
        <v>3830000</v>
      </c>
      <c r="E265" s="82">
        <v>3830000</v>
      </c>
      <c r="F265" s="82">
        <v>3830000</v>
      </c>
      <c r="G265" s="82">
        <v>3830000</v>
      </c>
      <c r="I265" s="97">
        <v>0</v>
      </c>
      <c r="J265" s="97">
        <v>0</v>
      </c>
      <c r="K265" s="97">
        <v>0</v>
      </c>
      <c r="M265" s="7">
        <f t="shared" si="45"/>
        <v>0</v>
      </c>
      <c r="N265" s="7">
        <f t="shared" si="54"/>
        <v>0</v>
      </c>
      <c r="O265" s="7">
        <f t="shared" si="53"/>
        <v>-10000</v>
      </c>
      <c r="P265" s="99">
        <f t="shared" si="46"/>
        <v>-2.6041666666666665E-3</v>
      </c>
      <c r="Q265" s="99">
        <f t="shared" si="55"/>
        <v>-2.5304938275448937E-3</v>
      </c>
      <c r="S265" s="7">
        <f t="shared" si="47"/>
        <v>4213000</v>
      </c>
      <c r="T265" s="7">
        <f t="shared" si="48"/>
        <v>1276666.6666666667</v>
      </c>
      <c r="U265" s="7">
        <f t="shared" si="49"/>
        <v>8100000</v>
      </c>
      <c r="V265" s="7">
        <f t="shared" si="50"/>
        <v>0</v>
      </c>
      <c r="W265" s="7">
        <f t="shared" si="51"/>
        <v>0</v>
      </c>
      <c r="X265" s="7">
        <f t="shared" si="52"/>
        <v>0</v>
      </c>
    </row>
    <row r="266" spans="1:24">
      <c r="A266">
        <v>265</v>
      </c>
      <c r="B266" s="96" t="s">
        <v>3338</v>
      </c>
      <c r="C266" s="95">
        <v>40617</v>
      </c>
      <c r="D266" s="82">
        <v>3880000</v>
      </c>
      <c r="E266" s="82">
        <v>3880000</v>
      </c>
      <c r="F266" s="82">
        <v>3880000</v>
      </c>
      <c r="G266" s="82">
        <v>3880000</v>
      </c>
      <c r="I266" s="98">
        <v>0</v>
      </c>
      <c r="J266" s="98">
        <v>0</v>
      </c>
      <c r="K266" s="98">
        <v>0</v>
      </c>
      <c r="M266" s="7">
        <f t="shared" si="45"/>
        <v>0</v>
      </c>
      <c r="N266" s="7">
        <f t="shared" si="54"/>
        <v>0</v>
      </c>
      <c r="O266" s="7">
        <f t="shared" si="53"/>
        <v>50000</v>
      </c>
      <c r="P266" s="99">
        <f t="shared" si="46"/>
        <v>1.3054830287206266E-2</v>
      </c>
      <c r="Q266" s="99">
        <f t="shared" si="55"/>
        <v>-5.1346604942115598E-3</v>
      </c>
      <c r="S266" s="7">
        <f t="shared" si="47"/>
        <v>4268000</v>
      </c>
      <c r="T266" s="7">
        <f t="shared" si="48"/>
        <v>1293333.3333333333</v>
      </c>
      <c r="U266" s="7">
        <f t="shared" si="49"/>
        <v>8010000</v>
      </c>
      <c r="V266" s="7">
        <f t="shared" si="50"/>
        <v>0</v>
      </c>
      <c r="W266" s="7">
        <f t="shared" si="51"/>
        <v>0</v>
      </c>
      <c r="X266" s="7">
        <f t="shared" si="52"/>
        <v>0</v>
      </c>
    </row>
    <row r="267" spans="1:24">
      <c r="A267">
        <v>266</v>
      </c>
      <c r="B267" s="96" t="s">
        <v>3337</v>
      </c>
      <c r="C267" s="95">
        <v>40618</v>
      </c>
      <c r="D267" s="82">
        <v>3860000</v>
      </c>
      <c r="E267" s="82">
        <v>3860000</v>
      </c>
      <c r="F267" s="82">
        <v>3860000</v>
      </c>
      <c r="G267" s="82">
        <v>3860000</v>
      </c>
      <c r="I267" s="82">
        <f>G267*1.1</f>
        <v>4246000</v>
      </c>
      <c r="J267" s="82">
        <f>G267/3</f>
        <v>1286666.6666666667</v>
      </c>
      <c r="K267" s="7">
        <f>G535</f>
        <v>7980000</v>
      </c>
      <c r="L267" s="7">
        <f>K267-I267</f>
        <v>3734000</v>
      </c>
      <c r="M267" s="7">
        <f t="shared" si="45"/>
        <v>160833.33333333334</v>
      </c>
      <c r="N267" s="7">
        <f t="shared" si="54"/>
        <v>3894833.3333333335</v>
      </c>
      <c r="O267" s="7">
        <f t="shared" si="53"/>
        <v>-20000</v>
      </c>
      <c r="P267" s="99">
        <f t="shared" si="46"/>
        <v>-5.1546391752577319E-3</v>
      </c>
      <c r="Q267" s="99">
        <f t="shared" si="55"/>
        <v>7.9201697929947058E-3</v>
      </c>
      <c r="R267">
        <v>1</v>
      </c>
      <c r="S267" s="7">
        <f t="shared" si="47"/>
        <v>4246000</v>
      </c>
      <c r="T267" s="7">
        <f t="shared" si="48"/>
        <v>1286666.6666666667</v>
      </c>
      <c r="U267" s="7">
        <f t="shared" si="49"/>
        <v>7980000</v>
      </c>
      <c r="V267" s="7">
        <f t="shared" si="50"/>
        <v>3734000</v>
      </c>
      <c r="W267" s="7">
        <f t="shared" si="51"/>
        <v>160833.33333333334</v>
      </c>
      <c r="X267" s="7">
        <f t="shared" si="52"/>
        <v>3894833.3333333335</v>
      </c>
    </row>
    <row r="268" spans="1:24">
      <c r="A268">
        <v>267</v>
      </c>
      <c r="B268" s="96" t="s">
        <v>3336</v>
      </c>
      <c r="C268" s="95">
        <v>40619</v>
      </c>
      <c r="D268" s="82">
        <v>3850000</v>
      </c>
      <c r="E268" s="82">
        <v>3850000</v>
      </c>
      <c r="F268" s="82">
        <v>3850000</v>
      </c>
      <c r="G268" s="82">
        <v>3850000</v>
      </c>
      <c r="I268" s="97">
        <v>0</v>
      </c>
      <c r="J268" s="97">
        <v>0</v>
      </c>
      <c r="K268" s="97">
        <v>0</v>
      </c>
      <c r="M268" s="7">
        <f t="shared" si="45"/>
        <v>0</v>
      </c>
      <c r="N268" s="7">
        <f t="shared" si="54"/>
        <v>0</v>
      </c>
      <c r="O268" s="7">
        <f t="shared" si="53"/>
        <v>-10000</v>
      </c>
      <c r="P268" s="99">
        <f t="shared" si="46"/>
        <v>-2.5906735751295338E-3</v>
      </c>
      <c r="Q268" s="99">
        <f t="shared" si="55"/>
        <v>-2.4292745770682208E-3</v>
      </c>
      <c r="S268" s="7">
        <f t="shared" si="47"/>
        <v>4235000</v>
      </c>
      <c r="T268" s="7">
        <f t="shared" si="48"/>
        <v>1283333.3333333333</v>
      </c>
      <c r="U268" s="7">
        <f t="shared" si="49"/>
        <v>7900000</v>
      </c>
      <c r="V268" s="7">
        <f t="shared" si="50"/>
        <v>0</v>
      </c>
      <c r="W268" s="7">
        <f t="shared" si="51"/>
        <v>0</v>
      </c>
      <c r="X268" s="7">
        <f t="shared" si="52"/>
        <v>0</v>
      </c>
    </row>
    <row r="269" spans="1:24">
      <c r="A269">
        <v>268</v>
      </c>
      <c r="B269" s="96" t="s">
        <v>3335</v>
      </c>
      <c r="C269" s="95">
        <v>40636</v>
      </c>
      <c r="D269" s="82">
        <v>3930000</v>
      </c>
      <c r="E269" s="82">
        <v>3930000</v>
      </c>
      <c r="F269" s="82">
        <v>3930000</v>
      </c>
      <c r="G269" s="82">
        <v>3930000</v>
      </c>
      <c r="I269" s="97">
        <v>0</v>
      </c>
      <c r="J269" s="97">
        <v>0</v>
      </c>
      <c r="K269" s="97">
        <v>0</v>
      </c>
      <c r="M269" s="7">
        <f t="shared" si="45"/>
        <v>0</v>
      </c>
      <c r="N269" s="7">
        <f t="shared" si="54"/>
        <v>0</v>
      </c>
      <c r="O269" s="7">
        <f t="shared" si="53"/>
        <v>80000</v>
      </c>
      <c r="P269" s="99">
        <f t="shared" si="46"/>
        <v>2.0779220779220779E-2</v>
      </c>
      <c r="Q269" s="99">
        <f t="shared" si="55"/>
        <v>-7.6039274803631294E-3</v>
      </c>
      <c r="S269" s="7">
        <f t="shared" si="47"/>
        <v>4323000</v>
      </c>
      <c r="T269" s="7">
        <f t="shared" si="48"/>
        <v>1310000</v>
      </c>
      <c r="U269" s="7">
        <f t="shared" si="49"/>
        <v>7850000</v>
      </c>
      <c r="V269" s="7">
        <f t="shared" si="50"/>
        <v>0</v>
      </c>
      <c r="W269" s="7">
        <f t="shared" si="51"/>
        <v>0</v>
      </c>
      <c r="X269" s="7">
        <f t="shared" si="52"/>
        <v>0</v>
      </c>
    </row>
    <row r="270" spans="1:24">
      <c r="A270">
        <v>269</v>
      </c>
      <c r="B270" s="96" t="s">
        <v>3334</v>
      </c>
      <c r="C270" s="95">
        <v>40638</v>
      </c>
      <c r="D270" s="82">
        <v>3930000</v>
      </c>
      <c r="E270" s="82">
        <v>3930000</v>
      </c>
      <c r="F270" s="82">
        <v>3930000</v>
      </c>
      <c r="G270" s="82">
        <v>3930000</v>
      </c>
      <c r="I270" s="97">
        <v>0</v>
      </c>
      <c r="J270" s="97">
        <v>0</v>
      </c>
      <c r="K270" s="97">
        <v>0</v>
      </c>
      <c r="M270" s="7">
        <f t="shared" si="45"/>
        <v>0</v>
      </c>
      <c r="N270" s="7">
        <f t="shared" si="54"/>
        <v>0</v>
      </c>
      <c r="O270" s="7">
        <f t="shared" si="53"/>
        <v>0</v>
      </c>
      <c r="P270" s="99">
        <f t="shared" si="46"/>
        <v>0</v>
      </c>
      <c r="Q270" s="99">
        <f t="shared" si="55"/>
        <v>2.3484571649373114E-2</v>
      </c>
      <c r="S270" s="7">
        <f t="shared" si="47"/>
        <v>4323000</v>
      </c>
      <c r="T270" s="7">
        <f t="shared" si="48"/>
        <v>1310000</v>
      </c>
      <c r="U270" s="7">
        <f t="shared" si="49"/>
        <v>7900000</v>
      </c>
      <c r="V270" s="7">
        <f t="shared" si="50"/>
        <v>0</v>
      </c>
      <c r="W270" s="7">
        <f t="shared" si="51"/>
        <v>0</v>
      </c>
      <c r="X270" s="7">
        <f t="shared" si="52"/>
        <v>0</v>
      </c>
    </row>
    <row r="271" spans="1:24">
      <c r="A271">
        <v>270</v>
      </c>
      <c r="B271" s="96" t="s">
        <v>3333</v>
      </c>
      <c r="C271" s="95">
        <v>40642</v>
      </c>
      <c r="D271" s="82">
        <v>4020000</v>
      </c>
      <c r="E271" s="82">
        <v>4020000</v>
      </c>
      <c r="F271" s="82">
        <v>4020000</v>
      </c>
      <c r="G271" s="82">
        <v>4020000</v>
      </c>
      <c r="I271" s="98">
        <v>0</v>
      </c>
      <c r="J271" s="98">
        <v>0</v>
      </c>
      <c r="K271" s="98">
        <v>0</v>
      </c>
      <c r="M271" s="7">
        <f t="shared" si="45"/>
        <v>0</v>
      </c>
      <c r="N271" s="7">
        <f t="shared" si="54"/>
        <v>0</v>
      </c>
      <c r="O271" s="7">
        <f t="shared" si="53"/>
        <v>90000</v>
      </c>
      <c r="P271" s="99">
        <f t="shared" si="46"/>
        <v>2.2900763358778626E-2</v>
      </c>
      <c r="Q271" s="99">
        <f t="shared" si="55"/>
        <v>2.6088738316039778E-2</v>
      </c>
      <c r="S271" s="7">
        <f t="shared" si="47"/>
        <v>4422000</v>
      </c>
      <c r="T271" s="7">
        <f t="shared" si="48"/>
        <v>1340000</v>
      </c>
      <c r="U271" s="7">
        <f t="shared" si="49"/>
        <v>7750000</v>
      </c>
      <c r="V271" s="7">
        <f t="shared" si="50"/>
        <v>0</v>
      </c>
      <c r="W271" s="7">
        <f t="shared" si="51"/>
        <v>0</v>
      </c>
      <c r="X271" s="7">
        <f t="shared" si="52"/>
        <v>0</v>
      </c>
    </row>
    <row r="272" spans="1:24">
      <c r="A272">
        <v>271</v>
      </c>
      <c r="B272" s="96" t="s">
        <v>3332</v>
      </c>
      <c r="C272" s="95">
        <v>40643</v>
      </c>
      <c r="D272" s="82">
        <v>4040000</v>
      </c>
      <c r="E272" s="82">
        <v>4040000</v>
      </c>
      <c r="F272" s="82">
        <v>4040000</v>
      </c>
      <c r="G272" s="82">
        <v>4040000</v>
      </c>
      <c r="I272" s="82">
        <f>G272*1.1</f>
        <v>4444000</v>
      </c>
      <c r="J272" s="82">
        <f>G272/3</f>
        <v>1346666.6666666667</v>
      </c>
      <c r="K272" s="7">
        <f>G540</f>
        <v>7620000</v>
      </c>
      <c r="L272" s="7">
        <f>K272-I272</f>
        <v>3176000</v>
      </c>
      <c r="M272" s="7">
        <f t="shared" si="45"/>
        <v>168333.33333333337</v>
      </c>
      <c r="N272" s="7">
        <f t="shared" si="54"/>
        <v>3344333.3333333335</v>
      </c>
      <c r="O272" s="7">
        <f t="shared" si="53"/>
        <v>20000</v>
      </c>
      <c r="P272" s="99">
        <f t="shared" si="46"/>
        <v>4.9751243781094526E-3</v>
      </c>
      <c r="Q272" s="99">
        <f t="shared" si="55"/>
        <v>3.5934671387612138E-2</v>
      </c>
      <c r="R272">
        <v>1</v>
      </c>
      <c r="S272" s="7">
        <f t="shared" si="47"/>
        <v>4444000</v>
      </c>
      <c r="T272" s="7">
        <f t="shared" si="48"/>
        <v>1346666.6666666667</v>
      </c>
      <c r="U272" s="7">
        <f t="shared" si="49"/>
        <v>7620000</v>
      </c>
      <c r="V272" s="7">
        <f t="shared" si="50"/>
        <v>3176000</v>
      </c>
      <c r="W272" s="7">
        <f t="shared" si="51"/>
        <v>168333.33333333337</v>
      </c>
      <c r="X272" s="7">
        <f t="shared" si="52"/>
        <v>3344333.3333333335</v>
      </c>
    </row>
    <row r="273" spans="1:24">
      <c r="A273">
        <v>272</v>
      </c>
      <c r="B273" s="96" t="s">
        <v>3331</v>
      </c>
      <c r="C273" s="95">
        <v>40644</v>
      </c>
      <c r="D273" s="82">
        <v>4060000</v>
      </c>
      <c r="E273" s="82">
        <v>4060000</v>
      </c>
      <c r="F273" s="82">
        <v>4060000</v>
      </c>
      <c r="G273" s="82">
        <v>4060000</v>
      </c>
      <c r="I273" s="97">
        <v>0</v>
      </c>
      <c r="J273" s="97">
        <v>0</v>
      </c>
      <c r="K273" s="97">
        <v>0</v>
      </c>
      <c r="M273" s="7">
        <f t="shared" si="45"/>
        <v>0</v>
      </c>
      <c r="N273" s="7">
        <f t="shared" si="54"/>
        <v>0</v>
      </c>
      <c r="O273" s="7">
        <f t="shared" si="53"/>
        <v>20000</v>
      </c>
      <c r="P273" s="99">
        <f t="shared" si="46"/>
        <v>4.9504950495049506E-3</v>
      </c>
      <c r="Q273" s="99">
        <f t="shared" si="55"/>
        <v>4.6064434940979324E-2</v>
      </c>
      <c r="S273" s="7">
        <f t="shared" si="47"/>
        <v>4466000</v>
      </c>
      <c r="T273" s="7">
        <f t="shared" si="48"/>
        <v>1353333.3333333333</v>
      </c>
      <c r="U273" s="7">
        <f t="shared" si="49"/>
        <v>7750000</v>
      </c>
      <c r="V273" s="7">
        <f t="shared" si="50"/>
        <v>0</v>
      </c>
      <c r="W273" s="7">
        <f t="shared" si="51"/>
        <v>0</v>
      </c>
      <c r="X273" s="7">
        <f t="shared" si="52"/>
        <v>0</v>
      </c>
    </row>
    <row r="274" spans="1:24">
      <c r="A274">
        <v>273</v>
      </c>
      <c r="B274" s="96" t="s">
        <v>3330</v>
      </c>
      <c r="C274" s="95">
        <v>40645</v>
      </c>
      <c r="D274" s="82">
        <v>4140000</v>
      </c>
      <c r="E274" s="82">
        <v>4140000</v>
      </c>
      <c r="F274" s="82">
        <v>4140000</v>
      </c>
      <c r="G274" s="82">
        <v>4140000</v>
      </c>
      <c r="I274" s="97">
        <v>0</v>
      </c>
      <c r="J274" s="97">
        <v>0</v>
      </c>
      <c r="K274" s="97">
        <v>0</v>
      </c>
      <c r="M274" s="7">
        <f t="shared" si="45"/>
        <v>0</v>
      </c>
      <c r="N274" s="7">
        <f t="shared" si="54"/>
        <v>0</v>
      </c>
      <c r="O274" s="7">
        <f t="shared" si="53"/>
        <v>80000</v>
      </c>
      <c r="P274" s="99">
        <f t="shared" si="46"/>
        <v>1.9704433497536946E-2</v>
      </c>
      <c r="Q274" s="99">
        <f t="shared" si="55"/>
        <v>5.3605603565613807E-2</v>
      </c>
      <c r="S274" s="7">
        <f t="shared" si="47"/>
        <v>4554000</v>
      </c>
      <c r="T274" s="7">
        <f t="shared" si="48"/>
        <v>1380000</v>
      </c>
      <c r="U274" s="7">
        <f t="shared" si="49"/>
        <v>7650000</v>
      </c>
      <c r="V274" s="7">
        <f t="shared" si="50"/>
        <v>0</v>
      </c>
      <c r="W274" s="7">
        <f t="shared" si="51"/>
        <v>0</v>
      </c>
      <c r="X274" s="7">
        <f t="shared" si="52"/>
        <v>0</v>
      </c>
    </row>
    <row r="275" spans="1:24">
      <c r="A275">
        <v>274</v>
      </c>
      <c r="B275" s="96" t="s">
        <v>3329</v>
      </c>
      <c r="C275" s="95">
        <v>40646</v>
      </c>
      <c r="D275" s="82">
        <v>4140000</v>
      </c>
      <c r="E275" s="82">
        <v>4140000</v>
      </c>
      <c r="F275" s="82">
        <v>4140000</v>
      </c>
      <c r="G275" s="82">
        <v>4140000</v>
      </c>
      <c r="I275" s="97">
        <v>0</v>
      </c>
      <c r="J275" s="97">
        <v>0</v>
      </c>
      <c r="K275" s="97">
        <v>0</v>
      </c>
      <c r="M275" s="7">
        <f t="shared" si="45"/>
        <v>0</v>
      </c>
      <c r="N275" s="7">
        <f t="shared" si="54"/>
        <v>0</v>
      </c>
      <c r="O275" s="7">
        <f t="shared" si="53"/>
        <v>0</v>
      </c>
      <c r="P275" s="99">
        <f t="shared" si="46"/>
        <v>0</v>
      </c>
      <c r="Q275" s="99">
        <f t="shared" si="55"/>
        <v>5.2530816283929971E-2</v>
      </c>
      <c r="S275" s="7">
        <f t="shared" si="47"/>
        <v>4554000</v>
      </c>
      <c r="T275" s="7">
        <f t="shared" si="48"/>
        <v>1380000</v>
      </c>
      <c r="U275" s="7">
        <f t="shared" si="49"/>
        <v>7450000</v>
      </c>
      <c r="V275" s="7">
        <f t="shared" si="50"/>
        <v>0</v>
      </c>
      <c r="W275" s="7">
        <f t="shared" si="51"/>
        <v>0</v>
      </c>
      <c r="X275" s="7">
        <f t="shared" si="52"/>
        <v>0</v>
      </c>
    </row>
    <row r="276" spans="1:24">
      <c r="A276">
        <v>275</v>
      </c>
      <c r="B276" s="96" t="s">
        <v>3328</v>
      </c>
      <c r="C276" s="95">
        <v>40647</v>
      </c>
      <c r="D276" s="82">
        <v>4190000</v>
      </c>
      <c r="E276" s="82">
        <v>4190000</v>
      </c>
      <c r="F276" s="82">
        <v>4190000</v>
      </c>
      <c r="G276" s="82">
        <v>4190000</v>
      </c>
      <c r="I276" s="98">
        <v>0</v>
      </c>
      <c r="J276" s="98">
        <v>0</v>
      </c>
      <c r="K276" s="98">
        <v>0</v>
      </c>
      <c r="M276" s="7">
        <f t="shared" si="45"/>
        <v>0</v>
      </c>
      <c r="N276" s="7">
        <f t="shared" si="54"/>
        <v>0</v>
      </c>
      <c r="O276" s="7">
        <f t="shared" si="53"/>
        <v>50000</v>
      </c>
      <c r="P276" s="99">
        <f t="shared" si="46"/>
        <v>1.2077294685990338E-2</v>
      </c>
      <c r="Q276" s="99">
        <f t="shared" si="55"/>
        <v>5.2530816283929971E-2</v>
      </c>
      <c r="S276" s="7">
        <f t="shared" si="47"/>
        <v>4609000</v>
      </c>
      <c r="T276" s="7">
        <f t="shared" si="48"/>
        <v>1396666.6666666667</v>
      </c>
      <c r="U276" s="7">
        <f t="shared" si="49"/>
        <v>7400000</v>
      </c>
      <c r="V276" s="7">
        <f t="shared" si="50"/>
        <v>0</v>
      </c>
      <c r="W276" s="7">
        <f t="shared" si="51"/>
        <v>0</v>
      </c>
      <c r="X276" s="7">
        <f t="shared" si="52"/>
        <v>0</v>
      </c>
    </row>
    <row r="277" spans="1:24">
      <c r="A277">
        <v>276</v>
      </c>
      <c r="B277" s="96" t="s">
        <v>3327</v>
      </c>
      <c r="C277" s="95">
        <v>40649</v>
      </c>
      <c r="D277" s="82">
        <v>4200000</v>
      </c>
      <c r="E277" s="82">
        <v>4200000</v>
      </c>
      <c r="F277" s="82">
        <v>4200000</v>
      </c>
      <c r="G277" s="82">
        <v>4200000</v>
      </c>
      <c r="I277" s="82">
        <f>G277*1.1</f>
        <v>4620000</v>
      </c>
      <c r="J277" s="82">
        <f>G277/3</f>
        <v>1400000</v>
      </c>
      <c r="K277" s="7">
        <f>G545</f>
        <v>7760000</v>
      </c>
      <c r="L277" s="7">
        <f>K277-I277</f>
        <v>3140000</v>
      </c>
      <c r="M277" s="7">
        <f t="shared" si="45"/>
        <v>175000</v>
      </c>
      <c r="N277" s="7">
        <f t="shared" si="54"/>
        <v>3315000</v>
      </c>
      <c r="O277" s="7">
        <f t="shared" si="53"/>
        <v>10000</v>
      </c>
      <c r="P277" s="99">
        <f t="shared" si="46"/>
        <v>2.3866348448687352E-3</v>
      </c>
      <c r="Q277" s="99">
        <f t="shared" si="55"/>
        <v>4.1707347611141685E-2</v>
      </c>
      <c r="R277">
        <v>1</v>
      </c>
      <c r="S277" s="7">
        <f t="shared" si="47"/>
        <v>4620000</v>
      </c>
      <c r="T277" s="7">
        <f t="shared" si="48"/>
        <v>1400000</v>
      </c>
      <c r="U277" s="7">
        <f t="shared" si="49"/>
        <v>7760000</v>
      </c>
      <c r="V277" s="7">
        <f t="shared" si="50"/>
        <v>3140000</v>
      </c>
      <c r="W277" s="7">
        <f t="shared" si="51"/>
        <v>175000</v>
      </c>
      <c r="X277" s="7">
        <f t="shared" si="52"/>
        <v>3315000</v>
      </c>
    </row>
    <row r="278" spans="1:24">
      <c r="A278">
        <v>277</v>
      </c>
      <c r="B278" s="96" t="s">
        <v>3326</v>
      </c>
      <c r="C278" s="95">
        <v>40650</v>
      </c>
      <c r="D278" s="82">
        <v>4300000</v>
      </c>
      <c r="E278" s="82">
        <v>4300000</v>
      </c>
      <c r="F278" s="82">
        <v>4300000</v>
      </c>
      <c r="G278" s="82">
        <v>4300000</v>
      </c>
      <c r="I278" s="97">
        <v>0</v>
      </c>
      <c r="J278" s="97">
        <v>0</v>
      </c>
      <c r="K278" s="97">
        <v>0</v>
      </c>
      <c r="M278" s="7">
        <f t="shared" si="45"/>
        <v>0</v>
      </c>
      <c r="N278" s="7">
        <f t="shared" si="54"/>
        <v>0</v>
      </c>
      <c r="O278" s="7">
        <f t="shared" si="53"/>
        <v>100000</v>
      </c>
      <c r="P278" s="99">
        <f t="shared" si="46"/>
        <v>2.3809523809523808E-2</v>
      </c>
      <c r="Q278" s="99">
        <f t="shared" si="55"/>
        <v>3.911885807790097E-2</v>
      </c>
      <c r="S278" s="7">
        <f t="shared" si="47"/>
        <v>4730000</v>
      </c>
      <c r="T278" s="7">
        <f t="shared" si="48"/>
        <v>1433333.3333333333</v>
      </c>
      <c r="U278" s="7">
        <f t="shared" si="49"/>
        <v>7650000</v>
      </c>
      <c r="V278" s="7">
        <f t="shared" si="50"/>
        <v>0</v>
      </c>
      <c r="W278" s="7">
        <f t="shared" si="51"/>
        <v>0</v>
      </c>
      <c r="X278" s="7">
        <f t="shared" si="52"/>
        <v>0</v>
      </c>
    </row>
    <row r="279" spans="1:24">
      <c r="A279">
        <v>278</v>
      </c>
      <c r="B279" s="96" t="s">
        <v>3325</v>
      </c>
      <c r="C279" s="95">
        <v>40651</v>
      </c>
      <c r="D279" s="82">
        <v>4300000</v>
      </c>
      <c r="E279" s="82">
        <v>4300000</v>
      </c>
      <c r="F279" s="82">
        <v>4300000</v>
      </c>
      <c r="G279" s="82">
        <v>4300000</v>
      </c>
      <c r="I279" s="97">
        <v>0</v>
      </c>
      <c r="J279" s="97">
        <v>0</v>
      </c>
      <c r="K279" s="97">
        <v>0</v>
      </c>
      <c r="M279" s="7">
        <f t="shared" si="45"/>
        <v>0</v>
      </c>
      <c r="N279" s="7">
        <f t="shared" si="54"/>
        <v>0</v>
      </c>
      <c r="O279" s="7">
        <f t="shared" si="53"/>
        <v>0</v>
      </c>
      <c r="P279" s="99">
        <f t="shared" si="46"/>
        <v>0</v>
      </c>
      <c r="Q279" s="99">
        <f t="shared" si="55"/>
        <v>5.797788683791983E-2</v>
      </c>
      <c r="S279" s="7">
        <f t="shared" si="47"/>
        <v>4730000</v>
      </c>
      <c r="T279" s="7">
        <f t="shared" si="48"/>
        <v>1433333.3333333333</v>
      </c>
      <c r="U279" s="7">
        <f t="shared" si="49"/>
        <v>7680000</v>
      </c>
      <c r="V279" s="7">
        <f t="shared" si="50"/>
        <v>0</v>
      </c>
      <c r="W279" s="7">
        <f t="shared" si="51"/>
        <v>0</v>
      </c>
      <c r="X279" s="7">
        <f t="shared" si="52"/>
        <v>0</v>
      </c>
    </row>
    <row r="280" spans="1:24">
      <c r="A280">
        <v>279</v>
      </c>
      <c r="B280" s="96" t="s">
        <v>3324</v>
      </c>
      <c r="C280" s="95">
        <v>40652</v>
      </c>
      <c r="D280" s="82">
        <v>4370000</v>
      </c>
      <c r="E280" s="82">
        <v>4370000</v>
      </c>
      <c r="F280" s="82">
        <v>4370000</v>
      </c>
      <c r="G280" s="82">
        <v>4370000</v>
      </c>
      <c r="I280" s="97">
        <v>0</v>
      </c>
      <c r="J280" s="97">
        <v>0</v>
      </c>
      <c r="K280" s="97">
        <v>0</v>
      </c>
      <c r="M280" s="7">
        <f t="shared" si="45"/>
        <v>0</v>
      </c>
      <c r="N280" s="7">
        <f t="shared" si="54"/>
        <v>0</v>
      </c>
      <c r="O280" s="7">
        <f t="shared" si="53"/>
        <v>70000</v>
      </c>
      <c r="P280" s="99">
        <f t="shared" si="46"/>
        <v>1.627906976744186E-2</v>
      </c>
      <c r="Q280" s="99">
        <f t="shared" si="55"/>
        <v>3.8273453340382881E-2</v>
      </c>
      <c r="S280" s="7">
        <f t="shared" si="47"/>
        <v>4807000</v>
      </c>
      <c r="T280" s="7">
        <f t="shared" si="48"/>
        <v>1456666.6666666667</v>
      </c>
      <c r="U280" s="7">
        <f t="shared" si="49"/>
        <v>7640000</v>
      </c>
      <c r="V280" s="7">
        <f t="shared" si="50"/>
        <v>0</v>
      </c>
      <c r="W280" s="7">
        <f t="shared" si="51"/>
        <v>0</v>
      </c>
      <c r="X280" s="7">
        <f t="shared" si="52"/>
        <v>0</v>
      </c>
    </row>
    <row r="281" spans="1:24">
      <c r="A281">
        <v>280</v>
      </c>
      <c r="B281" s="96" t="s">
        <v>3323</v>
      </c>
      <c r="C281" s="95">
        <v>40653</v>
      </c>
      <c r="D281" s="82">
        <v>4450000</v>
      </c>
      <c r="E281" s="82">
        <v>4450000</v>
      </c>
      <c r="F281" s="82">
        <v>4450000</v>
      </c>
      <c r="G281" s="82">
        <v>4450000</v>
      </c>
      <c r="I281" s="98">
        <v>0</v>
      </c>
      <c r="J281" s="98">
        <v>0</v>
      </c>
      <c r="K281" s="98">
        <v>0</v>
      </c>
      <c r="M281" s="7">
        <f t="shared" si="45"/>
        <v>0</v>
      </c>
      <c r="N281" s="7">
        <f t="shared" si="54"/>
        <v>0</v>
      </c>
      <c r="O281" s="7">
        <f t="shared" si="53"/>
        <v>80000</v>
      </c>
      <c r="P281" s="99">
        <f t="shared" si="46"/>
        <v>1.8306636155606407E-2</v>
      </c>
      <c r="Q281" s="99">
        <f t="shared" si="55"/>
        <v>5.4552523107824741E-2</v>
      </c>
      <c r="S281" s="7">
        <f t="shared" si="47"/>
        <v>4895000</v>
      </c>
      <c r="T281" s="7">
        <f t="shared" si="48"/>
        <v>1483333.3333333333</v>
      </c>
      <c r="U281" s="7">
        <f t="shared" si="49"/>
        <v>7670000</v>
      </c>
      <c r="V281" s="7">
        <f t="shared" si="50"/>
        <v>0</v>
      </c>
      <c r="W281" s="7">
        <f t="shared" si="51"/>
        <v>0</v>
      </c>
      <c r="X281" s="7">
        <f t="shared" si="52"/>
        <v>0</v>
      </c>
    </row>
    <row r="282" spans="1:24">
      <c r="A282">
        <v>281</v>
      </c>
      <c r="B282" s="96" t="s">
        <v>3322</v>
      </c>
      <c r="C282" s="95">
        <v>40654</v>
      </c>
      <c r="D282" s="82">
        <v>4300000</v>
      </c>
      <c r="E282" s="82">
        <v>4300000</v>
      </c>
      <c r="F282" s="82">
        <v>4300000</v>
      </c>
      <c r="G282" s="82">
        <v>4300000</v>
      </c>
      <c r="I282" s="82">
        <f>G282*1.1</f>
        <v>4730000</v>
      </c>
      <c r="J282" s="82">
        <f>G282/3</f>
        <v>1433333.3333333333</v>
      </c>
      <c r="K282" s="7">
        <f>G550</f>
        <v>7800000</v>
      </c>
      <c r="L282" s="7">
        <f>K282-I282</f>
        <v>3070000</v>
      </c>
      <c r="M282" s="7">
        <f t="shared" si="45"/>
        <v>179166.66666666663</v>
      </c>
      <c r="N282" s="7">
        <f t="shared" si="54"/>
        <v>3249166.6666666665</v>
      </c>
      <c r="O282" s="7">
        <f t="shared" si="53"/>
        <v>-150000</v>
      </c>
      <c r="P282" s="99">
        <f t="shared" si="46"/>
        <v>-3.3707865168539325E-2</v>
      </c>
      <c r="Q282" s="99">
        <f t="shared" si="55"/>
        <v>6.0781864577440808E-2</v>
      </c>
      <c r="R282">
        <v>1</v>
      </c>
      <c r="S282" s="7">
        <f t="shared" si="47"/>
        <v>4730000</v>
      </c>
      <c r="T282" s="7">
        <f t="shared" si="48"/>
        <v>1433333.3333333333</v>
      </c>
      <c r="U282" s="7">
        <f t="shared" si="49"/>
        <v>7800000</v>
      </c>
      <c r="V282" s="7">
        <f t="shared" si="50"/>
        <v>3070000</v>
      </c>
      <c r="W282" s="7">
        <f t="shared" si="51"/>
        <v>179166.66666666663</v>
      </c>
      <c r="X282" s="7">
        <f t="shared" si="52"/>
        <v>3249166.6666666665</v>
      </c>
    </row>
    <row r="283" spans="1:24">
      <c r="A283">
        <v>282</v>
      </c>
      <c r="B283" s="96" t="s">
        <v>3321</v>
      </c>
      <c r="C283" s="95">
        <v>40656</v>
      </c>
      <c r="D283" s="82">
        <v>4200000</v>
      </c>
      <c r="E283" s="82">
        <v>4200000</v>
      </c>
      <c r="F283" s="82">
        <v>4200000</v>
      </c>
      <c r="G283" s="82">
        <v>4200000</v>
      </c>
      <c r="I283" s="97">
        <v>0</v>
      </c>
      <c r="J283" s="97">
        <v>0</v>
      </c>
      <c r="K283" s="97">
        <v>0</v>
      </c>
      <c r="M283" s="7">
        <f t="shared" si="45"/>
        <v>0</v>
      </c>
      <c r="N283" s="7">
        <f t="shared" si="54"/>
        <v>0</v>
      </c>
      <c r="O283" s="7">
        <f t="shared" si="53"/>
        <v>-100000</v>
      </c>
      <c r="P283" s="99">
        <f t="shared" si="46"/>
        <v>-2.3255813953488372E-2</v>
      </c>
      <c r="Q283" s="99">
        <f t="shared" si="55"/>
        <v>2.4687364564032754E-2</v>
      </c>
      <c r="S283" s="7">
        <f t="shared" si="47"/>
        <v>4620000</v>
      </c>
      <c r="T283" s="7">
        <f t="shared" si="48"/>
        <v>1400000</v>
      </c>
      <c r="U283" s="7">
        <f t="shared" si="49"/>
        <v>7810000</v>
      </c>
      <c r="V283" s="7">
        <f t="shared" si="50"/>
        <v>0</v>
      </c>
      <c r="W283" s="7">
        <f t="shared" si="51"/>
        <v>0</v>
      </c>
      <c r="X283" s="7">
        <f t="shared" si="52"/>
        <v>0</v>
      </c>
    </row>
    <row r="284" spans="1:24">
      <c r="A284">
        <v>283</v>
      </c>
      <c r="B284" s="96" t="s">
        <v>3320</v>
      </c>
      <c r="C284" s="95">
        <v>40657</v>
      </c>
      <c r="D284" s="82">
        <v>4280000</v>
      </c>
      <c r="E284" s="82">
        <v>4280000</v>
      </c>
      <c r="F284" s="82">
        <v>4280000</v>
      </c>
      <c r="G284" s="82">
        <v>4280000</v>
      </c>
      <c r="I284" s="97">
        <v>0</v>
      </c>
      <c r="J284" s="97">
        <v>0</v>
      </c>
      <c r="K284" s="97">
        <v>0</v>
      </c>
      <c r="M284" s="7">
        <f t="shared" si="45"/>
        <v>0</v>
      </c>
      <c r="N284" s="7">
        <f t="shared" si="54"/>
        <v>0</v>
      </c>
      <c r="O284" s="7">
        <f t="shared" si="53"/>
        <v>80000</v>
      </c>
      <c r="P284" s="99">
        <f t="shared" si="46"/>
        <v>1.9047619047619049E-2</v>
      </c>
      <c r="Q284" s="99">
        <f t="shared" si="55"/>
        <v>-2.2377973198979426E-2</v>
      </c>
      <c r="S284" s="7">
        <f t="shared" si="47"/>
        <v>4708000</v>
      </c>
      <c r="T284" s="7">
        <f t="shared" si="48"/>
        <v>1426666.6666666667</v>
      </c>
      <c r="U284" s="7">
        <f t="shared" si="49"/>
        <v>7790000</v>
      </c>
      <c r="V284" s="7">
        <f t="shared" si="50"/>
        <v>0</v>
      </c>
      <c r="W284" s="7">
        <f t="shared" si="51"/>
        <v>0</v>
      </c>
      <c r="X284" s="7">
        <f t="shared" si="52"/>
        <v>0</v>
      </c>
    </row>
    <row r="285" spans="1:24">
      <c r="A285">
        <v>284</v>
      </c>
      <c r="B285" s="96" t="s">
        <v>3319</v>
      </c>
      <c r="C285" s="95">
        <v>40658</v>
      </c>
      <c r="D285" s="82">
        <v>4350000</v>
      </c>
      <c r="E285" s="82">
        <v>4350000</v>
      </c>
      <c r="F285" s="82">
        <v>4350000</v>
      </c>
      <c r="G285" s="82">
        <v>4350000</v>
      </c>
      <c r="I285" s="97">
        <v>0</v>
      </c>
      <c r="J285" s="97">
        <v>0</v>
      </c>
      <c r="K285" s="97">
        <v>0</v>
      </c>
      <c r="M285" s="7">
        <f t="shared" si="45"/>
        <v>0</v>
      </c>
      <c r="N285" s="7">
        <f t="shared" si="54"/>
        <v>0</v>
      </c>
      <c r="O285" s="7">
        <f t="shared" si="53"/>
        <v>70000</v>
      </c>
      <c r="P285" s="99">
        <f t="shared" si="46"/>
        <v>1.6355140186915886E-2</v>
      </c>
      <c r="Q285" s="99">
        <f t="shared" si="55"/>
        <v>-3.3303541513603763E-3</v>
      </c>
      <c r="S285" s="7">
        <f t="shared" si="47"/>
        <v>4785000</v>
      </c>
      <c r="T285" s="7">
        <f t="shared" si="48"/>
        <v>1450000</v>
      </c>
      <c r="U285" s="7">
        <f t="shared" si="49"/>
        <v>7740000</v>
      </c>
      <c r="V285" s="7">
        <f t="shared" si="50"/>
        <v>0</v>
      </c>
      <c r="W285" s="7">
        <f t="shared" si="51"/>
        <v>0</v>
      </c>
      <c r="X285" s="7">
        <f t="shared" si="52"/>
        <v>0</v>
      </c>
    </row>
    <row r="286" spans="1:24">
      <c r="A286">
        <v>285</v>
      </c>
      <c r="B286" s="96" t="s">
        <v>3318</v>
      </c>
      <c r="C286" s="95">
        <v>40659</v>
      </c>
      <c r="D286" s="82">
        <v>4250000</v>
      </c>
      <c r="E286" s="82">
        <v>4250000</v>
      </c>
      <c r="F286" s="82">
        <v>4250000</v>
      </c>
      <c r="G286" s="82">
        <v>4250000</v>
      </c>
      <c r="I286" s="98">
        <v>0</v>
      </c>
      <c r="J286" s="98">
        <v>0</v>
      </c>
      <c r="K286" s="98">
        <v>0</v>
      </c>
      <c r="M286" s="7">
        <f t="shared" si="45"/>
        <v>0</v>
      </c>
      <c r="N286" s="7">
        <f t="shared" si="54"/>
        <v>0</v>
      </c>
      <c r="O286" s="7">
        <f t="shared" si="53"/>
        <v>-100000</v>
      </c>
      <c r="P286" s="99">
        <f t="shared" si="46"/>
        <v>-2.2988505747126436E-2</v>
      </c>
      <c r="Q286" s="99">
        <f t="shared" si="55"/>
        <v>-3.2542837318863573E-3</v>
      </c>
      <c r="S286" s="7">
        <f t="shared" si="47"/>
        <v>4675000</v>
      </c>
      <c r="T286" s="7">
        <f t="shared" si="48"/>
        <v>1416666.6666666667</v>
      </c>
      <c r="U286" s="7">
        <f t="shared" si="49"/>
        <v>7630000</v>
      </c>
      <c r="V286" s="7">
        <f t="shared" si="50"/>
        <v>0</v>
      </c>
      <c r="W286" s="7">
        <f t="shared" si="51"/>
        <v>0</v>
      </c>
      <c r="X286" s="7">
        <f t="shared" si="52"/>
        <v>0</v>
      </c>
    </row>
    <row r="287" spans="1:24">
      <c r="A287">
        <v>286</v>
      </c>
      <c r="B287" s="96" t="s">
        <v>3317</v>
      </c>
      <c r="C287" s="95">
        <v>40660</v>
      </c>
      <c r="D287" s="82">
        <v>4180000</v>
      </c>
      <c r="E287" s="82">
        <v>4180000</v>
      </c>
      <c r="F287" s="82">
        <v>4180000</v>
      </c>
      <c r="G287" s="82">
        <v>4180000</v>
      </c>
      <c r="I287" s="82">
        <f>G287*1.1</f>
        <v>4598000</v>
      </c>
      <c r="J287" s="82">
        <f>G287/3</f>
        <v>1393333.3333333333</v>
      </c>
      <c r="K287" s="7">
        <f>G555</f>
        <v>7440000</v>
      </c>
      <c r="L287" s="7">
        <f>K287-I287</f>
        <v>2842000</v>
      </c>
      <c r="M287" s="7">
        <f t="shared" si="45"/>
        <v>174166.66666666663</v>
      </c>
      <c r="N287" s="7">
        <f t="shared" si="54"/>
        <v>3016166.6666666665</v>
      </c>
      <c r="O287" s="7">
        <f t="shared" si="53"/>
        <v>-70000</v>
      </c>
      <c r="P287" s="99">
        <f t="shared" si="46"/>
        <v>-1.6470588235294119E-2</v>
      </c>
      <c r="Q287" s="99">
        <f t="shared" si="55"/>
        <v>-4.4549425634619194E-2</v>
      </c>
      <c r="R287">
        <v>1</v>
      </c>
      <c r="S287" s="7">
        <f t="shared" si="47"/>
        <v>4598000</v>
      </c>
      <c r="T287" s="7">
        <f t="shared" si="48"/>
        <v>1393333.3333333333</v>
      </c>
      <c r="U287" s="7">
        <f t="shared" si="49"/>
        <v>7440000</v>
      </c>
      <c r="V287" s="7">
        <f t="shared" si="50"/>
        <v>2842000</v>
      </c>
      <c r="W287" s="7">
        <f t="shared" si="51"/>
        <v>174166.66666666663</v>
      </c>
      <c r="X287" s="7">
        <f t="shared" si="52"/>
        <v>3016166.6666666665</v>
      </c>
    </row>
    <row r="288" spans="1:24">
      <c r="A288">
        <v>287</v>
      </c>
      <c r="B288" s="96" t="s">
        <v>3316</v>
      </c>
      <c r="C288" s="95">
        <v>40661</v>
      </c>
      <c r="D288" s="82">
        <v>4160000</v>
      </c>
      <c r="E288" s="82">
        <v>4160000</v>
      </c>
      <c r="F288" s="82">
        <v>4160000</v>
      </c>
      <c r="G288" s="82">
        <v>4160000</v>
      </c>
      <c r="I288" s="97">
        <v>0</v>
      </c>
      <c r="J288" s="97">
        <v>0</v>
      </c>
      <c r="K288" s="97">
        <v>0</v>
      </c>
      <c r="M288" s="7">
        <f t="shared" si="45"/>
        <v>0</v>
      </c>
      <c r="N288" s="7">
        <f t="shared" si="54"/>
        <v>0</v>
      </c>
      <c r="O288" s="7">
        <f t="shared" si="53"/>
        <v>-20000</v>
      </c>
      <c r="P288" s="99">
        <f t="shared" si="46"/>
        <v>-4.7846889952153108E-3</v>
      </c>
      <c r="Q288" s="99">
        <f t="shared" si="55"/>
        <v>-2.7312148701373992E-2</v>
      </c>
      <c r="S288" s="7">
        <f t="shared" si="47"/>
        <v>4576000</v>
      </c>
      <c r="T288" s="7">
        <f t="shared" si="48"/>
        <v>1386666.6666666667</v>
      </c>
      <c r="U288" s="7">
        <f t="shared" si="49"/>
        <v>7430000</v>
      </c>
      <c r="V288" s="7">
        <f t="shared" si="50"/>
        <v>0</v>
      </c>
      <c r="W288" s="7">
        <f t="shared" si="51"/>
        <v>0</v>
      </c>
      <c r="X288" s="7">
        <f t="shared" si="52"/>
        <v>0</v>
      </c>
    </row>
    <row r="289" spans="1:24">
      <c r="A289">
        <v>288</v>
      </c>
      <c r="B289" s="96" t="s">
        <v>3315</v>
      </c>
      <c r="C289" s="95">
        <v>40663</v>
      </c>
      <c r="D289" s="82">
        <v>4230000</v>
      </c>
      <c r="E289" s="82">
        <v>4230000</v>
      </c>
      <c r="F289" s="82">
        <v>4230000</v>
      </c>
      <c r="G289" s="82">
        <v>4230000</v>
      </c>
      <c r="I289" s="97">
        <v>0</v>
      </c>
      <c r="J289" s="97">
        <v>0</v>
      </c>
      <c r="K289" s="97">
        <v>0</v>
      </c>
      <c r="M289" s="7">
        <f t="shared" si="45"/>
        <v>0</v>
      </c>
      <c r="N289" s="7">
        <f t="shared" si="54"/>
        <v>0</v>
      </c>
      <c r="O289" s="7">
        <f t="shared" si="53"/>
        <v>70000</v>
      </c>
      <c r="P289" s="99">
        <f t="shared" si="46"/>
        <v>1.6826923076923076E-2</v>
      </c>
      <c r="Q289" s="99">
        <f t="shared" si="55"/>
        <v>-8.841023743100928E-3</v>
      </c>
      <c r="S289" s="7">
        <f t="shared" si="47"/>
        <v>4653000</v>
      </c>
      <c r="T289" s="7">
        <f t="shared" si="48"/>
        <v>1410000</v>
      </c>
      <c r="U289" s="7">
        <f t="shared" si="49"/>
        <v>7470000</v>
      </c>
      <c r="V289" s="7">
        <f t="shared" si="50"/>
        <v>0</v>
      </c>
      <c r="W289" s="7">
        <f t="shared" si="51"/>
        <v>0</v>
      </c>
      <c r="X289" s="7">
        <f t="shared" si="52"/>
        <v>0</v>
      </c>
    </row>
    <row r="290" spans="1:24">
      <c r="A290">
        <v>289</v>
      </c>
      <c r="B290" s="96" t="s">
        <v>3314</v>
      </c>
      <c r="C290" s="95">
        <v>40664</v>
      </c>
      <c r="D290" s="82">
        <v>4250000</v>
      </c>
      <c r="E290" s="82">
        <v>4250000</v>
      </c>
      <c r="F290" s="82">
        <v>4250000</v>
      </c>
      <c r="G290" s="82">
        <v>4250000</v>
      </c>
      <c r="I290" s="97">
        <v>0</v>
      </c>
      <c r="J290" s="97">
        <v>0</v>
      </c>
      <c r="K290" s="97">
        <v>0</v>
      </c>
      <c r="M290" s="7">
        <f t="shared" si="45"/>
        <v>0</v>
      </c>
      <c r="N290" s="7">
        <f t="shared" si="54"/>
        <v>0</v>
      </c>
      <c r="O290" s="7">
        <f t="shared" si="53"/>
        <v>20000</v>
      </c>
      <c r="P290" s="99">
        <f t="shared" si="46"/>
        <v>4.7281323877068557E-3</v>
      </c>
      <c r="Q290" s="99">
        <f t="shared" si="55"/>
        <v>-1.1061719713796905E-2</v>
      </c>
      <c r="S290" s="7">
        <f t="shared" si="47"/>
        <v>4675000</v>
      </c>
      <c r="T290" s="7">
        <f t="shared" si="48"/>
        <v>1416666.6666666667</v>
      </c>
      <c r="U290" s="7">
        <f t="shared" si="49"/>
        <v>7450000</v>
      </c>
      <c r="V290" s="7">
        <f t="shared" si="50"/>
        <v>0</v>
      </c>
      <c r="W290" s="7">
        <f t="shared" si="51"/>
        <v>0</v>
      </c>
      <c r="X290" s="7">
        <f t="shared" si="52"/>
        <v>0</v>
      </c>
    </row>
    <row r="291" spans="1:24">
      <c r="A291">
        <v>290</v>
      </c>
      <c r="B291" s="96" t="s">
        <v>3313</v>
      </c>
      <c r="C291" s="95">
        <v>40665</v>
      </c>
      <c r="D291" s="82">
        <v>4250000</v>
      </c>
      <c r="E291" s="82">
        <v>4250000</v>
      </c>
      <c r="F291" s="82">
        <v>4250000</v>
      </c>
      <c r="G291" s="82">
        <v>4250000</v>
      </c>
      <c r="I291" s="98">
        <v>0</v>
      </c>
      <c r="J291" s="98">
        <v>0</v>
      </c>
      <c r="K291" s="98">
        <v>0</v>
      </c>
      <c r="M291" s="7">
        <f t="shared" si="45"/>
        <v>0</v>
      </c>
      <c r="N291" s="7">
        <f t="shared" si="54"/>
        <v>0</v>
      </c>
      <c r="O291" s="7">
        <f t="shared" si="53"/>
        <v>0</v>
      </c>
      <c r="P291" s="99">
        <f t="shared" si="46"/>
        <v>0</v>
      </c>
      <c r="Q291" s="99">
        <f t="shared" si="55"/>
        <v>-2.2688727513005932E-2</v>
      </c>
      <c r="S291" s="7">
        <f t="shared" si="47"/>
        <v>4675000</v>
      </c>
      <c r="T291" s="7">
        <f t="shared" si="48"/>
        <v>1416666.6666666667</v>
      </c>
      <c r="U291" s="7">
        <f t="shared" si="49"/>
        <v>7290000</v>
      </c>
      <c r="V291" s="7">
        <f t="shared" si="50"/>
        <v>0</v>
      </c>
      <c r="W291" s="7">
        <f t="shared" si="51"/>
        <v>0</v>
      </c>
      <c r="X291" s="7">
        <f t="shared" si="52"/>
        <v>0</v>
      </c>
    </row>
    <row r="292" spans="1:24">
      <c r="A292">
        <v>291</v>
      </c>
      <c r="B292" s="96" t="s">
        <v>3312</v>
      </c>
      <c r="C292" s="95">
        <v>40666</v>
      </c>
      <c r="D292" s="82">
        <v>4230000</v>
      </c>
      <c r="E292" s="82">
        <v>4230000</v>
      </c>
      <c r="F292" s="82">
        <v>4230000</v>
      </c>
      <c r="G292" s="82">
        <v>4230000</v>
      </c>
      <c r="I292" s="82">
        <f>G292*1.1</f>
        <v>4653000</v>
      </c>
      <c r="J292" s="82">
        <f>G292/3</f>
        <v>1410000</v>
      </c>
      <c r="K292" s="7">
        <f>G560</f>
        <v>7210000</v>
      </c>
      <c r="L292" s="7">
        <f>K292-I292</f>
        <v>2557000</v>
      </c>
      <c r="M292" s="7">
        <f t="shared" si="45"/>
        <v>176250</v>
      </c>
      <c r="N292" s="7">
        <f t="shared" si="54"/>
        <v>2733250</v>
      </c>
      <c r="O292" s="7">
        <f t="shared" si="53"/>
        <v>-20000</v>
      </c>
      <c r="P292" s="99">
        <f t="shared" si="46"/>
        <v>-4.7058823529411761E-3</v>
      </c>
      <c r="Q292" s="99">
        <f t="shared" si="55"/>
        <v>2.9977823412050131E-4</v>
      </c>
      <c r="R292">
        <v>1</v>
      </c>
      <c r="S292" s="7">
        <f t="shared" si="47"/>
        <v>4653000</v>
      </c>
      <c r="T292" s="7">
        <f t="shared" si="48"/>
        <v>1410000</v>
      </c>
      <c r="U292" s="7">
        <f t="shared" si="49"/>
        <v>7210000</v>
      </c>
      <c r="V292" s="7">
        <f t="shared" si="50"/>
        <v>2557000</v>
      </c>
      <c r="W292" s="7">
        <f t="shared" si="51"/>
        <v>176250</v>
      </c>
      <c r="X292" s="7">
        <f t="shared" si="52"/>
        <v>2733250</v>
      </c>
    </row>
    <row r="293" spans="1:24">
      <c r="A293">
        <v>292</v>
      </c>
      <c r="B293" s="96" t="s">
        <v>3311</v>
      </c>
      <c r="C293" s="95">
        <v>40667</v>
      </c>
      <c r="D293" s="82">
        <v>4230000</v>
      </c>
      <c r="E293" s="82">
        <v>4230000</v>
      </c>
      <c r="F293" s="82">
        <v>4230000</v>
      </c>
      <c r="G293" s="82">
        <v>4230000</v>
      </c>
      <c r="I293" s="97">
        <v>0</v>
      </c>
      <c r="J293" s="97">
        <v>0</v>
      </c>
      <c r="K293" s="97">
        <v>0</v>
      </c>
      <c r="M293" s="7">
        <f t="shared" si="45"/>
        <v>0</v>
      </c>
      <c r="N293" s="7">
        <f t="shared" si="54"/>
        <v>0</v>
      </c>
      <c r="O293" s="7">
        <f t="shared" si="53"/>
        <v>0</v>
      </c>
      <c r="P293" s="99">
        <f t="shared" si="46"/>
        <v>0</v>
      </c>
      <c r="Q293" s="99">
        <f t="shared" si="55"/>
        <v>1.2064484116473444E-2</v>
      </c>
      <c r="S293" s="7">
        <f t="shared" si="47"/>
        <v>4653000</v>
      </c>
      <c r="T293" s="7">
        <f t="shared" si="48"/>
        <v>1410000</v>
      </c>
      <c r="U293" s="7">
        <f t="shared" si="49"/>
        <v>7450000</v>
      </c>
      <c r="V293" s="7">
        <f t="shared" si="50"/>
        <v>0</v>
      </c>
      <c r="W293" s="7">
        <f t="shared" si="51"/>
        <v>0</v>
      </c>
      <c r="X293" s="7">
        <f t="shared" si="52"/>
        <v>0</v>
      </c>
    </row>
    <row r="294" spans="1:24">
      <c r="A294">
        <v>293</v>
      </c>
      <c r="B294" s="96" t="s">
        <v>3310</v>
      </c>
      <c r="C294" s="95">
        <v>40668</v>
      </c>
      <c r="D294" s="82">
        <v>4220000</v>
      </c>
      <c r="E294" s="82">
        <v>4220000</v>
      </c>
      <c r="F294" s="82">
        <v>4220000</v>
      </c>
      <c r="G294" s="82">
        <v>4220000</v>
      </c>
      <c r="I294" s="97">
        <v>0</v>
      </c>
      <c r="J294" s="97">
        <v>0</v>
      </c>
      <c r="K294" s="97">
        <v>0</v>
      </c>
      <c r="M294" s="7">
        <f t="shared" si="45"/>
        <v>0</v>
      </c>
      <c r="N294" s="7">
        <f t="shared" si="54"/>
        <v>0</v>
      </c>
      <c r="O294" s="7">
        <f t="shared" si="53"/>
        <v>-10000</v>
      </c>
      <c r="P294" s="99">
        <f t="shared" si="46"/>
        <v>-2.3640661938534278E-3</v>
      </c>
      <c r="Q294" s="99">
        <f t="shared" si="55"/>
        <v>1.6849173111688757E-2</v>
      </c>
      <c r="S294" s="7">
        <f t="shared" si="47"/>
        <v>4642000</v>
      </c>
      <c r="T294" s="7">
        <f t="shared" si="48"/>
        <v>1406666.6666666667</v>
      </c>
      <c r="U294" s="7">
        <f t="shared" si="49"/>
        <v>7320000</v>
      </c>
      <c r="V294" s="7">
        <f t="shared" si="50"/>
        <v>0</v>
      </c>
      <c r="W294" s="7">
        <f t="shared" si="51"/>
        <v>0</v>
      </c>
      <c r="X294" s="7">
        <f t="shared" si="52"/>
        <v>0</v>
      </c>
    </row>
    <row r="295" spans="1:24">
      <c r="A295">
        <v>294</v>
      </c>
      <c r="B295" s="96" t="s">
        <v>3309</v>
      </c>
      <c r="C295" s="95">
        <v>40671</v>
      </c>
      <c r="D295" s="82">
        <v>4200000</v>
      </c>
      <c r="E295" s="82">
        <v>4200000</v>
      </c>
      <c r="F295" s="82">
        <v>4200000</v>
      </c>
      <c r="G295" s="82">
        <v>4200000</v>
      </c>
      <c r="I295" s="97">
        <v>0</v>
      </c>
      <c r="J295" s="97">
        <v>0</v>
      </c>
      <c r="K295" s="97">
        <v>0</v>
      </c>
      <c r="M295" s="7">
        <f t="shared" si="45"/>
        <v>0</v>
      </c>
      <c r="N295" s="7">
        <f t="shared" si="54"/>
        <v>0</v>
      </c>
      <c r="O295" s="7">
        <f t="shared" si="53"/>
        <v>-20000</v>
      </c>
      <c r="P295" s="99">
        <f t="shared" si="46"/>
        <v>-4.7393364928909956E-3</v>
      </c>
      <c r="Q295" s="99">
        <f t="shared" si="55"/>
        <v>-2.3418161590877482E-3</v>
      </c>
      <c r="S295" s="7">
        <f t="shared" si="47"/>
        <v>4620000</v>
      </c>
      <c r="T295" s="7">
        <f t="shared" si="48"/>
        <v>1400000</v>
      </c>
      <c r="U295" s="7">
        <f t="shared" si="49"/>
        <v>7260000</v>
      </c>
      <c r="V295" s="7">
        <f t="shared" si="50"/>
        <v>0</v>
      </c>
      <c r="W295" s="7">
        <f t="shared" si="51"/>
        <v>0</v>
      </c>
      <c r="X295" s="7">
        <f t="shared" si="52"/>
        <v>0</v>
      </c>
    </row>
    <row r="296" spans="1:24">
      <c r="A296">
        <v>295</v>
      </c>
      <c r="B296" s="96" t="s">
        <v>3308</v>
      </c>
      <c r="C296" s="95">
        <v>40672</v>
      </c>
      <c r="D296" s="82">
        <v>4200000</v>
      </c>
      <c r="E296" s="82">
        <v>4200000</v>
      </c>
      <c r="F296" s="82">
        <v>4200000</v>
      </c>
      <c r="G296" s="82">
        <v>4200000</v>
      </c>
      <c r="I296" s="98">
        <v>0</v>
      </c>
      <c r="J296" s="98">
        <v>0</v>
      </c>
      <c r="K296" s="98">
        <v>0</v>
      </c>
      <c r="M296" s="7">
        <f t="shared" si="45"/>
        <v>0</v>
      </c>
      <c r="N296" s="7">
        <f t="shared" si="54"/>
        <v>0</v>
      </c>
      <c r="O296" s="7">
        <f t="shared" si="53"/>
        <v>0</v>
      </c>
      <c r="P296" s="99">
        <f t="shared" si="46"/>
        <v>0</v>
      </c>
      <c r="Q296" s="99">
        <f t="shared" si="55"/>
        <v>-1.18092850396856E-2</v>
      </c>
      <c r="S296" s="7">
        <f t="shared" si="47"/>
        <v>4620000</v>
      </c>
      <c r="T296" s="7">
        <f t="shared" si="48"/>
        <v>1400000</v>
      </c>
      <c r="U296" s="7">
        <f t="shared" si="49"/>
        <v>6650000</v>
      </c>
      <c r="V296" s="7">
        <f t="shared" si="50"/>
        <v>0</v>
      </c>
      <c r="W296" s="7">
        <f t="shared" si="51"/>
        <v>0</v>
      </c>
      <c r="X296" s="7">
        <f t="shared" si="52"/>
        <v>0</v>
      </c>
    </row>
    <row r="297" spans="1:24">
      <c r="A297">
        <v>296</v>
      </c>
      <c r="B297" s="96" t="s">
        <v>3307</v>
      </c>
      <c r="C297" s="95">
        <v>40673</v>
      </c>
      <c r="D297" s="82">
        <v>4210000</v>
      </c>
      <c r="E297" s="82">
        <v>4210000</v>
      </c>
      <c r="F297" s="82">
        <v>4210000</v>
      </c>
      <c r="G297" s="82">
        <v>4210000</v>
      </c>
      <c r="I297" s="82">
        <f>G297*1.1</f>
        <v>4631000</v>
      </c>
      <c r="J297" s="82">
        <f>G297/3</f>
        <v>1403333.3333333333</v>
      </c>
      <c r="K297" s="7">
        <f>G565</f>
        <v>6830000</v>
      </c>
      <c r="L297" s="7">
        <f>K297-I297</f>
        <v>2199000</v>
      </c>
      <c r="M297" s="7">
        <f t="shared" si="45"/>
        <v>175416.66666666663</v>
      </c>
      <c r="N297" s="7">
        <f t="shared" si="54"/>
        <v>2374416.6666666665</v>
      </c>
      <c r="O297" s="7">
        <f t="shared" si="53"/>
        <v>10000</v>
      </c>
      <c r="P297" s="99">
        <f t="shared" si="46"/>
        <v>2.3809523809523812E-3</v>
      </c>
      <c r="Q297" s="99">
        <f t="shared" si="55"/>
        <v>-1.18092850396856E-2</v>
      </c>
      <c r="R297">
        <v>1</v>
      </c>
      <c r="S297" s="7">
        <f t="shared" si="47"/>
        <v>4631000</v>
      </c>
      <c r="T297" s="7">
        <f t="shared" si="48"/>
        <v>1403333.3333333333</v>
      </c>
      <c r="U297" s="7">
        <f t="shared" si="49"/>
        <v>6830000</v>
      </c>
      <c r="V297" s="7">
        <f t="shared" si="50"/>
        <v>2199000</v>
      </c>
      <c r="W297" s="7">
        <f t="shared" si="51"/>
        <v>175416.66666666663</v>
      </c>
      <c r="X297" s="7">
        <f t="shared" si="52"/>
        <v>2374416.6666666665</v>
      </c>
    </row>
    <row r="298" spans="1:24">
      <c r="A298">
        <v>297</v>
      </c>
      <c r="B298" s="96" t="s">
        <v>3306</v>
      </c>
      <c r="C298" s="95">
        <v>40674</v>
      </c>
      <c r="D298" s="82">
        <v>4250000</v>
      </c>
      <c r="E298" s="82">
        <v>4250000</v>
      </c>
      <c r="F298" s="82">
        <v>4250000</v>
      </c>
      <c r="G298" s="82">
        <v>4250000</v>
      </c>
      <c r="I298" s="97">
        <v>0</v>
      </c>
      <c r="J298" s="97">
        <v>0</v>
      </c>
      <c r="K298" s="97">
        <v>0</v>
      </c>
      <c r="M298" s="7">
        <f t="shared" si="45"/>
        <v>0</v>
      </c>
      <c r="N298" s="7">
        <f t="shared" si="54"/>
        <v>0</v>
      </c>
      <c r="O298" s="7">
        <f t="shared" si="53"/>
        <v>40000</v>
      </c>
      <c r="P298" s="99">
        <f t="shared" si="46"/>
        <v>9.5011876484560574E-3</v>
      </c>
      <c r="Q298" s="99">
        <f t="shared" si="55"/>
        <v>-4.7224503057920423E-3</v>
      </c>
      <c r="S298" s="7">
        <f t="shared" si="47"/>
        <v>4675000</v>
      </c>
      <c r="T298" s="7">
        <f t="shared" si="48"/>
        <v>1416666.6666666667</v>
      </c>
      <c r="U298" s="7">
        <f t="shared" si="49"/>
        <v>7010000</v>
      </c>
      <c r="V298" s="7">
        <f t="shared" si="50"/>
        <v>0</v>
      </c>
      <c r="W298" s="7">
        <f t="shared" si="51"/>
        <v>0</v>
      </c>
      <c r="X298" s="7">
        <f t="shared" si="52"/>
        <v>0</v>
      </c>
    </row>
    <row r="299" spans="1:24">
      <c r="A299">
        <v>298</v>
      </c>
      <c r="B299" s="96" t="s">
        <v>3305</v>
      </c>
      <c r="C299" s="95">
        <v>40675</v>
      </c>
      <c r="D299" s="82">
        <v>4270000</v>
      </c>
      <c r="E299" s="82">
        <v>4270000</v>
      </c>
      <c r="F299" s="82">
        <v>4270000</v>
      </c>
      <c r="G299" s="82">
        <v>4270000</v>
      </c>
      <c r="I299" s="97">
        <v>0</v>
      </c>
      <c r="J299" s="97">
        <v>0</v>
      </c>
      <c r="K299" s="97">
        <v>0</v>
      </c>
      <c r="M299" s="7">
        <f t="shared" si="45"/>
        <v>0</v>
      </c>
      <c r="N299" s="7">
        <f t="shared" si="54"/>
        <v>0</v>
      </c>
      <c r="O299" s="7">
        <f t="shared" si="53"/>
        <v>20000</v>
      </c>
      <c r="P299" s="99">
        <f t="shared" si="46"/>
        <v>4.7058823529411761E-3</v>
      </c>
      <c r="Q299" s="99">
        <f t="shared" si="55"/>
        <v>4.7787373426640151E-3</v>
      </c>
      <c r="S299" s="7">
        <f t="shared" si="47"/>
        <v>4697000</v>
      </c>
      <c r="T299" s="7">
        <f t="shared" si="48"/>
        <v>1423333.3333333333</v>
      </c>
      <c r="U299" s="7">
        <f t="shared" si="49"/>
        <v>7070000</v>
      </c>
      <c r="V299" s="7">
        <f t="shared" si="50"/>
        <v>0</v>
      </c>
      <c r="W299" s="7">
        <f t="shared" si="51"/>
        <v>0</v>
      </c>
      <c r="X299" s="7">
        <f t="shared" si="52"/>
        <v>0</v>
      </c>
    </row>
    <row r="300" spans="1:24">
      <c r="A300">
        <v>299</v>
      </c>
      <c r="B300" s="96" t="s">
        <v>3304</v>
      </c>
      <c r="C300" s="95">
        <v>40677</v>
      </c>
      <c r="D300" s="82">
        <v>4250000</v>
      </c>
      <c r="E300" s="82">
        <v>4250000</v>
      </c>
      <c r="F300" s="82">
        <v>4250000</v>
      </c>
      <c r="G300" s="82">
        <v>4250000</v>
      </c>
      <c r="I300" s="97">
        <v>0</v>
      </c>
      <c r="J300" s="97">
        <v>0</v>
      </c>
      <c r="K300" s="97">
        <v>0</v>
      </c>
      <c r="M300" s="7">
        <f t="shared" si="45"/>
        <v>0</v>
      </c>
      <c r="N300" s="7">
        <f t="shared" si="54"/>
        <v>0</v>
      </c>
      <c r="O300" s="7">
        <f t="shared" si="53"/>
        <v>-20000</v>
      </c>
      <c r="P300" s="99">
        <f t="shared" si="46"/>
        <v>-4.6838407494145199E-3</v>
      </c>
      <c r="Q300" s="99">
        <f t="shared" si="55"/>
        <v>1.1848685889458619E-2</v>
      </c>
      <c r="S300" s="7">
        <f t="shared" si="47"/>
        <v>4675000</v>
      </c>
      <c r="T300" s="7">
        <f t="shared" si="48"/>
        <v>1416666.6666666667</v>
      </c>
      <c r="U300" s="7">
        <f t="shared" si="49"/>
        <v>7020000</v>
      </c>
      <c r="V300" s="7">
        <f t="shared" si="50"/>
        <v>0</v>
      </c>
      <c r="W300" s="7">
        <f t="shared" si="51"/>
        <v>0</v>
      </c>
      <c r="X300" s="7">
        <f t="shared" si="52"/>
        <v>0</v>
      </c>
    </row>
    <row r="301" spans="1:24">
      <c r="A301">
        <v>300</v>
      </c>
      <c r="B301" s="96" t="s">
        <v>3303</v>
      </c>
      <c r="C301" s="95">
        <v>40678</v>
      </c>
      <c r="D301" s="82">
        <v>4220000</v>
      </c>
      <c r="E301" s="82">
        <v>4220000</v>
      </c>
      <c r="F301" s="82">
        <v>4220000</v>
      </c>
      <c r="G301" s="82">
        <v>4220000</v>
      </c>
      <c r="I301" s="98">
        <v>0</v>
      </c>
      <c r="J301" s="98">
        <v>0</v>
      </c>
      <c r="K301" s="98">
        <v>0</v>
      </c>
      <c r="M301" s="7">
        <f t="shared" si="45"/>
        <v>0</v>
      </c>
      <c r="N301" s="7">
        <f t="shared" si="54"/>
        <v>0</v>
      </c>
      <c r="O301" s="7">
        <f t="shared" si="53"/>
        <v>-30000</v>
      </c>
      <c r="P301" s="99">
        <f t="shared" si="46"/>
        <v>-7.058823529411765E-3</v>
      </c>
      <c r="Q301" s="99">
        <f t="shared" si="55"/>
        <v>1.1904181632935095E-2</v>
      </c>
      <c r="S301" s="7">
        <f t="shared" si="47"/>
        <v>4642000</v>
      </c>
      <c r="T301" s="7">
        <f t="shared" si="48"/>
        <v>1406666.6666666667</v>
      </c>
      <c r="U301" s="7">
        <f t="shared" si="49"/>
        <v>7000000</v>
      </c>
      <c r="V301" s="7">
        <f t="shared" si="50"/>
        <v>0</v>
      </c>
      <c r="W301" s="7">
        <f t="shared" si="51"/>
        <v>0</v>
      </c>
      <c r="X301" s="7">
        <f t="shared" si="52"/>
        <v>0</v>
      </c>
    </row>
    <row r="302" spans="1:24">
      <c r="A302">
        <v>301</v>
      </c>
      <c r="B302" s="96" t="s">
        <v>3302</v>
      </c>
      <c r="C302" s="95">
        <v>40679</v>
      </c>
      <c r="D302" s="82">
        <v>4220000</v>
      </c>
      <c r="E302" s="82">
        <v>4220000</v>
      </c>
      <c r="F302" s="82">
        <v>4220000</v>
      </c>
      <c r="G302" s="82">
        <v>4220000</v>
      </c>
      <c r="I302" s="82">
        <f>G302*1.1</f>
        <v>4642000</v>
      </c>
      <c r="J302" s="82">
        <f>G302/3</f>
        <v>1406666.6666666667</v>
      </c>
      <c r="K302" s="7">
        <f>G570</f>
        <v>6980000</v>
      </c>
      <c r="L302" s="7">
        <f>K302-I302</f>
        <v>2338000</v>
      </c>
      <c r="M302" s="7">
        <f t="shared" si="45"/>
        <v>175833.33333333337</v>
      </c>
      <c r="N302" s="7">
        <f t="shared" si="54"/>
        <v>2513833.3333333335</v>
      </c>
      <c r="O302" s="7">
        <f t="shared" si="53"/>
        <v>0</v>
      </c>
      <c r="P302" s="99">
        <f t="shared" si="46"/>
        <v>0</v>
      </c>
      <c r="Q302" s="99">
        <f t="shared" si="55"/>
        <v>4.8453581035233298E-3</v>
      </c>
      <c r="R302">
        <v>1</v>
      </c>
      <c r="S302" s="7">
        <f t="shared" si="47"/>
        <v>4642000</v>
      </c>
      <c r="T302" s="7">
        <f t="shared" si="48"/>
        <v>1406666.6666666667</v>
      </c>
      <c r="U302" s="7">
        <f t="shared" si="49"/>
        <v>6980000</v>
      </c>
      <c r="V302" s="7">
        <f t="shared" si="50"/>
        <v>2338000</v>
      </c>
      <c r="W302" s="7">
        <f t="shared" si="51"/>
        <v>175833.33333333337</v>
      </c>
      <c r="X302" s="7">
        <f t="shared" si="52"/>
        <v>2513833.3333333335</v>
      </c>
    </row>
    <row r="303" spans="1:24">
      <c r="A303">
        <v>302</v>
      </c>
      <c r="B303" s="96" t="s">
        <v>3301</v>
      </c>
      <c r="C303" s="95">
        <v>40680</v>
      </c>
      <c r="D303" s="82">
        <v>4200000</v>
      </c>
      <c r="E303" s="82">
        <v>4200000</v>
      </c>
      <c r="F303" s="82">
        <v>4200000</v>
      </c>
      <c r="G303" s="82">
        <v>4200000</v>
      </c>
      <c r="I303" s="97">
        <v>0</v>
      </c>
      <c r="J303" s="97">
        <v>0</v>
      </c>
      <c r="K303" s="97">
        <v>0</v>
      </c>
      <c r="M303" s="7">
        <f t="shared" si="45"/>
        <v>0</v>
      </c>
      <c r="N303" s="7">
        <f t="shared" si="54"/>
        <v>0</v>
      </c>
      <c r="O303" s="7">
        <f t="shared" si="53"/>
        <v>-20000</v>
      </c>
      <c r="P303" s="99">
        <f t="shared" si="46"/>
        <v>-4.7393364928909956E-3</v>
      </c>
      <c r="Q303" s="99">
        <f t="shared" si="55"/>
        <v>2.4644057225709486E-3</v>
      </c>
      <c r="S303" s="7">
        <f t="shared" si="47"/>
        <v>4620000</v>
      </c>
      <c r="T303" s="7">
        <f t="shared" si="48"/>
        <v>1400000</v>
      </c>
      <c r="U303" s="7">
        <f t="shared" si="49"/>
        <v>6890000</v>
      </c>
      <c r="V303" s="7">
        <f t="shared" si="50"/>
        <v>0</v>
      </c>
      <c r="W303" s="7">
        <f t="shared" si="51"/>
        <v>0</v>
      </c>
      <c r="X303" s="7">
        <f t="shared" si="52"/>
        <v>0</v>
      </c>
    </row>
    <row r="304" spans="1:24">
      <c r="A304">
        <v>303</v>
      </c>
      <c r="B304" s="96" t="s">
        <v>3300</v>
      </c>
      <c r="C304" s="95">
        <v>40681</v>
      </c>
      <c r="D304" s="82">
        <v>4215000</v>
      </c>
      <c r="E304" s="82">
        <v>4215000</v>
      </c>
      <c r="F304" s="82">
        <v>4215000</v>
      </c>
      <c r="G304" s="82">
        <v>4215000</v>
      </c>
      <c r="I304" s="97">
        <v>0</v>
      </c>
      <c r="J304" s="97">
        <v>0</v>
      </c>
      <c r="K304" s="97">
        <v>0</v>
      </c>
      <c r="M304" s="7">
        <f t="shared" si="45"/>
        <v>0</v>
      </c>
      <c r="N304" s="7">
        <f t="shared" si="54"/>
        <v>0</v>
      </c>
      <c r="O304" s="7">
        <f t="shared" si="53"/>
        <v>15000</v>
      </c>
      <c r="P304" s="99">
        <f t="shared" si="46"/>
        <v>3.5714285714285713E-3</v>
      </c>
      <c r="Q304" s="99">
        <f t="shared" si="55"/>
        <v>-1.1776118418776104E-2</v>
      </c>
      <c r="S304" s="7">
        <f t="shared" si="47"/>
        <v>4636500</v>
      </c>
      <c r="T304" s="7">
        <f t="shared" si="48"/>
        <v>1405000</v>
      </c>
      <c r="U304" s="7">
        <f t="shared" si="49"/>
        <v>6810000</v>
      </c>
      <c r="V304" s="7">
        <f t="shared" si="50"/>
        <v>0</v>
      </c>
      <c r="W304" s="7">
        <f t="shared" si="51"/>
        <v>0</v>
      </c>
      <c r="X304" s="7">
        <f t="shared" si="52"/>
        <v>0</v>
      </c>
    </row>
    <row r="305" spans="1:24">
      <c r="A305">
        <v>304</v>
      </c>
      <c r="B305" s="96" t="s">
        <v>3299</v>
      </c>
      <c r="C305" s="95">
        <v>40685</v>
      </c>
      <c r="D305" s="82">
        <v>4230000</v>
      </c>
      <c r="E305" s="82">
        <v>4230000</v>
      </c>
      <c r="F305" s="82">
        <v>4230000</v>
      </c>
      <c r="G305" s="82">
        <v>4230000</v>
      </c>
      <c r="I305" s="97">
        <v>0</v>
      </c>
      <c r="J305" s="97">
        <v>0</v>
      </c>
      <c r="K305" s="97">
        <v>0</v>
      </c>
      <c r="M305" s="7">
        <f t="shared" si="45"/>
        <v>0</v>
      </c>
      <c r="N305" s="7">
        <f t="shared" si="54"/>
        <v>0</v>
      </c>
      <c r="O305" s="7">
        <f t="shared" si="53"/>
        <v>15000</v>
      </c>
      <c r="P305" s="99">
        <f t="shared" si="46"/>
        <v>3.5587188612099642E-3</v>
      </c>
      <c r="Q305" s="99">
        <f t="shared" si="55"/>
        <v>-1.291057220028871E-2</v>
      </c>
      <c r="S305" s="7">
        <f t="shared" si="47"/>
        <v>4653000</v>
      </c>
      <c r="T305" s="7">
        <f t="shared" si="48"/>
        <v>1410000</v>
      </c>
      <c r="U305" s="7">
        <f t="shared" si="49"/>
        <v>6820000</v>
      </c>
      <c r="V305" s="7">
        <f t="shared" si="50"/>
        <v>0</v>
      </c>
      <c r="W305" s="7">
        <f t="shared" si="51"/>
        <v>0</v>
      </c>
      <c r="X305" s="7">
        <f t="shared" si="52"/>
        <v>0</v>
      </c>
    </row>
    <row r="306" spans="1:24">
      <c r="A306">
        <v>305</v>
      </c>
      <c r="B306" s="96" t="s">
        <v>3298</v>
      </c>
      <c r="C306" s="95">
        <v>40682</v>
      </c>
      <c r="D306" s="82">
        <v>4200000</v>
      </c>
      <c r="E306" s="82">
        <v>4200000</v>
      </c>
      <c r="F306" s="82">
        <v>4200000</v>
      </c>
      <c r="G306" s="82">
        <v>4200000</v>
      </c>
      <c r="I306" s="98">
        <v>0</v>
      </c>
      <c r="J306" s="98">
        <v>0</v>
      </c>
      <c r="K306" s="98">
        <v>0</v>
      </c>
      <c r="M306" s="7">
        <f t="shared" si="45"/>
        <v>0</v>
      </c>
      <c r="N306" s="7">
        <f t="shared" si="54"/>
        <v>0</v>
      </c>
      <c r="O306" s="7">
        <f t="shared" si="53"/>
        <v>-30000</v>
      </c>
      <c r="P306" s="99">
        <f t="shared" si="46"/>
        <v>-7.0921985815602835E-3</v>
      </c>
      <c r="Q306" s="99">
        <f t="shared" si="55"/>
        <v>-4.6680125896642255E-3</v>
      </c>
      <c r="S306" s="7">
        <f t="shared" si="47"/>
        <v>4620000</v>
      </c>
      <c r="T306" s="7">
        <f t="shared" si="48"/>
        <v>1400000</v>
      </c>
      <c r="U306" s="7">
        <f t="shared" si="49"/>
        <v>6580000</v>
      </c>
      <c r="V306" s="7">
        <f t="shared" si="50"/>
        <v>0</v>
      </c>
      <c r="W306" s="7">
        <f t="shared" si="51"/>
        <v>0</v>
      </c>
      <c r="X306" s="7">
        <f t="shared" si="52"/>
        <v>0</v>
      </c>
    </row>
    <row r="307" spans="1:24">
      <c r="A307">
        <v>306</v>
      </c>
      <c r="B307" s="96" t="s">
        <v>3297</v>
      </c>
      <c r="C307" s="95">
        <v>40686</v>
      </c>
      <c r="D307" s="82">
        <v>4370000</v>
      </c>
      <c r="E307" s="82">
        <v>4370000</v>
      </c>
      <c r="F307" s="82">
        <v>4370000</v>
      </c>
      <c r="G307" s="82">
        <v>4370000</v>
      </c>
      <c r="I307" s="82">
        <f>G307*1.1</f>
        <v>4807000</v>
      </c>
      <c r="J307" s="82">
        <f>G307/3</f>
        <v>1456666.6666666667</v>
      </c>
      <c r="K307" s="7">
        <f>G575</f>
        <v>6810000</v>
      </c>
      <c r="L307" s="7">
        <f>K307-I307</f>
        <v>2003000</v>
      </c>
      <c r="M307" s="7">
        <f t="shared" si="45"/>
        <v>182083.33333333337</v>
      </c>
      <c r="N307" s="7">
        <f t="shared" si="54"/>
        <v>2185083.3333333335</v>
      </c>
      <c r="O307" s="7">
        <f t="shared" si="53"/>
        <v>170000</v>
      </c>
      <c r="P307" s="99">
        <f t="shared" si="46"/>
        <v>4.0476190476190478E-2</v>
      </c>
      <c r="Q307" s="99">
        <f t="shared" si="55"/>
        <v>-4.7013876418127432E-3</v>
      </c>
      <c r="R307">
        <v>1</v>
      </c>
      <c r="S307" s="7">
        <f t="shared" si="47"/>
        <v>4807000</v>
      </c>
      <c r="T307" s="7">
        <f t="shared" si="48"/>
        <v>1456666.6666666667</v>
      </c>
      <c r="U307" s="7">
        <f t="shared" si="49"/>
        <v>6810000</v>
      </c>
      <c r="V307" s="7">
        <f t="shared" si="50"/>
        <v>2003000</v>
      </c>
      <c r="W307" s="7">
        <f t="shared" si="51"/>
        <v>182083.33333333337</v>
      </c>
      <c r="X307" s="7">
        <f t="shared" si="52"/>
        <v>2185083.3333333335</v>
      </c>
    </row>
    <row r="308" spans="1:24">
      <c r="A308">
        <v>307</v>
      </c>
      <c r="B308" s="96" t="s">
        <v>3296</v>
      </c>
      <c r="C308" s="95">
        <v>40687</v>
      </c>
      <c r="D308" s="82">
        <v>4380000</v>
      </c>
      <c r="E308" s="82">
        <v>4380000</v>
      </c>
      <c r="F308" s="82">
        <v>4380000</v>
      </c>
      <c r="G308" s="82">
        <v>4380000</v>
      </c>
      <c r="I308" s="97">
        <v>0</v>
      </c>
      <c r="J308" s="97">
        <v>0</v>
      </c>
      <c r="K308" s="97">
        <v>0</v>
      </c>
      <c r="M308" s="7">
        <f t="shared" si="45"/>
        <v>0</v>
      </c>
      <c r="N308" s="7">
        <f t="shared" si="54"/>
        <v>0</v>
      </c>
      <c r="O308" s="7">
        <f t="shared" si="53"/>
        <v>10000</v>
      </c>
      <c r="P308" s="99">
        <f t="shared" si="46"/>
        <v>2.2883295194508009E-3</v>
      </c>
      <c r="Q308" s="99">
        <f t="shared" si="55"/>
        <v>3.5774802834377735E-2</v>
      </c>
      <c r="S308" s="7">
        <f t="shared" si="47"/>
        <v>4818000</v>
      </c>
      <c r="T308" s="7">
        <f t="shared" si="48"/>
        <v>1460000</v>
      </c>
      <c r="U308" s="7">
        <f t="shared" si="49"/>
        <v>6730000</v>
      </c>
      <c r="V308" s="7">
        <f t="shared" si="50"/>
        <v>0</v>
      </c>
      <c r="W308" s="7">
        <f t="shared" si="51"/>
        <v>0</v>
      </c>
      <c r="X308" s="7">
        <f t="shared" si="52"/>
        <v>0</v>
      </c>
    </row>
    <row r="309" spans="1:24">
      <c r="A309">
        <v>308</v>
      </c>
      <c r="B309" s="96" t="s">
        <v>3295</v>
      </c>
      <c r="C309" s="95">
        <v>40684</v>
      </c>
      <c r="D309" s="82">
        <v>4210000</v>
      </c>
      <c r="E309" s="82">
        <v>4210000</v>
      </c>
      <c r="F309" s="82">
        <v>4210000</v>
      </c>
      <c r="G309" s="82">
        <v>4210000</v>
      </c>
      <c r="I309" s="97">
        <v>0</v>
      </c>
      <c r="J309" s="97">
        <v>0</v>
      </c>
      <c r="K309" s="97">
        <v>0</v>
      </c>
      <c r="M309" s="7">
        <f t="shared" si="45"/>
        <v>0</v>
      </c>
      <c r="N309" s="7">
        <f t="shared" si="54"/>
        <v>0</v>
      </c>
      <c r="O309" s="7">
        <f t="shared" si="53"/>
        <v>-170000</v>
      </c>
      <c r="P309" s="99">
        <f t="shared" si="46"/>
        <v>-3.8812785388127852E-2</v>
      </c>
      <c r="Q309" s="99">
        <f t="shared" si="55"/>
        <v>4.2802468846719531E-2</v>
      </c>
      <c r="S309" s="7">
        <f t="shared" si="47"/>
        <v>4631000</v>
      </c>
      <c r="T309" s="7">
        <f t="shared" si="48"/>
        <v>1403333.3333333333</v>
      </c>
      <c r="U309" s="7">
        <f t="shared" si="49"/>
        <v>6700000</v>
      </c>
      <c r="V309" s="7">
        <f t="shared" si="50"/>
        <v>0</v>
      </c>
      <c r="W309" s="7">
        <f t="shared" si="51"/>
        <v>0</v>
      </c>
      <c r="X309" s="7">
        <f t="shared" si="52"/>
        <v>0</v>
      </c>
    </row>
    <row r="310" spans="1:24">
      <c r="A310">
        <v>309</v>
      </c>
      <c r="B310" s="96" t="s">
        <v>3294</v>
      </c>
      <c r="C310" s="95">
        <v>40688</v>
      </c>
      <c r="D310" s="82">
        <v>4350000</v>
      </c>
      <c r="E310" s="82">
        <v>4350000</v>
      </c>
      <c r="F310" s="82">
        <v>4350000</v>
      </c>
      <c r="G310" s="82">
        <v>4350000</v>
      </c>
      <c r="I310" s="97">
        <v>0</v>
      </c>
      <c r="J310" s="97">
        <v>0</v>
      </c>
      <c r="K310" s="97">
        <v>0</v>
      </c>
      <c r="M310" s="7">
        <f t="shared" si="45"/>
        <v>0</v>
      </c>
      <c r="N310" s="7">
        <f t="shared" si="54"/>
        <v>0</v>
      </c>
      <c r="O310" s="7">
        <f t="shared" si="53"/>
        <v>140000</v>
      </c>
      <c r="P310" s="99">
        <f t="shared" si="46"/>
        <v>3.3254156769596199E-2</v>
      </c>
      <c r="Q310" s="99">
        <f t="shared" si="55"/>
        <v>4.1825488716310671E-4</v>
      </c>
      <c r="S310" s="7">
        <f t="shared" si="47"/>
        <v>4785000</v>
      </c>
      <c r="T310" s="7">
        <f t="shared" si="48"/>
        <v>1450000</v>
      </c>
      <c r="U310" s="7">
        <f t="shared" si="49"/>
        <v>6700000</v>
      </c>
      <c r="V310" s="7">
        <f t="shared" si="50"/>
        <v>0</v>
      </c>
      <c r="W310" s="7">
        <f t="shared" si="51"/>
        <v>0</v>
      </c>
      <c r="X310" s="7">
        <f t="shared" si="52"/>
        <v>0</v>
      </c>
    </row>
    <row r="311" spans="1:24">
      <c r="A311">
        <v>310</v>
      </c>
      <c r="B311" s="96" t="s">
        <v>3293</v>
      </c>
      <c r="C311" s="95">
        <v>40691</v>
      </c>
      <c r="D311" s="82">
        <v>4480000</v>
      </c>
      <c r="E311" s="82">
        <v>4480000</v>
      </c>
      <c r="F311" s="82">
        <v>4480000</v>
      </c>
      <c r="G311" s="82">
        <v>4480000</v>
      </c>
      <c r="I311" s="98">
        <v>0</v>
      </c>
      <c r="J311" s="98">
        <v>0</v>
      </c>
      <c r="K311" s="98">
        <v>0</v>
      </c>
      <c r="M311" s="7">
        <f t="shared" si="45"/>
        <v>0</v>
      </c>
      <c r="N311" s="7">
        <f t="shared" si="54"/>
        <v>0</v>
      </c>
      <c r="O311" s="7">
        <f t="shared" si="53"/>
        <v>130000</v>
      </c>
      <c r="P311" s="99">
        <f t="shared" si="46"/>
        <v>2.9885057471264367E-2</v>
      </c>
      <c r="Q311" s="99">
        <f t="shared" si="55"/>
        <v>3.0113692795549339E-2</v>
      </c>
      <c r="S311" s="7">
        <f t="shared" si="47"/>
        <v>4928000</v>
      </c>
      <c r="T311" s="7">
        <f t="shared" si="48"/>
        <v>1493333.3333333333</v>
      </c>
      <c r="U311" s="7">
        <f t="shared" si="49"/>
        <v>6685000</v>
      </c>
      <c r="V311" s="7">
        <f t="shared" si="50"/>
        <v>0</v>
      </c>
      <c r="W311" s="7">
        <f t="shared" si="51"/>
        <v>0</v>
      </c>
      <c r="X311" s="7">
        <f t="shared" si="52"/>
        <v>0</v>
      </c>
    </row>
    <row r="312" spans="1:24">
      <c r="A312">
        <v>311</v>
      </c>
      <c r="B312" s="96" t="s">
        <v>3292</v>
      </c>
      <c r="C312" s="95">
        <v>40692</v>
      </c>
      <c r="D312" s="82">
        <v>4450000</v>
      </c>
      <c r="E312" s="82">
        <v>4450000</v>
      </c>
      <c r="F312" s="82">
        <v>4450000</v>
      </c>
      <c r="G312" s="82">
        <v>4450000</v>
      </c>
      <c r="I312" s="82">
        <f>G312*1.1</f>
        <v>4895000</v>
      </c>
      <c r="J312" s="82">
        <f>G312/3</f>
        <v>1483333.3333333333</v>
      </c>
      <c r="K312" s="7">
        <f>G580</f>
        <v>6570000</v>
      </c>
      <c r="L312" s="7">
        <f>K312-I312</f>
        <v>1675000</v>
      </c>
      <c r="M312" s="7">
        <f t="shared" si="45"/>
        <v>185416.66666666663</v>
      </c>
      <c r="N312" s="7">
        <f t="shared" si="54"/>
        <v>1860416.6666666665</v>
      </c>
      <c r="O312" s="7">
        <f t="shared" si="53"/>
        <v>-30000</v>
      </c>
      <c r="P312" s="99">
        <f t="shared" si="46"/>
        <v>-6.6964285714285711E-3</v>
      </c>
      <c r="Q312" s="99">
        <f t="shared" si="55"/>
        <v>6.7090948848373994E-2</v>
      </c>
      <c r="R312">
        <v>1</v>
      </c>
      <c r="S312" s="7">
        <f t="shared" si="47"/>
        <v>4895000</v>
      </c>
      <c r="T312" s="7">
        <f t="shared" si="48"/>
        <v>1483333.3333333333</v>
      </c>
      <c r="U312" s="7">
        <f t="shared" si="49"/>
        <v>6570000</v>
      </c>
      <c r="V312" s="7">
        <f t="shared" si="50"/>
        <v>1675000</v>
      </c>
      <c r="W312" s="7">
        <f t="shared" si="51"/>
        <v>185416.66666666663</v>
      </c>
      <c r="X312" s="7">
        <f t="shared" si="52"/>
        <v>1860416.6666666665</v>
      </c>
    </row>
    <row r="313" spans="1:24">
      <c r="A313">
        <v>312</v>
      </c>
      <c r="B313" s="96" t="s">
        <v>3291</v>
      </c>
      <c r="C313" s="95">
        <v>40693</v>
      </c>
      <c r="D313" s="82">
        <v>4400000</v>
      </c>
      <c r="E313" s="82">
        <v>4400000</v>
      </c>
      <c r="F313" s="82">
        <v>4400000</v>
      </c>
      <c r="G313" s="82">
        <v>4400000</v>
      </c>
      <c r="I313" s="97">
        <v>0</v>
      </c>
      <c r="J313" s="97">
        <v>0</v>
      </c>
      <c r="K313" s="97">
        <v>0</v>
      </c>
      <c r="M313" s="7">
        <f t="shared" si="45"/>
        <v>0</v>
      </c>
      <c r="N313" s="7">
        <f t="shared" si="54"/>
        <v>0</v>
      </c>
      <c r="O313" s="7">
        <f t="shared" si="53"/>
        <v>-50000</v>
      </c>
      <c r="P313" s="99">
        <f t="shared" si="46"/>
        <v>-1.1235955056179775E-2</v>
      </c>
      <c r="Q313" s="99">
        <f t="shared" si="55"/>
        <v>1.9918329800754943E-2</v>
      </c>
      <c r="S313" s="7">
        <f t="shared" si="47"/>
        <v>4840000</v>
      </c>
      <c r="T313" s="7">
        <f t="shared" si="48"/>
        <v>1466666.6666666667</v>
      </c>
      <c r="U313" s="7">
        <f t="shared" si="49"/>
        <v>6480000</v>
      </c>
      <c r="V313" s="7">
        <f t="shared" si="50"/>
        <v>0</v>
      </c>
      <c r="W313" s="7">
        <f t="shared" si="51"/>
        <v>0</v>
      </c>
      <c r="X313" s="7">
        <f t="shared" si="52"/>
        <v>0</v>
      </c>
    </row>
    <row r="314" spans="1:24">
      <c r="A314">
        <v>313</v>
      </c>
      <c r="B314" s="96" t="s">
        <v>3290</v>
      </c>
      <c r="C314" s="95">
        <v>40694</v>
      </c>
      <c r="D314" s="82">
        <v>4380000</v>
      </c>
      <c r="E314" s="82">
        <v>4380000</v>
      </c>
      <c r="F314" s="82">
        <v>4380000</v>
      </c>
      <c r="G314" s="82">
        <v>4380000</v>
      </c>
      <c r="I314" s="97">
        <v>0</v>
      </c>
      <c r="J314" s="97">
        <v>0</v>
      </c>
      <c r="K314" s="97">
        <v>0</v>
      </c>
      <c r="M314" s="7">
        <f t="shared" si="45"/>
        <v>0</v>
      </c>
      <c r="N314" s="7">
        <f t="shared" si="54"/>
        <v>0</v>
      </c>
      <c r="O314" s="7">
        <f t="shared" si="53"/>
        <v>-20000</v>
      </c>
      <c r="P314" s="99">
        <f t="shared" si="46"/>
        <v>-4.5454545454545452E-3</v>
      </c>
      <c r="Q314" s="99">
        <f t="shared" si="55"/>
        <v>6.394045225124368E-3</v>
      </c>
      <c r="S314" s="7">
        <f t="shared" si="47"/>
        <v>4818000</v>
      </c>
      <c r="T314" s="7">
        <f t="shared" si="48"/>
        <v>1460000</v>
      </c>
      <c r="U314" s="7">
        <f t="shared" si="49"/>
        <v>6480000</v>
      </c>
      <c r="V314" s="7">
        <f t="shared" si="50"/>
        <v>0</v>
      </c>
      <c r="W314" s="7">
        <f t="shared" si="51"/>
        <v>0</v>
      </c>
      <c r="X314" s="7">
        <f t="shared" si="52"/>
        <v>0</v>
      </c>
    </row>
    <row r="315" spans="1:24">
      <c r="A315">
        <v>314</v>
      </c>
      <c r="B315" s="96" t="s">
        <v>3289</v>
      </c>
      <c r="C315" s="95">
        <v>40695</v>
      </c>
      <c r="D315" s="82">
        <v>4400000</v>
      </c>
      <c r="E315" s="82">
        <v>4400000</v>
      </c>
      <c r="F315" s="82">
        <v>4400000</v>
      </c>
      <c r="G315" s="82">
        <v>4400000</v>
      </c>
      <c r="I315" s="97">
        <v>0</v>
      </c>
      <c r="J315" s="97">
        <v>0</v>
      </c>
      <c r="K315" s="97">
        <v>0</v>
      </c>
      <c r="M315" s="7">
        <f t="shared" si="45"/>
        <v>0</v>
      </c>
      <c r="N315" s="7">
        <f t="shared" si="54"/>
        <v>0</v>
      </c>
      <c r="O315" s="7">
        <f t="shared" si="53"/>
        <v>20000</v>
      </c>
      <c r="P315" s="99">
        <f t="shared" si="46"/>
        <v>4.5662100456621002E-3</v>
      </c>
      <c r="Q315" s="99">
        <f t="shared" si="55"/>
        <v>4.0661376067797676E-2</v>
      </c>
      <c r="S315" s="7">
        <f t="shared" si="47"/>
        <v>4840000</v>
      </c>
      <c r="T315" s="7">
        <f t="shared" si="48"/>
        <v>1466666.6666666667</v>
      </c>
      <c r="U315" s="7">
        <f t="shared" si="49"/>
        <v>6460000</v>
      </c>
      <c r="V315" s="7">
        <f t="shared" si="50"/>
        <v>0</v>
      </c>
      <c r="W315" s="7">
        <f t="shared" si="51"/>
        <v>0</v>
      </c>
      <c r="X315" s="7">
        <f t="shared" si="52"/>
        <v>0</v>
      </c>
    </row>
    <row r="316" spans="1:24">
      <c r="A316">
        <v>315</v>
      </c>
      <c r="B316" s="96" t="s">
        <v>3288</v>
      </c>
      <c r="C316" s="95">
        <v>40696</v>
      </c>
      <c r="D316" s="82">
        <v>4400000</v>
      </c>
      <c r="E316" s="82">
        <v>4400000</v>
      </c>
      <c r="F316" s="82">
        <v>4400000</v>
      </c>
      <c r="G316" s="82">
        <v>4400000</v>
      </c>
      <c r="I316" s="98">
        <v>0</v>
      </c>
      <c r="J316" s="98">
        <v>0</v>
      </c>
      <c r="K316" s="98">
        <v>0</v>
      </c>
      <c r="M316" s="7">
        <f t="shared" si="45"/>
        <v>0</v>
      </c>
      <c r="N316" s="7">
        <f t="shared" si="54"/>
        <v>0</v>
      </c>
      <c r="O316" s="7">
        <f t="shared" si="53"/>
        <v>0</v>
      </c>
      <c r="P316" s="99">
        <f t="shared" si="46"/>
        <v>0</v>
      </c>
      <c r="Q316" s="99">
        <f t="shared" si="55"/>
        <v>1.1973429343863575E-2</v>
      </c>
      <c r="S316" s="7">
        <f t="shared" si="47"/>
        <v>4840000</v>
      </c>
      <c r="T316" s="7">
        <f t="shared" si="48"/>
        <v>1466666.6666666667</v>
      </c>
      <c r="U316" s="7">
        <f t="shared" si="49"/>
        <v>6300000</v>
      </c>
      <c r="V316" s="7">
        <f t="shared" si="50"/>
        <v>0</v>
      </c>
      <c r="W316" s="7">
        <f t="shared" si="51"/>
        <v>0</v>
      </c>
      <c r="X316" s="7">
        <f t="shared" si="52"/>
        <v>0</v>
      </c>
    </row>
    <row r="317" spans="1:24">
      <c r="A317">
        <v>316</v>
      </c>
      <c r="B317" s="96" t="s">
        <v>3287</v>
      </c>
      <c r="C317" s="95">
        <v>40700</v>
      </c>
      <c r="D317" s="82">
        <v>4420000</v>
      </c>
      <c r="E317" s="82">
        <v>4420000</v>
      </c>
      <c r="F317" s="82">
        <v>4420000</v>
      </c>
      <c r="G317" s="82">
        <v>4420000</v>
      </c>
      <c r="I317" s="82">
        <f>G317*1.1</f>
        <v>4862000</v>
      </c>
      <c r="J317" s="82">
        <f>G317/3</f>
        <v>1473333.3333333333</v>
      </c>
      <c r="K317" s="7">
        <f>G585</f>
        <v>6110000</v>
      </c>
      <c r="L317" s="7">
        <f>K317-I317</f>
        <v>1248000</v>
      </c>
      <c r="M317" s="7">
        <f t="shared" si="45"/>
        <v>184166.66666666663</v>
      </c>
      <c r="N317" s="7">
        <f t="shared" si="54"/>
        <v>1432166.6666666665</v>
      </c>
      <c r="O317" s="7">
        <f t="shared" si="53"/>
        <v>20000</v>
      </c>
      <c r="P317" s="99">
        <f t="shared" si="46"/>
        <v>4.5454545454545452E-3</v>
      </c>
      <c r="Q317" s="99">
        <f t="shared" si="55"/>
        <v>-1.791162812740079E-2</v>
      </c>
      <c r="R317">
        <v>1</v>
      </c>
      <c r="S317" s="7">
        <f t="shared" si="47"/>
        <v>4862000</v>
      </c>
      <c r="T317" s="7">
        <f t="shared" si="48"/>
        <v>1473333.3333333333</v>
      </c>
      <c r="U317" s="7">
        <f t="shared" si="49"/>
        <v>6110000</v>
      </c>
      <c r="V317" s="7">
        <f t="shared" si="50"/>
        <v>1248000</v>
      </c>
      <c r="W317" s="7">
        <f t="shared" si="51"/>
        <v>184166.66666666663</v>
      </c>
      <c r="X317" s="7">
        <f t="shared" si="52"/>
        <v>1432166.6666666665</v>
      </c>
    </row>
    <row r="318" spans="1:24">
      <c r="A318">
        <v>317</v>
      </c>
      <c r="B318" s="96" t="s">
        <v>3286</v>
      </c>
      <c r="C318" s="95">
        <v>40701</v>
      </c>
      <c r="D318" s="82">
        <v>4470000</v>
      </c>
      <c r="E318" s="82">
        <v>4470000</v>
      </c>
      <c r="F318" s="82">
        <v>4470000</v>
      </c>
      <c r="G318" s="82">
        <v>4470000</v>
      </c>
      <c r="I318" s="97">
        <v>0</v>
      </c>
      <c r="J318" s="97">
        <v>0</v>
      </c>
      <c r="K318" s="97">
        <v>0</v>
      </c>
      <c r="M318" s="7">
        <f t="shared" si="45"/>
        <v>0</v>
      </c>
      <c r="N318" s="7">
        <f t="shared" si="54"/>
        <v>0</v>
      </c>
      <c r="O318" s="7">
        <f t="shared" si="53"/>
        <v>50000</v>
      </c>
      <c r="P318" s="99">
        <f t="shared" si="46"/>
        <v>1.1312217194570135E-2</v>
      </c>
      <c r="Q318" s="99">
        <f t="shared" si="55"/>
        <v>-6.6697450105176765E-3</v>
      </c>
      <c r="S318" s="7">
        <f t="shared" si="47"/>
        <v>4917000</v>
      </c>
      <c r="T318" s="7">
        <f t="shared" si="48"/>
        <v>1490000</v>
      </c>
      <c r="U318" s="7">
        <f t="shared" si="49"/>
        <v>6000000</v>
      </c>
      <c r="V318" s="7">
        <f t="shared" si="50"/>
        <v>0</v>
      </c>
      <c r="W318" s="7">
        <f t="shared" si="51"/>
        <v>0</v>
      </c>
      <c r="X318" s="7">
        <f t="shared" si="52"/>
        <v>0</v>
      </c>
    </row>
    <row r="319" spans="1:24">
      <c r="A319">
        <v>318</v>
      </c>
      <c r="B319" s="96" t="s">
        <v>3285</v>
      </c>
      <c r="C319" s="95">
        <v>40702</v>
      </c>
      <c r="D319" s="82">
        <v>4470000</v>
      </c>
      <c r="E319" s="82">
        <v>4470000</v>
      </c>
      <c r="F319" s="82">
        <v>4470000</v>
      </c>
      <c r="G319" s="82">
        <v>4470000</v>
      </c>
      <c r="I319" s="97">
        <v>0</v>
      </c>
      <c r="J319" s="97">
        <v>0</v>
      </c>
      <c r="K319" s="97">
        <v>0</v>
      </c>
      <c r="M319" s="7">
        <f t="shared" si="45"/>
        <v>0</v>
      </c>
      <c r="N319" s="7">
        <f t="shared" si="54"/>
        <v>0</v>
      </c>
      <c r="O319" s="7">
        <f t="shared" si="53"/>
        <v>0</v>
      </c>
      <c r="P319" s="99">
        <f t="shared" si="46"/>
        <v>0</v>
      </c>
      <c r="Q319" s="99">
        <f t="shared" si="55"/>
        <v>1.5878427240232237E-2</v>
      </c>
      <c r="S319" s="7">
        <f t="shared" si="47"/>
        <v>4917000</v>
      </c>
      <c r="T319" s="7">
        <f t="shared" si="48"/>
        <v>1490000</v>
      </c>
      <c r="U319" s="7">
        <f t="shared" si="49"/>
        <v>6080000</v>
      </c>
      <c r="V319" s="7">
        <f t="shared" si="50"/>
        <v>0</v>
      </c>
      <c r="W319" s="7">
        <f t="shared" si="51"/>
        <v>0</v>
      </c>
      <c r="X319" s="7">
        <f t="shared" si="52"/>
        <v>0</v>
      </c>
    </row>
    <row r="320" spans="1:24">
      <c r="A320">
        <v>319</v>
      </c>
      <c r="B320" s="96" t="s">
        <v>3284</v>
      </c>
      <c r="C320" s="95">
        <v>40703</v>
      </c>
      <c r="D320" s="82">
        <v>4550000</v>
      </c>
      <c r="E320" s="82">
        <v>4550000</v>
      </c>
      <c r="F320" s="82">
        <v>4550000</v>
      </c>
      <c r="G320" s="82">
        <v>4550000</v>
      </c>
      <c r="I320" s="97">
        <v>0</v>
      </c>
      <c r="J320" s="97">
        <v>0</v>
      </c>
      <c r="K320" s="97">
        <v>0</v>
      </c>
      <c r="M320" s="7">
        <f t="shared" si="45"/>
        <v>0</v>
      </c>
      <c r="N320" s="7">
        <f t="shared" si="54"/>
        <v>0</v>
      </c>
      <c r="O320" s="7">
        <f t="shared" si="53"/>
        <v>80000</v>
      </c>
      <c r="P320" s="99">
        <f t="shared" si="46"/>
        <v>1.7897091722595078E-2</v>
      </c>
      <c r="Q320" s="99">
        <f t="shared" si="55"/>
        <v>2.0423881785686781E-2</v>
      </c>
      <c r="S320" s="7">
        <f t="shared" si="47"/>
        <v>5005000</v>
      </c>
      <c r="T320" s="7">
        <f t="shared" si="48"/>
        <v>1516666.6666666667</v>
      </c>
      <c r="U320" s="7">
        <f t="shared" si="49"/>
        <v>6280000</v>
      </c>
      <c r="V320" s="7">
        <f t="shared" si="50"/>
        <v>0</v>
      </c>
      <c r="W320" s="7">
        <f t="shared" si="51"/>
        <v>0</v>
      </c>
      <c r="X320" s="7">
        <f t="shared" si="52"/>
        <v>0</v>
      </c>
    </row>
    <row r="321" spans="1:24">
      <c r="A321">
        <v>320</v>
      </c>
      <c r="B321" s="96" t="s">
        <v>3283</v>
      </c>
      <c r="C321" s="95">
        <v>40705</v>
      </c>
      <c r="D321" s="82">
        <v>4600000</v>
      </c>
      <c r="E321" s="82">
        <v>4600000</v>
      </c>
      <c r="F321" s="82">
        <v>4600000</v>
      </c>
      <c r="G321" s="82">
        <v>4600000</v>
      </c>
      <c r="I321" s="98">
        <v>0</v>
      </c>
      <c r="J321" s="98">
        <v>0</v>
      </c>
      <c r="K321" s="98">
        <v>0</v>
      </c>
      <c r="M321" s="7">
        <f t="shared" si="45"/>
        <v>0</v>
      </c>
      <c r="N321" s="7">
        <f t="shared" si="54"/>
        <v>0</v>
      </c>
      <c r="O321" s="7">
        <f t="shared" si="53"/>
        <v>50000</v>
      </c>
      <c r="P321" s="99">
        <f t="shared" si="46"/>
        <v>1.098901098901099E-2</v>
      </c>
      <c r="Q321" s="99">
        <f t="shared" si="55"/>
        <v>3.3754763462619755E-2</v>
      </c>
      <c r="S321" s="7">
        <f t="shared" si="47"/>
        <v>5060000</v>
      </c>
      <c r="T321" s="7">
        <f t="shared" si="48"/>
        <v>1533333.3333333333</v>
      </c>
      <c r="U321" s="7">
        <f t="shared" si="49"/>
        <v>6400000</v>
      </c>
      <c r="V321" s="7">
        <f t="shared" si="50"/>
        <v>0</v>
      </c>
      <c r="W321" s="7">
        <f t="shared" si="51"/>
        <v>0</v>
      </c>
      <c r="X321" s="7">
        <f t="shared" si="52"/>
        <v>0</v>
      </c>
    </row>
    <row r="322" spans="1:24">
      <c r="A322">
        <v>321</v>
      </c>
      <c r="B322" s="96" t="s">
        <v>3282</v>
      </c>
      <c r="C322" s="95">
        <v>40706</v>
      </c>
      <c r="D322" s="82">
        <v>4620000</v>
      </c>
      <c r="E322" s="82">
        <v>4620000</v>
      </c>
      <c r="F322" s="82">
        <v>4620000</v>
      </c>
      <c r="G322" s="82">
        <v>4620000</v>
      </c>
      <c r="I322" s="82">
        <f>G322*1.1</f>
        <v>5082000</v>
      </c>
      <c r="J322" s="82">
        <f>G322/3</f>
        <v>1540000</v>
      </c>
      <c r="K322" s="7">
        <f>G590</f>
        <v>6280000</v>
      </c>
      <c r="L322" s="7">
        <f>K322-I322</f>
        <v>1198000</v>
      </c>
      <c r="M322" s="7">
        <f t="shared" ref="M322:M385" si="56">J322*$AI$6/200</f>
        <v>192500</v>
      </c>
      <c r="N322" s="7">
        <f t="shared" si="54"/>
        <v>1390500</v>
      </c>
      <c r="O322" s="7">
        <f t="shared" si="53"/>
        <v>20000</v>
      </c>
      <c r="P322" s="99">
        <f t="shared" si="46"/>
        <v>4.3478260869565218E-3</v>
      </c>
      <c r="Q322" s="99">
        <f t="shared" si="55"/>
        <v>4.4743774451630747E-2</v>
      </c>
      <c r="R322">
        <v>1</v>
      </c>
      <c r="S322" s="7">
        <f t="shared" si="47"/>
        <v>5082000</v>
      </c>
      <c r="T322" s="7">
        <f t="shared" si="48"/>
        <v>1540000</v>
      </c>
      <c r="U322" s="7">
        <f t="shared" si="49"/>
        <v>6280000</v>
      </c>
      <c r="V322" s="7">
        <f t="shared" si="50"/>
        <v>1198000</v>
      </c>
      <c r="W322" s="7">
        <f t="shared" si="51"/>
        <v>192500</v>
      </c>
      <c r="X322" s="7">
        <f t="shared" si="52"/>
        <v>1390500</v>
      </c>
    </row>
    <row r="323" spans="1:24">
      <c r="A323">
        <v>322</v>
      </c>
      <c r="B323" s="96" t="s">
        <v>3281</v>
      </c>
      <c r="C323" s="95">
        <v>40707</v>
      </c>
      <c r="D323" s="82">
        <v>4560000</v>
      </c>
      <c r="E323" s="82">
        <v>4560000</v>
      </c>
      <c r="F323" s="82">
        <v>4560000</v>
      </c>
      <c r="G323" s="82">
        <v>4560000</v>
      </c>
      <c r="I323" s="97">
        <v>0</v>
      </c>
      <c r="J323" s="97">
        <v>0</v>
      </c>
      <c r="K323" s="97">
        <v>0</v>
      </c>
      <c r="M323" s="7">
        <f t="shared" si="56"/>
        <v>0</v>
      </c>
      <c r="N323" s="7">
        <f t="shared" si="54"/>
        <v>0</v>
      </c>
      <c r="O323" s="7">
        <f t="shared" si="53"/>
        <v>-60000</v>
      </c>
      <c r="P323" s="99">
        <f t="shared" ref="P323:P386" si="57">O323/G322</f>
        <v>-1.2987012987012988E-2</v>
      </c>
      <c r="Q323" s="99">
        <f t="shared" si="55"/>
        <v>4.4546145993132731E-2</v>
      </c>
      <c r="S323" s="7">
        <f t="shared" ref="S323:S386" si="58">G323*1.1</f>
        <v>5016000</v>
      </c>
      <c r="T323" s="7">
        <f t="shared" ref="T323:T386" si="59">G323/3</f>
        <v>1520000</v>
      </c>
      <c r="U323" s="7">
        <f t="shared" ref="U323:U386" si="60">G591</f>
        <v>6420000</v>
      </c>
      <c r="V323" s="7">
        <f t="shared" ref="V323:V386" si="61">(U323-S323)*R323</f>
        <v>0</v>
      </c>
      <c r="W323" s="7">
        <f t="shared" ref="W323:W386" si="62">(T323*$AI$6/200)*R323</f>
        <v>0</v>
      </c>
      <c r="X323" s="7">
        <f t="shared" ref="X323:X386" si="63">V323+W323</f>
        <v>0</v>
      </c>
    </row>
    <row r="324" spans="1:24">
      <c r="A324">
        <v>323</v>
      </c>
      <c r="B324" s="96" t="s">
        <v>3280</v>
      </c>
      <c r="C324" s="95">
        <v>40708</v>
      </c>
      <c r="D324" s="82">
        <v>4600000</v>
      </c>
      <c r="E324" s="82">
        <v>4600000</v>
      </c>
      <c r="F324" s="82">
        <v>4600000</v>
      </c>
      <c r="G324" s="82">
        <v>4600000</v>
      </c>
      <c r="I324" s="97">
        <v>0</v>
      </c>
      <c r="J324" s="97">
        <v>0</v>
      </c>
      <c r="K324" s="97">
        <v>0</v>
      </c>
      <c r="M324" s="7">
        <f t="shared" si="56"/>
        <v>0</v>
      </c>
      <c r="N324" s="7">
        <f t="shared" si="54"/>
        <v>0</v>
      </c>
      <c r="O324" s="7">
        <f t="shared" ref="O324:O387" si="64">G324-G323</f>
        <v>40000</v>
      </c>
      <c r="P324" s="99">
        <f t="shared" si="57"/>
        <v>8.771929824561403E-3</v>
      </c>
      <c r="Q324" s="99">
        <f t="shared" si="55"/>
        <v>2.0246915811549606E-2</v>
      </c>
      <c r="S324" s="7">
        <f t="shared" si="58"/>
        <v>5060000</v>
      </c>
      <c r="T324" s="7">
        <f t="shared" si="59"/>
        <v>1533333.3333333333</v>
      </c>
      <c r="U324" s="7">
        <f t="shared" si="60"/>
        <v>6480000</v>
      </c>
      <c r="V324" s="7">
        <f t="shared" si="61"/>
        <v>0</v>
      </c>
      <c r="W324" s="7">
        <f t="shared" si="62"/>
        <v>0</v>
      </c>
      <c r="X324" s="7">
        <f t="shared" si="63"/>
        <v>0</v>
      </c>
    </row>
    <row r="325" spans="1:24">
      <c r="A325">
        <v>324</v>
      </c>
      <c r="B325" s="96" t="s">
        <v>3279</v>
      </c>
      <c r="C325" s="95">
        <v>40709</v>
      </c>
      <c r="D325" s="82">
        <v>4570000</v>
      </c>
      <c r="E325" s="82">
        <v>4570000</v>
      </c>
      <c r="F325" s="82">
        <v>4570000</v>
      </c>
      <c r="G325" s="82">
        <v>4570000</v>
      </c>
      <c r="I325" s="97">
        <v>0</v>
      </c>
      <c r="J325" s="97">
        <v>0</v>
      </c>
      <c r="K325" s="97">
        <v>0</v>
      </c>
      <c r="M325" s="7">
        <f t="shared" si="56"/>
        <v>0</v>
      </c>
      <c r="N325" s="7">
        <f t="shared" si="54"/>
        <v>0</v>
      </c>
      <c r="O325" s="7">
        <f t="shared" si="64"/>
        <v>-30000</v>
      </c>
      <c r="P325" s="99">
        <f t="shared" si="57"/>
        <v>-6.5217391304347823E-3</v>
      </c>
      <c r="Q325" s="99">
        <f t="shared" si="55"/>
        <v>2.9018845636111009E-2</v>
      </c>
      <c r="S325" s="7">
        <f t="shared" si="58"/>
        <v>5027000</v>
      </c>
      <c r="T325" s="7">
        <f t="shared" si="59"/>
        <v>1523333.3333333333</v>
      </c>
      <c r="U325" s="7">
        <f t="shared" si="60"/>
        <v>6350000</v>
      </c>
      <c r="V325" s="7">
        <f t="shared" si="61"/>
        <v>0</v>
      </c>
      <c r="W325" s="7">
        <f t="shared" si="62"/>
        <v>0</v>
      </c>
      <c r="X325" s="7">
        <f t="shared" si="63"/>
        <v>0</v>
      </c>
    </row>
    <row r="326" spans="1:24">
      <c r="A326">
        <v>325</v>
      </c>
      <c r="B326" s="96" t="s">
        <v>3278</v>
      </c>
      <c r="C326" s="95">
        <v>40712</v>
      </c>
      <c r="D326" s="82">
        <v>4550000</v>
      </c>
      <c r="E326" s="82">
        <v>4550000</v>
      </c>
      <c r="F326" s="82">
        <v>4550000</v>
      </c>
      <c r="G326" s="82">
        <v>4550000</v>
      </c>
      <c r="I326" s="98">
        <v>0</v>
      </c>
      <c r="J326" s="98">
        <v>0</v>
      </c>
      <c r="K326" s="98">
        <v>0</v>
      </c>
      <c r="M326" s="7">
        <f t="shared" si="56"/>
        <v>0</v>
      </c>
      <c r="N326" s="7">
        <f t="shared" si="54"/>
        <v>0</v>
      </c>
      <c r="O326" s="7">
        <f t="shared" si="64"/>
        <v>-20000</v>
      </c>
      <c r="P326" s="99">
        <f t="shared" si="57"/>
        <v>-4.3763676148796497E-3</v>
      </c>
      <c r="Q326" s="99">
        <f t="shared" si="55"/>
        <v>4.6000147830811454E-3</v>
      </c>
      <c r="S326" s="7">
        <f t="shared" si="58"/>
        <v>5005000</v>
      </c>
      <c r="T326" s="7">
        <f t="shared" si="59"/>
        <v>1516666.6666666667</v>
      </c>
      <c r="U326" s="7">
        <f t="shared" si="60"/>
        <v>6500000</v>
      </c>
      <c r="V326" s="7">
        <f t="shared" si="61"/>
        <v>0</v>
      </c>
      <c r="W326" s="7">
        <f t="shared" si="62"/>
        <v>0</v>
      </c>
      <c r="X326" s="7">
        <f t="shared" si="63"/>
        <v>0</v>
      </c>
    </row>
    <row r="327" spans="1:24">
      <c r="A327">
        <v>326</v>
      </c>
      <c r="B327" s="96" t="s">
        <v>3277</v>
      </c>
      <c r="C327" s="95">
        <v>40713</v>
      </c>
      <c r="D327" s="82">
        <v>4520000</v>
      </c>
      <c r="E327" s="82">
        <v>4520000</v>
      </c>
      <c r="F327" s="82">
        <v>4520000</v>
      </c>
      <c r="G327" s="82">
        <v>4520000</v>
      </c>
      <c r="I327" s="82">
        <f>G327*1.1</f>
        <v>4972000</v>
      </c>
      <c r="J327" s="82">
        <f>G327/3</f>
        <v>1506666.6666666667</v>
      </c>
      <c r="K327" s="7">
        <f>G595</f>
        <v>6330000</v>
      </c>
      <c r="L327" s="7">
        <f>K327-I327</f>
        <v>1358000</v>
      </c>
      <c r="M327" s="7">
        <f t="shared" si="56"/>
        <v>188333.33333333337</v>
      </c>
      <c r="N327" s="7">
        <f t="shared" si="54"/>
        <v>1546333.3333333335</v>
      </c>
      <c r="O327" s="7">
        <f t="shared" si="64"/>
        <v>-30000</v>
      </c>
      <c r="P327" s="99">
        <f t="shared" si="57"/>
        <v>-6.5934065934065934E-3</v>
      </c>
      <c r="Q327" s="99">
        <f t="shared" si="55"/>
        <v>-1.0765363820809497E-2</v>
      </c>
      <c r="R327">
        <v>1</v>
      </c>
      <c r="S327" s="7">
        <f t="shared" si="58"/>
        <v>4972000</v>
      </c>
      <c r="T327" s="7">
        <f t="shared" si="59"/>
        <v>1506666.6666666667</v>
      </c>
      <c r="U327" s="7">
        <f t="shared" si="60"/>
        <v>6330000</v>
      </c>
      <c r="V327" s="7">
        <f t="shared" si="61"/>
        <v>1358000</v>
      </c>
      <c r="W327" s="7">
        <f t="shared" si="62"/>
        <v>188333.33333333337</v>
      </c>
      <c r="X327" s="7">
        <f t="shared" si="63"/>
        <v>1546333.3333333335</v>
      </c>
    </row>
    <row r="328" spans="1:24">
      <c r="A328">
        <v>327</v>
      </c>
      <c r="B328" s="96" t="s">
        <v>3276</v>
      </c>
      <c r="C328" s="95">
        <v>40714</v>
      </c>
      <c r="D328" s="82">
        <v>4480000</v>
      </c>
      <c r="E328" s="82">
        <v>4480000</v>
      </c>
      <c r="F328" s="82">
        <v>4480000</v>
      </c>
      <c r="G328" s="82">
        <v>4480000</v>
      </c>
      <c r="I328" s="97">
        <v>0</v>
      </c>
      <c r="J328" s="97">
        <v>0</v>
      </c>
      <c r="K328" s="97">
        <v>0</v>
      </c>
      <c r="M328" s="7">
        <f t="shared" si="56"/>
        <v>0</v>
      </c>
      <c r="N328" s="7">
        <f t="shared" ref="N328:N391" si="65">L328+M328</f>
        <v>0</v>
      </c>
      <c r="O328" s="7">
        <f t="shared" si="64"/>
        <v>-40000</v>
      </c>
      <c r="P328" s="99">
        <f t="shared" si="57"/>
        <v>-8.8495575221238937E-3</v>
      </c>
      <c r="Q328" s="99">
        <f t="shared" ref="Q328:Q391" si="66">SUM(P323:P327)</f>
        <v>-2.1706596501172612E-2</v>
      </c>
      <c r="S328" s="7">
        <f t="shared" si="58"/>
        <v>4928000</v>
      </c>
      <c r="T328" s="7">
        <f t="shared" si="59"/>
        <v>1493333.3333333333</v>
      </c>
      <c r="U328" s="7">
        <f t="shared" si="60"/>
        <v>6500000</v>
      </c>
      <c r="V328" s="7">
        <f t="shared" si="61"/>
        <v>0</v>
      </c>
      <c r="W328" s="7">
        <f t="shared" si="62"/>
        <v>0</v>
      </c>
      <c r="X328" s="7">
        <f t="shared" si="63"/>
        <v>0</v>
      </c>
    </row>
    <row r="329" spans="1:24">
      <c r="A329">
        <v>328</v>
      </c>
      <c r="B329" s="96" t="s">
        <v>3275</v>
      </c>
      <c r="C329" s="95">
        <v>40715</v>
      </c>
      <c r="D329" s="82">
        <v>4470000</v>
      </c>
      <c r="E329" s="82">
        <v>4470000</v>
      </c>
      <c r="F329" s="82">
        <v>4470000</v>
      </c>
      <c r="G329" s="82">
        <v>4470000</v>
      </c>
      <c r="I329" s="97">
        <v>0</v>
      </c>
      <c r="J329" s="97">
        <v>0</v>
      </c>
      <c r="K329" s="97">
        <v>0</v>
      </c>
      <c r="M329" s="7">
        <f t="shared" si="56"/>
        <v>0</v>
      </c>
      <c r="N329" s="7">
        <f t="shared" si="65"/>
        <v>0</v>
      </c>
      <c r="O329" s="7">
        <f t="shared" si="64"/>
        <v>-10000</v>
      </c>
      <c r="P329" s="99">
        <f t="shared" si="57"/>
        <v>-2.232142857142857E-3</v>
      </c>
      <c r="Q329" s="99">
        <f t="shared" si="66"/>
        <v>-1.7569141036283514E-2</v>
      </c>
      <c r="S329" s="7">
        <f t="shared" si="58"/>
        <v>4917000</v>
      </c>
      <c r="T329" s="7">
        <f t="shared" si="59"/>
        <v>1490000</v>
      </c>
      <c r="U329" s="7">
        <f t="shared" si="60"/>
        <v>6650000</v>
      </c>
      <c r="V329" s="7">
        <f t="shared" si="61"/>
        <v>0</v>
      </c>
      <c r="W329" s="7">
        <f t="shared" si="62"/>
        <v>0</v>
      </c>
      <c r="X329" s="7">
        <f t="shared" si="63"/>
        <v>0</v>
      </c>
    </row>
    <row r="330" spans="1:24">
      <c r="A330">
        <v>329</v>
      </c>
      <c r="B330" s="96" t="s">
        <v>3274</v>
      </c>
      <c r="C330" s="95">
        <v>40716</v>
      </c>
      <c r="D330" s="82">
        <v>4420000</v>
      </c>
      <c r="E330" s="82">
        <v>4420000</v>
      </c>
      <c r="F330" s="82">
        <v>4420000</v>
      </c>
      <c r="G330" s="82">
        <v>4420000</v>
      </c>
      <c r="I330" s="97">
        <v>0</v>
      </c>
      <c r="J330" s="97">
        <v>0</v>
      </c>
      <c r="K330" s="97">
        <v>0</v>
      </c>
      <c r="M330" s="7">
        <f t="shared" si="56"/>
        <v>0</v>
      </c>
      <c r="N330" s="7">
        <f t="shared" si="65"/>
        <v>0</v>
      </c>
      <c r="O330" s="7">
        <f t="shared" si="64"/>
        <v>-50000</v>
      </c>
      <c r="P330" s="99">
        <f t="shared" si="57"/>
        <v>-1.1185682326621925E-2</v>
      </c>
      <c r="Q330" s="99">
        <f t="shared" si="66"/>
        <v>-2.8573213717987777E-2</v>
      </c>
      <c r="S330" s="7">
        <f t="shared" si="58"/>
        <v>4862000</v>
      </c>
      <c r="T330" s="7">
        <f t="shared" si="59"/>
        <v>1473333.3333333333</v>
      </c>
      <c r="U330" s="7">
        <f t="shared" si="60"/>
        <v>6660000</v>
      </c>
      <c r="V330" s="7">
        <f t="shared" si="61"/>
        <v>0</v>
      </c>
      <c r="W330" s="7">
        <f t="shared" si="62"/>
        <v>0</v>
      </c>
      <c r="X330" s="7">
        <f t="shared" si="63"/>
        <v>0</v>
      </c>
    </row>
    <row r="331" spans="1:24">
      <c r="A331">
        <v>330</v>
      </c>
      <c r="B331" s="96" t="s">
        <v>3273</v>
      </c>
      <c r="C331" s="95">
        <v>40717</v>
      </c>
      <c r="D331" s="82">
        <v>4440000</v>
      </c>
      <c r="E331" s="82">
        <v>4440000</v>
      </c>
      <c r="F331" s="82">
        <v>4440000</v>
      </c>
      <c r="G331" s="82">
        <v>4440000</v>
      </c>
      <c r="I331" s="98">
        <v>0</v>
      </c>
      <c r="J331" s="98">
        <v>0</v>
      </c>
      <c r="K331" s="98">
        <v>0</v>
      </c>
      <c r="M331" s="7">
        <f t="shared" si="56"/>
        <v>0</v>
      </c>
      <c r="N331" s="7">
        <f t="shared" si="65"/>
        <v>0</v>
      </c>
      <c r="O331" s="7">
        <f t="shared" si="64"/>
        <v>20000</v>
      </c>
      <c r="P331" s="99">
        <f t="shared" si="57"/>
        <v>4.5248868778280547E-3</v>
      </c>
      <c r="Q331" s="99">
        <f t="shared" si="66"/>
        <v>-3.323715691417492E-2</v>
      </c>
      <c r="S331" s="7">
        <f t="shared" si="58"/>
        <v>4884000</v>
      </c>
      <c r="T331" s="7">
        <f t="shared" si="59"/>
        <v>1480000</v>
      </c>
      <c r="U331" s="7">
        <f t="shared" si="60"/>
        <v>6500000</v>
      </c>
      <c r="V331" s="7">
        <f t="shared" si="61"/>
        <v>0</v>
      </c>
      <c r="W331" s="7">
        <f t="shared" si="62"/>
        <v>0</v>
      </c>
      <c r="X331" s="7">
        <f t="shared" si="63"/>
        <v>0</v>
      </c>
    </row>
    <row r="332" spans="1:24">
      <c r="A332">
        <v>331</v>
      </c>
      <c r="B332" s="96" t="s">
        <v>3272</v>
      </c>
      <c r="C332" s="95">
        <v>40720</v>
      </c>
      <c r="D332" s="82">
        <v>4350000</v>
      </c>
      <c r="E332" s="82">
        <v>4350000</v>
      </c>
      <c r="F332" s="82">
        <v>4350000</v>
      </c>
      <c r="G332" s="82">
        <v>4350000</v>
      </c>
      <c r="I332" s="82">
        <f>G332*1.1</f>
        <v>4785000</v>
      </c>
      <c r="J332" s="82">
        <f>G332/3</f>
        <v>1450000</v>
      </c>
      <c r="K332" s="7">
        <f>G600</f>
        <v>6580000</v>
      </c>
      <c r="L332" s="7">
        <f>K332-I332</f>
        <v>1795000</v>
      </c>
      <c r="M332" s="7">
        <f t="shared" si="56"/>
        <v>181250</v>
      </c>
      <c r="N332" s="7">
        <f t="shared" si="65"/>
        <v>1976250</v>
      </c>
      <c r="O332" s="7">
        <f t="shared" si="64"/>
        <v>-90000</v>
      </c>
      <c r="P332" s="99">
        <f t="shared" si="57"/>
        <v>-2.0270270270270271E-2</v>
      </c>
      <c r="Q332" s="99">
        <f t="shared" si="66"/>
        <v>-2.4335902421467211E-2</v>
      </c>
      <c r="R332">
        <v>1</v>
      </c>
      <c r="S332" s="7">
        <f t="shared" si="58"/>
        <v>4785000</v>
      </c>
      <c r="T332" s="7">
        <f t="shared" si="59"/>
        <v>1450000</v>
      </c>
      <c r="U332" s="7">
        <f t="shared" si="60"/>
        <v>6580000</v>
      </c>
      <c r="V332" s="7">
        <f t="shared" si="61"/>
        <v>1795000</v>
      </c>
      <c r="W332" s="7">
        <f t="shared" si="62"/>
        <v>181250</v>
      </c>
      <c r="X332" s="7">
        <f t="shared" si="63"/>
        <v>1976250</v>
      </c>
    </row>
    <row r="333" spans="1:24">
      <c r="A333">
        <v>332</v>
      </c>
      <c r="B333" s="96" t="s">
        <v>3271</v>
      </c>
      <c r="C333" s="95">
        <v>40721</v>
      </c>
      <c r="D333" s="82">
        <v>4280000</v>
      </c>
      <c r="E333" s="82">
        <v>4280000</v>
      </c>
      <c r="F333" s="82">
        <v>4280000</v>
      </c>
      <c r="G333" s="82">
        <v>4280000</v>
      </c>
      <c r="I333" s="97">
        <v>0</v>
      </c>
      <c r="J333" s="97">
        <v>0</v>
      </c>
      <c r="K333" s="97">
        <v>0</v>
      </c>
      <c r="M333" s="7">
        <f t="shared" si="56"/>
        <v>0</v>
      </c>
      <c r="N333" s="7">
        <f t="shared" si="65"/>
        <v>0</v>
      </c>
      <c r="O333" s="7">
        <f t="shared" si="64"/>
        <v>-70000</v>
      </c>
      <c r="P333" s="99">
        <f t="shared" si="57"/>
        <v>-1.6091954022988506E-2</v>
      </c>
      <c r="Q333" s="99">
        <f t="shared" si="66"/>
        <v>-3.8012766098330888E-2</v>
      </c>
      <c r="S333" s="7">
        <f t="shared" si="58"/>
        <v>4708000</v>
      </c>
      <c r="T333" s="7">
        <f t="shared" si="59"/>
        <v>1426666.6666666667</v>
      </c>
      <c r="U333" s="7">
        <f t="shared" si="60"/>
        <v>6640000</v>
      </c>
      <c r="V333" s="7">
        <f t="shared" si="61"/>
        <v>0</v>
      </c>
      <c r="W333" s="7">
        <f t="shared" si="62"/>
        <v>0</v>
      </c>
      <c r="X333" s="7">
        <f t="shared" si="63"/>
        <v>0</v>
      </c>
    </row>
    <row r="334" spans="1:24">
      <c r="A334">
        <v>333</v>
      </c>
      <c r="B334" s="96" t="s">
        <v>3270</v>
      </c>
      <c r="C334" s="95">
        <v>40722</v>
      </c>
      <c r="D334" s="82">
        <v>4280000</v>
      </c>
      <c r="E334" s="82">
        <v>4280000</v>
      </c>
      <c r="F334" s="82">
        <v>4280000</v>
      </c>
      <c r="G334" s="82">
        <v>4280000</v>
      </c>
      <c r="I334" s="97">
        <v>0</v>
      </c>
      <c r="J334" s="97">
        <v>0</v>
      </c>
      <c r="K334" s="97">
        <v>0</v>
      </c>
      <c r="M334" s="7">
        <f t="shared" si="56"/>
        <v>0</v>
      </c>
      <c r="N334" s="7">
        <f t="shared" si="65"/>
        <v>0</v>
      </c>
      <c r="O334" s="7">
        <f t="shared" si="64"/>
        <v>0</v>
      </c>
      <c r="P334" s="99">
        <f t="shared" si="57"/>
        <v>0</v>
      </c>
      <c r="Q334" s="99">
        <f t="shared" si="66"/>
        <v>-4.52551625991955E-2</v>
      </c>
      <c r="S334" s="7">
        <f t="shared" si="58"/>
        <v>4708000</v>
      </c>
      <c r="T334" s="7">
        <f t="shared" si="59"/>
        <v>1426666.6666666667</v>
      </c>
      <c r="U334" s="7">
        <f t="shared" si="60"/>
        <v>6580000</v>
      </c>
      <c r="V334" s="7">
        <f t="shared" si="61"/>
        <v>0</v>
      </c>
      <c r="W334" s="7">
        <f t="shared" si="62"/>
        <v>0</v>
      </c>
      <c r="X334" s="7">
        <f t="shared" si="63"/>
        <v>0</v>
      </c>
    </row>
    <row r="335" spans="1:24">
      <c r="A335">
        <v>334</v>
      </c>
      <c r="B335" s="96" t="s">
        <v>3269</v>
      </c>
      <c r="C335" s="95">
        <v>40723</v>
      </c>
      <c r="D335" s="82">
        <v>4280000</v>
      </c>
      <c r="E335" s="82">
        <v>4280000</v>
      </c>
      <c r="F335" s="82">
        <v>4280000</v>
      </c>
      <c r="G335" s="82">
        <v>4280000</v>
      </c>
      <c r="I335" s="97">
        <v>0</v>
      </c>
      <c r="J335" s="97">
        <v>0</v>
      </c>
      <c r="K335" s="97">
        <v>0</v>
      </c>
      <c r="M335" s="7">
        <f t="shared" si="56"/>
        <v>0</v>
      </c>
      <c r="N335" s="7">
        <f t="shared" si="65"/>
        <v>0</v>
      </c>
      <c r="O335" s="7">
        <f t="shared" si="64"/>
        <v>0</v>
      </c>
      <c r="P335" s="99">
        <f t="shared" si="57"/>
        <v>0</v>
      </c>
      <c r="Q335" s="99">
        <f t="shared" si="66"/>
        <v>-4.3023019742052651E-2</v>
      </c>
      <c r="S335" s="7">
        <f t="shared" si="58"/>
        <v>4708000</v>
      </c>
      <c r="T335" s="7">
        <f t="shared" si="59"/>
        <v>1426666.6666666667</v>
      </c>
      <c r="U335" s="7">
        <f t="shared" si="60"/>
        <v>6600000</v>
      </c>
      <c r="V335" s="7">
        <f t="shared" si="61"/>
        <v>0</v>
      </c>
      <c r="W335" s="7">
        <f t="shared" si="62"/>
        <v>0</v>
      </c>
      <c r="X335" s="7">
        <f t="shared" si="63"/>
        <v>0</v>
      </c>
    </row>
    <row r="336" spans="1:24">
      <c r="A336">
        <v>335</v>
      </c>
      <c r="B336" s="96" t="s">
        <v>3268</v>
      </c>
      <c r="C336" s="95">
        <v>40726</v>
      </c>
      <c r="D336" s="82">
        <v>4340000</v>
      </c>
      <c r="E336" s="82">
        <v>4340000</v>
      </c>
      <c r="F336" s="82">
        <v>4340000</v>
      </c>
      <c r="G336" s="82">
        <v>4340000</v>
      </c>
      <c r="I336" s="98">
        <v>0</v>
      </c>
      <c r="J336" s="98">
        <v>0</v>
      </c>
      <c r="K336" s="98">
        <v>0</v>
      </c>
      <c r="M336" s="7">
        <f t="shared" si="56"/>
        <v>0</v>
      </c>
      <c r="N336" s="7">
        <f t="shared" si="65"/>
        <v>0</v>
      </c>
      <c r="O336" s="7">
        <f t="shared" si="64"/>
        <v>60000</v>
      </c>
      <c r="P336" s="99">
        <f t="shared" si="57"/>
        <v>1.4018691588785047E-2</v>
      </c>
      <c r="Q336" s="99">
        <f t="shared" si="66"/>
        <v>-3.1837337415430725E-2</v>
      </c>
      <c r="S336" s="7">
        <f t="shared" si="58"/>
        <v>4774000</v>
      </c>
      <c r="T336" s="7">
        <f t="shared" si="59"/>
        <v>1446666.6666666667</v>
      </c>
      <c r="U336" s="7">
        <f t="shared" si="60"/>
        <v>6820000</v>
      </c>
      <c r="V336" s="7">
        <f t="shared" si="61"/>
        <v>0</v>
      </c>
      <c r="W336" s="7">
        <f t="shared" si="62"/>
        <v>0</v>
      </c>
      <c r="X336" s="7">
        <f t="shared" si="63"/>
        <v>0</v>
      </c>
    </row>
    <row r="337" spans="1:24">
      <c r="A337">
        <v>336</v>
      </c>
      <c r="B337" s="96" t="s">
        <v>3267</v>
      </c>
      <c r="C337" s="95">
        <v>40727</v>
      </c>
      <c r="D337" s="82">
        <v>4310000</v>
      </c>
      <c r="E337" s="82">
        <v>4310000</v>
      </c>
      <c r="F337" s="82">
        <v>4310000</v>
      </c>
      <c r="G337" s="82">
        <v>4310000</v>
      </c>
      <c r="I337" s="82">
        <f>G337*1.1</f>
        <v>4741000</v>
      </c>
      <c r="J337" s="82">
        <f>G337/3</f>
        <v>1436666.6666666667</v>
      </c>
      <c r="K337" s="7">
        <f>G605</f>
        <v>6690000</v>
      </c>
      <c r="L337" s="7">
        <f>K337-I337</f>
        <v>1949000</v>
      </c>
      <c r="M337" s="7">
        <f t="shared" si="56"/>
        <v>179583.33333333337</v>
      </c>
      <c r="N337" s="7">
        <f t="shared" si="65"/>
        <v>2128583.3333333335</v>
      </c>
      <c r="O337" s="7">
        <f t="shared" si="64"/>
        <v>-30000</v>
      </c>
      <c r="P337" s="99">
        <f t="shared" si="57"/>
        <v>-6.9124423963133645E-3</v>
      </c>
      <c r="Q337" s="99">
        <f t="shared" si="66"/>
        <v>-2.2343532704473729E-2</v>
      </c>
      <c r="R337">
        <v>1</v>
      </c>
      <c r="S337" s="7">
        <f t="shared" si="58"/>
        <v>4741000</v>
      </c>
      <c r="T337" s="7">
        <f t="shared" si="59"/>
        <v>1436666.6666666667</v>
      </c>
      <c r="U337" s="7">
        <f t="shared" si="60"/>
        <v>6690000</v>
      </c>
      <c r="V337" s="7">
        <f t="shared" si="61"/>
        <v>1949000</v>
      </c>
      <c r="W337" s="7">
        <f t="shared" si="62"/>
        <v>179583.33333333337</v>
      </c>
      <c r="X337" s="7">
        <f t="shared" si="63"/>
        <v>2128583.3333333335</v>
      </c>
    </row>
    <row r="338" spans="1:24">
      <c r="A338">
        <v>337</v>
      </c>
      <c r="B338" s="96" t="s">
        <v>3266</v>
      </c>
      <c r="C338" s="95">
        <v>40728</v>
      </c>
      <c r="D338" s="82">
        <v>4310000</v>
      </c>
      <c r="E338" s="82">
        <v>4310000</v>
      </c>
      <c r="F338" s="82">
        <v>4310000</v>
      </c>
      <c r="G338" s="82">
        <v>4310000</v>
      </c>
      <c r="I338" s="97">
        <v>0</v>
      </c>
      <c r="J338" s="97">
        <v>0</v>
      </c>
      <c r="K338" s="97">
        <v>0</v>
      </c>
      <c r="M338" s="7">
        <f t="shared" si="56"/>
        <v>0</v>
      </c>
      <c r="N338" s="7">
        <f t="shared" si="65"/>
        <v>0</v>
      </c>
      <c r="O338" s="7">
        <f t="shared" si="64"/>
        <v>0</v>
      </c>
      <c r="P338" s="99">
        <f t="shared" si="57"/>
        <v>0</v>
      </c>
      <c r="Q338" s="99">
        <f t="shared" si="66"/>
        <v>-8.9857048305168226E-3</v>
      </c>
      <c r="S338" s="7">
        <f t="shared" si="58"/>
        <v>4741000</v>
      </c>
      <c r="T338" s="7">
        <f t="shared" si="59"/>
        <v>1436666.6666666667</v>
      </c>
      <c r="U338" s="7">
        <f t="shared" si="60"/>
        <v>6730000</v>
      </c>
      <c r="V338" s="7">
        <f t="shared" si="61"/>
        <v>0</v>
      </c>
      <c r="W338" s="7">
        <f t="shared" si="62"/>
        <v>0</v>
      </c>
      <c r="X338" s="7">
        <f t="shared" si="63"/>
        <v>0</v>
      </c>
    </row>
    <row r="339" spans="1:24">
      <c r="A339">
        <v>338</v>
      </c>
      <c r="B339" s="96" t="s">
        <v>3265</v>
      </c>
      <c r="C339" s="95">
        <v>40729</v>
      </c>
      <c r="D339" s="82">
        <v>4320000</v>
      </c>
      <c r="E339" s="82">
        <v>4320000</v>
      </c>
      <c r="F339" s="82">
        <v>4320000</v>
      </c>
      <c r="G339" s="82">
        <v>4320000</v>
      </c>
      <c r="I339" s="97">
        <v>0</v>
      </c>
      <c r="J339" s="97">
        <v>0</v>
      </c>
      <c r="K339" s="97">
        <v>0</v>
      </c>
      <c r="M339" s="7">
        <f t="shared" si="56"/>
        <v>0</v>
      </c>
      <c r="N339" s="7">
        <f t="shared" si="65"/>
        <v>0</v>
      </c>
      <c r="O339" s="7">
        <f t="shared" si="64"/>
        <v>10000</v>
      </c>
      <c r="P339" s="99">
        <f t="shared" si="57"/>
        <v>2.3201856148491878E-3</v>
      </c>
      <c r="Q339" s="99">
        <f t="shared" si="66"/>
        <v>7.1062491924716821E-3</v>
      </c>
      <c r="S339" s="7">
        <f t="shared" si="58"/>
        <v>4752000</v>
      </c>
      <c r="T339" s="7">
        <f t="shared" si="59"/>
        <v>1440000</v>
      </c>
      <c r="U339" s="7">
        <f t="shared" si="60"/>
        <v>6800000</v>
      </c>
      <c r="V339" s="7">
        <f t="shared" si="61"/>
        <v>0</v>
      </c>
      <c r="W339" s="7">
        <f t="shared" si="62"/>
        <v>0</v>
      </c>
      <c r="X339" s="7">
        <f t="shared" si="63"/>
        <v>0</v>
      </c>
    </row>
    <row r="340" spans="1:24">
      <c r="A340">
        <v>339</v>
      </c>
      <c r="B340" s="96" t="s">
        <v>3264</v>
      </c>
      <c r="C340" s="95">
        <v>40730</v>
      </c>
      <c r="D340" s="82">
        <v>4320000</v>
      </c>
      <c r="E340" s="82">
        <v>4320000</v>
      </c>
      <c r="F340" s="82">
        <v>4320000</v>
      </c>
      <c r="G340" s="82">
        <v>4320000</v>
      </c>
      <c r="I340" s="97">
        <v>0</v>
      </c>
      <c r="J340" s="97">
        <v>0</v>
      </c>
      <c r="K340" s="97">
        <v>0</v>
      </c>
      <c r="M340" s="7">
        <f t="shared" si="56"/>
        <v>0</v>
      </c>
      <c r="N340" s="7">
        <f t="shared" si="65"/>
        <v>0</v>
      </c>
      <c r="O340" s="7">
        <f t="shared" si="64"/>
        <v>0</v>
      </c>
      <c r="P340" s="99">
        <f t="shared" si="57"/>
        <v>0</v>
      </c>
      <c r="Q340" s="99">
        <f t="shared" si="66"/>
        <v>9.4264348073208708E-3</v>
      </c>
      <c r="S340" s="7">
        <f t="shared" si="58"/>
        <v>4752000</v>
      </c>
      <c r="T340" s="7">
        <f t="shared" si="59"/>
        <v>1440000</v>
      </c>
      <c r="U340" s="7">
        <f t="shared" si="60"/>
        <v>6810000</v>
      </c>
      <c r="V340" s="7">
        <f t="shared" si="61"/>
        <v>0</v>
      </c>
      <c r="W340" s="7">
        <f t="shared" si="62"/>
        <v>0</v>
      </c>
      <c r="X340" s="7">
        <f t="shared" si="63"/>
        <v>0</v>
      </c>
    </row>
    <row r="341" spans="1:24">
      <c r="A341">
        <v>340</v>
      </c>
      <c r="B341" s="96" t="s">
        <v>3263</v>
      </c>
      <c r="C341" s="95">
        <v>40731</v>
      </c>
      <c r="D341" s="82">
        <v>4330000</v>
      </c>
      <c r="E341" s="82">
        <v>4330000</v>
      </c>
      <c r="F341" s="82">
        <v>4330000</v>
      </c>
      <c r="G341" s="82">
        <v>4330000</v>
      </c>
      <c r="I341" s="98">
        <v>0</v>
      </c>
      <c r="J341" s="98">
        <v>0</v>
      </c>
      <c r="K341" s="98">
        <v>0</v>
      </c>
      <c r="M341" s="7">
        <f t="shared" si="56"/>
        <v>0</v>
      </c>
      <c r="N341" s="7">
        <f t="shared" si="65"/>
        <v>0</v>
      </c>
      <c r="O341" s="7">
        <f t="shared" si="64"/>
        <v>10000</v>
      </c>
      <c r="P341" s="99">
        <f t="shared" si="57"/>
        <v>2.3148148148148147E-3</v>
      </c>
      <c r="Q341" s="99">
        <f t="shared" si="66"/>
        <v>9.4264348073208708E-3</v>
      </c>
      <c r="S341" s="7">
        <f t="shared" si="58"/>
        <v>4763000</v>
      </c>
      <c r="T341" s="7">
        <f t="shared" si="59"/>
        <v>1443333.3333333333</v>
      </c>
      <c r="U341" s="7">
        <f t="shared" si="60"/>
        <v>6870000</v>
      </c>
      <c r="V341" s="7">
        <f t="shared" si="61"/>
        <v>0</v>
      </c>
      <c r="W341" s="7">
        <f t="shared" si="62"/>
        <v>0</v>
      </c>
      <c r="X341" s="7">
        <f t="shared" si="63"/>
        <v>0</v>
      </c>
    </row>
    <row r="342" spans="1:24">
      <c r="A342">
        <v>341</v>
      </c>
      <c r="B342" s="96" t="s">
        <v>3262</v>
      </c>
      <c r="C342" s="95">
        <v>40733</v>
      </c>
      <c r="D342" s="82">
        <v>4310000</v>
      </c>
      <c r="E342" s="82">
        <v>4310000</v>
      </c>
      <c r="F342" s="82">
        <v>4310000</v>
      </c>
      <c r="G342" s="82">
        <v>4310000</v>
      </c>
      <c r="I342" s="82">
        <f>G342*1.1</f>
        <v>4741000</v>
      </c>
      <c r="J342" s="82">
        <f>G342/3</f>
        <v>1436666.6666666667</v>
      </c>
      <c r="K342" s="7">
        <f>G610</f>
        <v>6850000</v>
      </c>
      <c r="L342" s="7">
        <f>K342-I342</f>
        <v>2109000</v>
      </c>
      <c r="M342" s="7">
        <f t="shared" si="56"/>
        <v>179583.33333333337</v>
      </c>
      <c r="N342" s="7">
        <f t="shared" si="65"/>
        <v>2288583.3333333335</v>
      </c>
      <c r="O342" s="7">
        <f t="shared" si="64"/>
        <v>-20000</v>
      </c>
      <c r="P342" s="99">
        <f t="shared" si="57"/>
        <v>-4.6189376443418013E-3</v>
      </c>
      <c r="Q342" s="99">
        <f t="shared" si="66"/>
        <v>-2.277441966649362E-3</v>
      </c>
      <c r="R342">
        <v>1</v>
      </c>
      <c r="S342" s="7">
        <f t="shared" si="58"/>
        <v>4741000</v>
      </c>
      <c r="T342" s="7">
        <f t="shared" si="59"/>
        <v>1436666.6666666667</v>
      </c>
      <c r="U342" s="7">
        <f t="shared" si="60"/>
        <v>6850000</v>
      </c>
      <c r="V342" s="7">
        <f t="shared" si="61"/>
        <v>2109000</v>
      </c>
      <c r="W342" s="7">
        <f t="shared" si="62"/>
        <v>179583.33333333337</v>
      </c>
      <c r="X342" s="7">
        <f t="shared" si="63"/>
        <v>2288583.3333333335</v>
      </c>
    </row>
    <row r="343" spans="1:24">
      <c r="A343">
        <v>342</v>
      </c>
      <c r="B343" s="96" t="s">
        <v>3261</v>
      </c>
      <c r="C343" s="95">
        <v>40734</v>
      </c>
      <c r="D343" s="82">
        <v>4300000</v>
      </c>
      <c r="E343" s="82">
        <v>4300000</v>
      </c>
      <c r="F343" s="82">
        <v>4300000</v>
      </c>
      <c r="G343" s="82">
        <v>4300000</v>
      </c>
      <c r="I343" s="97">
        <v>0</v>
      </c>
      <c r="J343" s="97">
        <v>0</v>
      </c>
      <c r="K343" s="97">
        <v>0</v>
      </c>
      <c r="M343" s="7">
        <f t="shared" si="56"/>
        <v>0</v>
      </c>
      <c r="N343" s="7">
        <f t="shared" si="65"/>
        <v>0</v>
      </c>
      <c r="O343" s="7">
        <f t="shared" si="64"/>
        <v>-10000</v>
      </c>
      <c r="P343" s="99">
        <f t="shared" si="57"/>
        <v>-2.3201856148491878E-3</v>
      </c>
      <c r="Q343" s="99">
        <f t="shared" si="66"/>
        <v>1.6062785322201213E-5</v>
      </c>
      <c r="S343" s="7">
        <f t="shared" si="58"/>
        <v>4730000</v>
      </c>
      <c r="T343" s="7">
        <f t="shared" si="59"/>
        <v>1433333.3333333333</v>
      </c>
      <c r="U343" s="7">
        <f t="shared" si="60"/>
        <v>6765000</v>
      </c>
      <c r="V343" s="7">
        <f t="shared" si="61"/>
        <v>0</v>
      </c>
      <c r="W343" s="7">
        <f t="shared" si="62"/>
        <v>0</v>
      </c>
      <c r="X343" s="7">
        <f t="shared" si="63"/>
        <v>0</v>
      </c>
    </row>
    <row r="344" spans="1:24">
      <c r="A344">
        <v>343</v>
      </c>
      <c r="B344" s="96" t="s">
        <v>3260</v>
      </c>
      <c r="C344" s="95">
        <v>40735</v>
      </c>
      <c r="D344" s="82">
        <v>4290000</v>
      </c>
      <c r="E344" s="82">
        <v>4290000</v>
      </c>
      <c r="F344" s="82">
        <v>4290000</v>
      </c>
      <c r="G344" s="82">
        <v>4290000</v>
      </c>
      <c r="I344" s="97">
        <v>0</v>
      </c>
      <c r="J344" s="97">
        <v>0</v>
      </c>
      <c r="K344" s="97">
        <v>0</v>
      </c>
      <c r="M344" s="7">
        <f t="shared" si="56"/>
        <v>0</v>
      </c>
      <c r="N344" s="7">
        <f t="shared" si="65"/>
        <v>0</v>
      </c>
      <c r="O344" s="7">
        <f t="shared" si="64"/>
        <v>-10000</v>
      </c>
      <c r="P344" s="99">
        <f t="shared" si="57"/>
        <v>-2.3255813953488372E-3</v>
      </c>
      <c r="Q344" s="99">
        <f t="shared" si="66"/>
        <v>-2.3041228295269866E-3</v>
      </c>
      <c r="S344" s="7">
        <f t="shared" si="58"/>
        <v>4719000</v>
      </c>
      <c r="T344" s="7">
        <f t="shared" si="59"/>
        <v>1430000</v>
      </c>
      <c r="U344" s="7">
        <f t="shared" si="60"/>
        <v>6710000</v>
      </c>
      <c r="V344" s="7">
        <f t="shared" si="61"/>
        <v>0</v>
      </c>
      <c r="W344" s="7">
        <f t="shared" si="62"/>
        <v>0</v>
      </c>
      <c r="X344" s="7">
        <f t="shared" si="63"/>
        <v>0</v>
      </c>
    </row>
    <row r="345" spans="1:24">
      <c r="A345">
        <v>344</v>
      </c>
      <c r="B345" s="96" t="s">
        <v>3259</v>
      </c>
      <c r="C345" s="95">
        <v>40736</v>
      </c>
      <c r="D345" s="82">
        <v>4270000</v>
      </c>
      <c r="E345" s="82">
        <v>4270000</v>
      </c>
      <c r="F345" s="82">
        <v>4270000</v>
      </c>
      <c r="G345" s="82">
        <v>4270000</v>
      </c>
      <c r="I345" s="97">
        <v>0</v>
      </c>
      <c r="J345" s="97">
        <v>0</v>
      </c>
      <c r="K345" s="97">
        <v>0</v>
      </c>
      <c r="M345" s="7">
        <f t="shared" si="56"/>
        <v>0</v>
      </c>
      <c r="N345" s="7">
        <f t="shared" si="65"/>
        <v>0</v>
      </c>
      <c r="O345" s="7">
        <f t="shared" si="64"/>
        <v>-20000</v>
      </c>
      <c r="P345" s="99">
        <f t="shared" si="57"/>
        <v>-4.662004662004662E-3</v>
      </c>
      <c r="Q345" s="99">
        <f t="shared" si="66"/>
        <v>-6.9498898397250116E-3</v>
      </c>
      <c r="S345" s="7">
        <f t="shared" si="58"/>
        <v>4697000</v>
      </c>
      <c r="T345" s="7">
        <f t="shared" si="59"/>
        <v>1423333.3333333333</v>
      </c>
      <c r="U345" s="7">
        <f t="shared" si="60"/>
        <v>6765000</v>
      </c>
      <c r="V345" s="7">
        <f t="shared" si="61"/>
        <v>0</v>
      </c>
      <c r="W345" s="7">
        <f t="shared" si="62"/>
        <v>0</v>
      </c>
      <c r="X345" s="7">
        <f t="shared" si="63"/>
        <v>0</v>
      </c>
    </row>
    <row r="346" spans="1:24">
      <c r="A346">
        <v>345</v>
      </c>
      <c r="B346" s="96" t="s">
        <v>3258</v>
      </c>
      <c r="C346" s="95">
        <v>40737</v>
      </c>
      <c r="D346" s="82">
        <v>4260000</v>
      </c>
      <c r="E346" s="82">
        <v>4260000</v>
      </c>
      <c r="F346" s="82">
        <v>4260000</v>
      </c>
      <c r="G346" s="82">
        <v>4260000</v>
      </c>
      <c r="I346" s="98">
        <v>0</v>
      </c>
      <c r="J346" s="98">
        <v>0</v>
      </c>
      <c r="K346" s="98">
        <v>0</v>
      </c>
      <c r="M346" s="7">
        <f t="shared" si="56"/>
        <v>0</v>
      </c>
      <c r="N346" s="7">
        <f t="shared" si="65"/>
        <v>0</v>
      </c>
      <c r="O346" s="7">
        <f t="shared" si="64"/>
        <v>-10000</v>
      </c>
      <c r="P346" s="99">
        <f t="shared" si="57"/>
        <v>-2.34192037470726E-3</v>
      </c>
      <c r="Q346" s="99">
        <f t="shared" si="66"/>
        <v>-1.1611894501729673E-2</v>
      </c>
      <c r="S346" s="7">
        <f t="shared" si="58"/>
        <v>4686000</v>
      </c>
      <c r="T346" s="7">
        <f t="shared" si="59"/>
        <v>1420000</v>
      </c>
      <c r="U346" s="7">
        <f t="shared" si="60"/>
        <v>6810000</v>
      </c>
      <c r="V346" s="7">
        <f t="shared" si="61"/>
        <v>0</v>
      </c>
      <c r="W346" s="7">
        <f t="shared" si="62"/>
        <v>0</v>
      </c>
      <c r="X346" s="7">
        <f t="shared" si="63"/>
        <v>0</v>
      </c>
    </row>
    <row r="347" spans="1:24">
      <c r="A347">
        <v>346</v>
      </c>
      <c r="B347" s="96" t="s">
        <v>3257</v>
      </c>
      <c r="C347" s="95">
        <v>40738</v>
      </c>
      <c r="D347" s="82">
        <v>4260000</v>
      </c>
      <c r="E347" s="82">
        <v>4260000</v>
      </c>
      <c r="F347" s="82">
        <v>4260000</v>
      </c>
      <c r="G347" s="82">
        <v>4260000</v>
      </c>
      <c r="I347" s="82">
        <f>G347*1.1</f>
        <v>4686000</v>
      </c>
      <c r="J347" s="82">
        <f>G347/3</f>
        <v>1420000</v>
      </c>
      <c r="K347" s="7">
        <f>G615</f>
        <v>6855000</v>
      </c>
      <c r="L347" s="7">
        <f>K347-I347</f>
        <v>2169000</v>
      </c>
      <c r="M347" s="7">
        <f t="shared" si="56"/>
        <v>177500</v>
      </c>
      <c r="N347" s="7">
        <f t="shared" si="65"/>
        <v>2346500</v>
      </c>
      <c r="O347" s="7">
        <f t="shared" si="64"/>
        <v>0</v>
      </c>
      <c r="P347" s="99">
        <f t="shared" si="57"/>
        <v>0</v>
      </c>
      <c r="Q347" s="99">
        <f t="shared" si="66"/>
        <v>-1.626862969125175E-2</v>
      </c>
      <c r="R347">
        <v>1</v>
      </c>
      <c r="S347" s="7">
        <f t="shared" si="58"/>
        <v>4686000</v>
      </c>
      <c r="T347" s="7">
        <f t="shared" si="59"/>
        <v>1420000</v>
      </c>
      <c r="U347" s="7">
        <f t="shared" si="60"/>
        <v>6855000</v>
      </c>
      <c r="V347" s="7">
        <f t="shared" si="61"/>
        <v>2169000</v>
      </c>
      <c r="W347" s="7">
        <f t="shared" si="62"/>
        <v>177500</v>
      </c>
      <c r="X347" s="7">
        <f t="shared" si="63"/>
        <v>2346500</v>
      </c>
    </row>
    <row r="348" spans="1:24">
      <c r="A348">
        <v>347</v>
      </c>
      <c r="B348" s="96" t="s">
        <v>3256</v>
      </c>
      <c r="C348" s="95">
        <v>40740</v>
      </c>
      <c r="D348" s="82">
        <v>4270000</v>
      </c>
      <c r="E348" s="82">
        <v>4270000</v>
      </c>
      <c r="F348" s="82">
        <v>4270000</v>
      </c>
      <c r="G348" s="82">
        <v>4270000</v>
      </c>
      <c r="I348" s="97">
        <v>0</v>
      </c>
      <c r="J348" s="97">
        <v>0</v>
      </c>
      <c r="K348" s="97">
        <v>0</v>
      </c>
      <c r="M348" s="7">
        <f t="shared" si="56"/>
        <v>0</v>
      </c>
      <c r="N348" s="7">
        <f t="shared" si="65"/>
        <v>0</v>
      </c>
      <c r="O348" s="7">
        <f t="shared" si="64"/>
        <v>10000</v>
      </c>
      <c r="P348" s="99">
        <f t="shared" si="57"/>
        <v>2.3474178403755869E-3</v>
      </c>
      <c r="Q348" s="99">
        <f t="shared" si="66"/>
        <v>-1.1649692046909948E-2</v>
      </c>
      <c r="S348" s="7">
        <f t="shared" si="58"/>
        <v>4697000</v>
      </c>
      <c r="T348" s="7">
        <f t="shared" si="59"/>
        <v>1423333.3333333333</v>
      </c>
      <c r="U348" s="7">
        <f t="shared" si="60"/>
        <v>6885000</v>
      </c>
      <c r="V348" s="7">
        <f t="shared" si="61"/>
        <v>0</v>
      </c>
      <c r="W348" s="7">
        <f t="shared" si="62"/>
        <v>0</v>
      </c>
      <c r="X348" s="7">
        <f t="shared" si="63"/>
        <v>0</v>
      </c>
    </row>
    <row r="349" spans="1:24">
      <c r="A349">
        <v>348</v>
      </c>
      <c r="B349" s="96" t="s">
        <v>3255</v>
      </c>
      <c r="C349" s="95">
        <v>40742</v>
      </c>
      <c r="D349" s="82">
        <v>4280000</v>
      </c>
      <c r="E349" s="82">
        <v>4280000</v>
      </c>
      <c r="F349" s="82">
        <v>4280000</v>
      </c>
      <c r="G349" s="82">
        <v>4280000</v>
      </c>
      <c r="I349" s="97">
        <v>0</v>
      </c>
      <c r="J349" s="97">
        <v>0</v>
      </c>
      <c r="K349" s="97">
        <v>0</v>
      </c>
      <c r="M349" s="7">
        <f t="shared" si="56"/>
        <v>0</v>
      </c>
      <c r="N349" s="7">
        <f t="shared" si="65"/>
        <v>0</v>
      </c>
      <c r="O349" s="7">
        <f t="shared" si="64"/>
        <v>10000</v>
      </c>
      <c r="P349" s="99">
        <f t="shared" si="57"/>
        <v>2.34192037470726E-3</v>
      </c>
      <c r="Q349" s="99">
        <f t="shared" si="66"/>
        <v>-6.9820885916851731E-3</v>
      </c>
      <c r="S349" s="7">
        <f t="shared" si="58"/>
        <v>4708000</v>
      </c>
      <c r="T349" s="7">
        <f t="shared" si="59"/>
        <v>1426666.6666666667</v>
      </c>
      <c r="U349" s="7">
        <f t="shared" si="60"/>
        <v>6915000</v>
      </c>
      <c r="V349" s="7">
        <f t="shared" si="61"/>
        <v>0</v>
      </c>
      <c r="W349" s="7">
        <f t="shared" si="62"/>
        <v>0</v>
      </c>
      <c r="X349" s="7">
        <f t="shared" si="63"/>
        <v>0</v>
      </c>
    </row>
    <row r="350" spans="1:24">
      <c r="A350">
        <v>349</v>
      </c>
      <c r="B350" s="96" t="s">
        <v>3254</v>
      </c>
      <c r="C350" s="95">
        <v>40743</v>
      </c>
      <c r="D350" s="82">
        <v>4290000</v>
      </c>
      <c r="E350" s="82">
        <v>4290000</v>
      </c>
      <c r="F350" s="82">
        <v>4290000</v>
      </c>
      <c r="G350" s="82">
        <v>4290000</v>
      </c>
      <c r="I350" s="97">
        <v>0</v>
      </c>
      <c r="J350" s="97">
        <v>0</v>
      </c>
      <c r="K350" s="97">
        <v>0</v>
      </c>
      <c r="M350" s="7">
        <f t="shared" si="56"/>
        <v>0</v>
      </c>
      <c r="N350" s="7">
        <f t="shared" si="65"/>
        <v>0</v>
      </c>
      <c r="O350" s="7">
        <f t="shared" si="64"/>
        <v>10000</v>
      </c>
      <c r="P350" s="99">
        <f t="shared" si="57"/>
        <v>2.3364485981308409E-3</v>
      </c>
      <c r="Q350" s="99">
        <f t="shared" si="66"/>
        <v>-2.3145868216290751E-3</v>
      </c>
      <c r="S350" s="7">
        <f t="shared" si="58"/>
        <v>4719000</v>
      </c>
      <c r="T350" s="7">
        <f t="shared" si="59"/>
        <v>1430000</v>
      </c>
      <c r="U350" s="7">
        <f t="shared" si="60"/>
        <v>6885000</v>
      </c>
      <c r="V350" s="7">
        <f t="shared" si="61"/>
        <v>0</v>
      </c>
      <c r="W350" s="7">
        <f t="shared" si="62"/>
        <v>0</v>
      </c>
      <c r="X350" s="7">
        <f t="shared" si="63"/>
        <v>0</v>
      </c>
    </row>
    <row r="351" spans="1:24">
      <c r="A351">
        <v>350</v>
      </c>
      <c r="B351" s="96" t="s">
        <v>3253</v>
      </c>
      <c r="C351" s="95">
        <v>40744</v>
      </c>
      <c r="D351" s="82">
        <v>4370000</v>
      </c>
      <c r="E351" s="82">
        <v>4370000</v>
      </c>
      <c r="F351" s="82">
        <v>4370000</v>
      </c>
      <c r="G351" s="82">
        <v>4370000</v>
      </c>
      <c r="I351" s="98">
        <v>0</v>
      </c>
      <c r="J351" s="98">
        <v>0</v>
      </c>
      <c r="K351" s="98">
        <v>0</v>
      </c>
      <c r="M351" s="7">
        <f t="shared" si="56"/>
        <v>0</v>
      </c>
      <c r="N351" s="7">
        <f t="shared" si="65"/>
        <v>0</v>
      </c>
      <c r="O351" s="7">
        <f t="shared" si="64"/>
        <v>80000</v>
      </c>
      <c r="P351" s="99">
        <f t="shared" si="57"/>
        <v>1.8648018648018648E-2</v>
      </c>
      <c r="Q351" s="99">
        <f t="shared" si="66"/>
        <v>4.6838664385064274E-3</v>
      </c>
      <c r="S351" s="7">
        <f t="shared" si="58"/>
        <v>4807000</v>
      </c>
      <c r="T351" s="7">
        <f t="shared" si="59"/>
        <v>1456666.6666666667</v>
      </c>
      <c r="U351" s="7">
        <f t="shared" si="60"/>
        <v>6940000</v>
      </c>
      <c r="V351" s="7">
        <f t="shared" si="61"/>
        <v>0</v>
      </c>
      <c r="W351" s="7">
        <f t="shared" si="62"/>
        <v>0</v>
      </c>
      <c r="X351" s="7">
        <f t="shared" si="63"/>
        <v>0</v>
      </c>
    </row>
    <row r="352" spans="1:24">
      <c r="A352">
        <v>351</v>
      </c>
      <c r="B352" s="96" t="s">
        <v>3252</v>
      </c>
      <c r="C352" s="95">
        <v>40745</v>
      </c>
      <c r="D352" s="82">
        <v>4360000</v>
      </c>
      <c r="E352" s="82">
        <v>4360000</v>
      </c>
      <c r="F352" s="82">
        <v>4360000</v>
      </c>
      <c r="G352" s="82">
        <v>4360000</v>
      </c>
      <c r="I352" s="82">
        <f>G352*1.1</f>
        <v>4796000</v>
      </c>
      <c r="J352" s="82">
        <f>G352/3</f>
        <v>1453333.3333333333</v>
      </c>
      <c r="K352" s="7">
        <f>G620</f>
        <v>7050000</v>
      </c>
      <c r="L352" s="7">
        <f>K352-I352</f>
        <v>2254000</v>
      </c>
      <c r="M352" s="7">
        <f t="shared" si="56"/>
        <v>181666.66666666663</v>
      </c>
      <c r="N352" s="7">
        <f t="shared" si="65"/>
        <v>2435666.6666666665</v>
      </c>
      <c r="O352" s="7">
        <f t="shared" si="64"/>
        <v>-10000</v>
      </c>
      <c r="P352" s="99">
        <f t="shared" si="57"/>
        <v>-2.2883295194508009E-3</v>
      </c>
      <c r="Q352" s="99">
        <f t="shared" si="66"/>
        <v>2.5673805461232338E-2</v>
      </c>
      <c r="R352">
        <v>1</v>
      </c>
      <c r="S352" s="7">
        <f t="shared" si="58"/>
        <v>4796000</v>
      </c>
      <c r="T352" s="7">
        <f t="shared" si="59"/>
        <v>1453333.3333333333</v>
      </c>
      <c r="U352" s="7">
        <f t="shared" si="60"/>
        <v>7050000</v>
      </c>
      <c r="V352" s="7">
        <f t="shared" si="61"/>
        <v>2254000</v>
      </c>
      <c r="W352" s="7">
        <f t="shared" si="62"/>
        <v>181666.66666666663</v>
      </c>
      <c r="X352" s="7">
        <f t="shared" si="63"/>
        <v>2435666.6666666665</v>
      </c>
    </row>
    <row r="353" spans="1:24">
      <c r="A353">
        <v>352</v>
      </c>
      <c r="B353" s="96" t="s">
        <v>3251</v>
      </c>
      <c r="C353" s="95">
        <v>40747</v>
      </c>
      <c r="D353" s="82">
        <v>4340000</v>
      </c>
      <c r="E353" s="82">
        <v>4340000</v>
      </c>
      <c r="F353" s="82">
        <v>4340000</v>
      </c>
      <c r="G353" s="82">
        <v>4340000</v>
      </c>
      <c r="I353" s="97">
        <v>0</v>
      </c>
      <c r="J353" s="97">
        <v>0</v>
      </c>
      <c r="K353" s="97">
        <v>0</v>
      </c>
      <c r="M353" s="7">
        <f t="shared" si="56"/>
        <v>0</v>
      </c>
      <c r="N353" s="7">
        <f t="shared" si="65"/>
        <v>0</v>
      </c>
      <c r="O353" s="7">
        <f t="shared" si="64"/>
        <v>-20000</v>
      </c>
      <c r="P353" s="99">
        <f t="shared" si="57"/>
        <v>-4.5871559633027525E-3</v>
      </c>
      <c r="Q353" s="99">
        <f t="shared" si="66"/>
        <v>2.3385475941781537E-2</v>
      </c>
      <c r="S353" s="7">
        <f t="shared" si="58"/>
        <v>4774000</v>
      </c>
      <c r="T353" s="7">
        <f t="shared" si="59"/>
        <v>1446666.6666666667</v>
      </c>
      <c r="U353" s="7">
        <f t="shared" si="60"/>
        <v>7030000</v>
      </c>
      <c r="V353" s="7">
        <f t="shared" si="61"/>
        <v>0</v>
      </c>
      <c r="W353" s="7">
        <f t="shared" si="62"/>
        <v>0</v>
      </c>
      <c r="X353" s="7">
        <f t="shared" si="63"/>
        <v>0</v>
      </c>
    </row>
    <row r="354" spans="1:24">
      <c r="A354">
        <v>353</v>
      </c>
      <c r="B354" s="96" t="s">
        <v>3250</v>
      </c>
      <c r="C354" s="95">
        <v>40748</v>
      </c>
      <c r="D354" s="82">
        <v>4320000</v>
      </c>
      <c r="E354" s="82">
        <v>4320000</v>
      </c>
      <c r="F354" s="82">
        <v>4320000</v>
      </c>
      <c r="G354" s="82">
        <v>4320000</v>
      </c>
      <c r="I354" s="97">
        <v>0</v>
      </c>
      <c r="J354" s="97">
        <v>0</v>
      </c>
      <c r="K354" s="97">
        <v>0</v>
      </c>
      <c r="M354" s="7">
        <f t="shared" si="56"/>
        <v>0</v>
      </c>
      <c r="N354" s="7">
        <f t="shared" si="65"/>
        <v>0</v>
      </c>
      <c r="O354" s="7">
        <f t="shared" si="64"/>
        <v>-20000</v>
      </c>
      <c r="P354" s="99">
        <f t="shared" si="57"/>
        <v>-4.608294930875576E-3</v>
      </c>
      <c r="Q354" s="99">
        <f t="shared" si="66"/>
        <v>1.6450902138103195E-2</v>
      </c>
      <c r="S354" s="7">
        <f t="shared" si="58"/>
        <v>4752000</v>
      </c>
      <c r="T354" s="7">
        <f t="shared" si="59"/>
        <v>1440000</v>
      </c>
      <c r="U354" s="7">
        <f t="shared" si="60"/>
        <v>7190000</v>
      </c>
      <c r="V354" s="7">
        <f t="shared" si="61"/>
        <v>0</v>
      </c>
      <c r="W354" s="7">
        <f t="shared" si="62"/>
        <v>0</v>
      </c>
      <c r="X354" s="7">
        <f t="shared" si="63"/>
        <v>0</v>
      </c>
    </row>
    <row r="355" spans="1:24">
      <c r="A355">
        <v>354</v>
      </c>
      <c r="B355" s="96" t="s">
        <v>3249</v>
      </c>
      <c r="C355" s="95">
        <v>40749</v>
      </c>
      <c r="D355" s="82">
        <v>4280000</v>
      </c>
      <c r="E355" s="82">
        <v>4280000</v>
      </c>
      <c r="F355" s="82">
        <v>4280000</v>
      </c>
      <c r="G355" s="82">
        <v>4280000</v>
      </c>
      <c r="I355" s="97">
        <v>0</v>
      </c>
      <c r="J355" s="97">
        <v>0</v>
      </c>
      <c r="K355" s="97">
        <v>0</v>
      </c>
      <c r="M355" s="7">
        <f t="shared" si="56"/>
        <v>0</v>
      </c>
      <c r="N355" s="7">
        <f t="shared" si="65"/>
        <v>0</v>
      </c>
      <c r="O355" s="7">
        <f t="shared" si="64"/>
        <v>-40000</v>
      </c>
      <c r="P355" s="99">
        <f t="shared" si="57"/>
        <v>-9.2592592592592587E-3</v>
      </c>
      <c r="Q355" s="99">
        <f t="shared" si="66"/>
        <v>9.5006868325203594E-3</v>
      </c>
      <c r="S355" s="7">
        <f t="shared" si="58"/>
        <v>4708000</v>
      </c>
      <c r="T355" s="7">
        <f t="shared" si="59"/>
        <v>1426666.6666666667</v>
      </c>
      <c r="U355" s="7">
        <f t="shared" si="60"/>
        <v>7290000</v>
      </c>
      <c r="V355" s="7">
        <f t="shared" si="61"/>
        <v>0</v>
      </c>
      <c r="W355" s="7">
        <f t="shared" si="62"/>
        <v>0</v>
      </c>
      <c r="X355" s="7">
        <f t="shared" si="63"/>
        <v>0</v>
      </c>
    </row>
    <row r="356" spans="1:24">
      <c r="A356">
        <v>355</v>
      </c>
      <c r="B356" s="96" t="s">
        <v>3248</v>
      </c>
      <c r="C356" s="95">
        <v>40750</v>
      </c>
      <c r="D356" s="82">
        <v>4320000</v>
      </c>
      <c r="E356" s="82">
        <v>4320000</v>
      </c>
      <c r="F356" s="82">
        <v>4320000</v>
      </c>
      <c r="G356" s="82">
        <v>4320000</v>
      </c>
      <c r="I356" s="98">
        <v>0</v>
      </c>
      <c r="J356" s="98">
        <v>0</v>
      </c>
      <c r="K356" s="98">
        <v>0</v>
      </c>
      <c r="M356" s="7">
        <f t="shared" si="56"/>
        <v>0</v>
      </c>
      <c r="N356" s="7">
        <f t="shared" si="65"/>
        <v>0</v>
      </c>
      <c r="O356" s="7">
        <f t="shared" si="64"/>
        <v>40000</v>
      </c>
      <c r="P356" s="99">
        <f t="shared" si="57"/>
        <v>9.3457943925233638E-3</v>
      </c>
      <c r="Q356" s="99">
        <f t="shared" si="66"/>
        <v>-2.0950210248697398E-3</v>
      </c>
      <c r="S356" s="7">
        <f t="shared" si="58"/>
        <v>4752000</v>
      </c>
      <c r="T356" s="7">
        <f t="shared" si="59"/>
        <v>1440000</v>
      </c>
      <c r="U356" s="7">
        <f t="shared" si="60"/>
        <v>7760000</v>
      </c>
      <c r="V356" s="7">
        <f t="shared" si="61"/>
        <v>0</v>
      </c>
      <c r="W356" s="7">
        <f t="shared" si="62"/>
        <v>0</v>
      </c>
      <c r="X356" s="7">
        <f t="shared" si="63"/>
        <v>0</v>
      </c>
    </row>
    <row r="357" spans="1:24">
      <c r="A357">
        <v>356</v>
      </c>
      <c r="B357" s="96" t="s">
        <v>3247</v>
      </c>
      <c r="C357" s="95">
        <v>40751</v>
      </c>
      <c r="D357" s="82">
        <v>4300000</v>
      </c>
      <c r="E357" s="82">
        <v>4300000</v>
      </c>
      <c r="F357" s="82">
        <v>4300000</v>
      </c>
      <c r="G357" s="82">
        <v>4300000</v>
      </c>
      <c r="I357" s="82">
        <f>G357*1.1</f>
        <v>4730000</v>
      </c>
      <c r="J357" s="82">
        <f>G357/3</f>
        <v>1433333.3333333333</v>
      </c>
      <c r="K357" s="7">
        <f>G625</f>
        <v>7700000</v>
      </c>
      <c r="L357" s="7">
        <f>K357-I357</f>
        <v>2970000</v>
      </c>
      <c r="M357" s="7">
        <f t="shared" si="56"/>
        <v>179166.66666666663</v>
      </c>
      <c r="N357" s="7">
        <f t="shared" si="65"/>
        <v>3149166.6666666665</v>
      </c>
      <c r="O357" s="7">
        <f t="shared" si="64"/>
        <v>-20000</v>
      </c>
      <c r="P357" s="99">
        <f t="shared" si="57"/>
        <v>-4.6296296296296294E-3</v>
      </c>
      <c r="Q357" s="99">
        <f t="shared" si="66"/>
        <v>-1.1397245280365025E-2</v>
      </c>
      <c r="R357">
        <v>1</v>
      </c>
      <c r="S357" s="7">
        <f t="shared" si="58"/>
        <v>4730000</v>
      </c>
      <c r="T357" s="7">
        <f t="shared" si="59"/>
        <v>1433333.3333333333</v>
      </c>
      <c r="U357" s="7">
        <f t="shared" si="60"/>
        <v>7700000</v>
      </c>
      <c r="V357" s="7">
        <f t="shared" si="61"/>
        <v>2970000</v>
      </c>
      <c r="W357" s="7">
        <f t="shared" si="62"/>
        <v>179166.66666666663</v>
      </c>
      <c r="X357" s="7">
        <f t="shared" si="63"/>
        <v>3149166.6666666665</v>
      </c>
    </row>
    <row r="358" spans="1:24">
      <c r="A358">
        <v>357</v>
      </c>
      <c r="B358" s="96" t="s">
        <v>3246</v>
      </c>
      <c r="C358" s="95">
        <v>40752</v>
      </c>
      <c r="D358" s="82">
        <v>4330000</v>
      </c>
      <c r="E358" s="82">
        <v>4330000</v>
      </c>
      <c r="F358" s="82">
        <v>4330000</v>
      </c>
      <c r="G358" s="82">
        <v>4330000</v>
      </c>
      <c r="I358" s="97">
        <v>0</v>
      </c>
      <c r="J358" s="97">
        <v>0</v>
      </c>
      <c r="K358" s="97">
        <v>0</v>
      </c>
      <c r="M358" s="7">
        <f t="shared" si="56"/>
        <v>0</v>
      </c>
      <c r="N358" s="7">
        <f t="shared" si="65"/>
        <v>0</v>
      </c>
      <c r="O358" s="7">
        <f t="shared" si="64"/>
        <v>30000</v>
      </c>
      <c r="P358" s="99">
        <f t="shared" si="57"/>
        <v>6.9767441860465115E-3</v>
      </c>
      <c r="Q358" s="99">
        <f t="shared" si="66"/>
        <v>-1.3738545390543854E-2</v>
      </c>
      <c r="S358" s="7">
        <f t="shared" si="58"/>
        <v>4763000</v>
      </c>
      <c r="T358" s="7">
        <f t="shared" si="59"/>
        <v>1443333.3333333333</v>
      </c>
      <c r="U358" s="7">
        <f t="shared" si="60"/>
        <v>7630000</v>
      </c>
      <c r="V358" s="7">
        <f t="shared" si="61"/>
        <v>0</v>
      </c>
      <c r="W358" s="7">
        <f t="shared" si="62"/>
        <v>0</v>
      </c>
      <c r="X358" s="7">
        <f t="shared" si="63"/>
        <v>0</v>
      </c>
    </row>
    <row r="359" spans="1:24">
      <c r="A359">
        <v>358</v>
      </c>
      <c r="B359" s="96" t="s">
        <v>3245</v>
      </c>
      <c r="C359" s="95">
        <v>40754</v>
      </c>
      <c r="D359" s="82">
        <v>4300000</v>
      </c>
      <c r="E359" s="82">
        <v>4300000</v>
      </c>
      <c r="F359" s="82">
        <v>4300000</v>
      </c>
      <c r="G359" s="82">
        <v>4300000</v>
      </c>
      <c r="I359" s="97">
        <v>0</v>
      </c>
      <c r="J359" s="97">
        <v>0</v>
      </c>
      <c r="K359" s="97">
        <v>0</v>
      </c>
      <c r="M359" s="7">
        <f t="shared" si="56"/>
        <v>0</v>
      </c>
      <c r="N359" s="7">
        <f t="shared" si="65"/>
        <v>0</v>
      </c>
      <c r="O359" s="7">
        <f t="shared" si="64"/>
        <v>-30000</v>
      </c>
      <c r="P359" s="99">
        <f t="shared" si="57"/>
        <v>-6.9284064665127024E-3</v>
      </c>
      <c r="Q359" s="99">
        <f t="shared" si="66"/>
        <v>-2.1746452411945897E-3</v>
      </c>
      <c r="S359" s="7">
        <f t="shared" si="58"/>
        <v>4730000</v>
      </c>
      <c r="T359" s="7">
        <f t="shared" si="59"/>
        <v>1433333.3333333333</v>
      </c>
      <c r="U359" s="7">
        <f t="shared" si="60"/>
        <v>7410000</v>
      </c>
      <c r="V359" s="7">
        <f t="shared" si="61"/>
        <v>0</v>
      </c>
      <c r="W359" s="7">
        <f t="shared" si="62"/>
        <v>0</v>
      </c>
      <c r="X359" s="7">
        <f t="shared" si="63"/>
        <v>0</v>
      </c>
    </row>
    <row r="360" spans="1:24">
      <c r="A360">
        <v>359</v>
      </c>
      <c r="B360" s="96" t="s">
        <v>3244</v>
      </c>
      <c r="C360" s="95">
        <v>40755</v>
      </c>
      <c r="D360" s="82">
        <v>4320000</v>
      </c>
      <c r="E360" s="82">
        <v>4320000</v>
      </c>
      <c r="F360" s="82">
        <v>4320000</v>
      </c>
      <c r="G360" s="82">
        <v>4320000</v>
      </c>
      <c r="I360" s="97">
        <v>0</v>
      </c>
      <c r="J360" s="97">
        <v>0</v>
      </c>
      <c r="K360" s="97">
        <v>0</v>
      </c>
      <c r="M360" s="7">
        <f t="shared" si="56"/>
        <v>0</v>
      </c>
      <c r="N360" s="7">
        <f t="shared" si="65"/>
        <v>0</v>
      </c>
      <c r="O360" s="7">
        <f t="shared" si="64"/>
        <v>20000</v>
      </c>
      <c r="P360" s="99">
        <f t="shared" si="57"/>
        <v>4.6511627906976744E-3</v>
      </c>
      <c r="Q360" s="99">
        <f t="shared" si="66"/>
        <v>-4.4947567768317152E-3</v>
      </c>
      <c r="S360" s="7">
        <f t="shared" si="58"/>
        <v>4752000</v>
      </c>
      <c r="T360" s="7">
        <f t="shared" si="59"/>
        <v>1440000</v>
      </c>
      <c r="U360" s="7">
        <f t="shared" si="60"/>
        <v>7280000</v>
      </c>
      <c r="V360" s="7">
        <f t="shared" si="61"/>
        <v>0</v>
      </c>
      <c r="W360" s="7">
        <f t="shared" si="62"/>
        <v>0</v>
      </c>
      <c r="X360" s="7">
        <f t="shared" si="63"/>
        <v>0</v>
      </c>
    </row>
    <row r="361" spans="1:24">
      <c r="A361">
        <v>360</v>
      </c>
      <c r="B361" s="96" t="s">
        <v>3243</v>
      </c>
      <c r="C361" s="95">
        <v>40756</v>
      </c>
      <c r="D361" s="82">
        <v>4310000</v>
      </c>
      <c r="E361" s="82">
        <v>4310000</v>
      </c>
      <c r="F361" s="82">
        <v>4310000</v>
      </c>
      <c r="G361" s="82">
        <v>4310000</v>
      </c>
      <c r="I361" s="98">
        <v>0</v>
      </c>
      <c r="J361" s="98">
        <v>0</v>
      </c>
      <c r="K361" s="98">
        <v>0</v>
      </c>
      <c r="M361" s="7">
        <f t="shared" si="56"/>
        <v>0</v>
      </c>
      <c r="N361" s="7">
        <f t="shared" si="65"/>
        <v>0</v>
      </c>
      <c r="O361" s="7">
        <f t="shared" si="64"/>
        <v>-10000</v>
      </c>
      <c r="P361" s="99">
        <f t="shared" si="57"/>
        <v>-2.3148148148148147E-3</v>
      </c>
      <c r="Q361" s="99">
        <f t="shared" si="66"/>
        <v>9.415665273125217E-3</v>
      </c>
      <c r="S361" s="7">
        <f t="shared" si="58"/>
        <v>4741000</v>
      </c>
      <c r="T361" s="7">
        <f t="shared" si="59"/>
        <v>1436666.6666666667</v>
      </c>
      <c r="U361" s="7">
        <f t="shared" si="60"/>
        <v>7530000</v>
      </c>
      <c r="V361" s="7">
        <f t="shared" si="61"/>
        <v>0</v>
      </c>
      <c r="W361" s="7">
        <f t="shared" si="62"/>
        <v>0</v>
      </c>
      <c r="X361" s="7">
        <f t="shared" si="63"/>
        <v>0</v>
      </c>
    </row>
    <row r="362" spans="1:24">
      <c r="A362">
        <v>361</v>
      </c>
      <c r="B362" s="96" t="s">
        <v>3242</v>
      </c>
      <c r="C362" s="95">
        <v>40757</v>
      </c>
      <c r="D362" s="82">
        <v>4300000</v>
      </c>
      <c r="E362" s="82">
        <v>4300000</v>
      </c>
      <c r="F362" s="82">
        <v>4300000</v>
      </c>
      <c r="G362" s="82">
        <v>4300000</v>
      </c>
      <c r="I362" s="82">
        <f>G362*1.1</f>
        <v>4730000</v>
      </c>
      <c r="J362" s="82">
        <f>G362/3</f>
        <v>1433333.3333333333</v>
      </c>
      <c r="K362" s="7">
        <f>G630</f>
        <v>7450000</v>
      </c>
      <c r="L362" s="7">
        <f>K362-I362</f>
        <v>2720000</v>
      </c>
      <c r="M362" s="7">
        <f t="shared" si="56"/>
        <v>179166.66666666663</v>
      </c>
      <c r="N362" s="7">
        <f t="shared" si="65"/>
        <v>2899166.6666666665</v>
      </c>
      <c r="O362" s="7">
        <f t="shared" si="64"/>
        <v>-10000</v>
      </c>
      <c r="P362" s="99">
        <f t="shared" si="57"/>
        <v>-2.3201856148491878E-3</v>
      </c>
      <c r="Q362" s="99">
        <f t="shared" si="66"/>
        <v>-2.2449439342129606E-3</v>
      </c>
      <c r="R362">
        <v>1</v>
      </c>
      <c r="S362" s="7">
        <f t="shared" si="58"/>
        <v>4730000</v>
      </c>
      <c r="T362" s="7">
        <f t="shared" si="59"/>
        <v>1433333.3333333333</v>
      </c>
      <c r="U362" s="7">
        <f t="shared" si="60"/>
        <v>7450000</v>
      </c>
      <c r="V362" s="7">
        <f t="shared" si="61"/>
        <v>2720000</v>
      </c>
      <c r="W362" s="7">
        <f t="shared" si="62"/>
        <v>179166.66666666663</v>
      </c>
      <c r="X362" s="7">
        <f t="shared" si="63"/>
        <v>2899166.6666666665</v>
      </c>
    </row>
    <row r="363" spans="1:24">
      <c r="A363">
        <v>362</v>
      </c>
      <c r="B363" s="96" t="s">
        <v>3241</v>
      </c>
      <c r="C363" s="95">
        <v>40758</v>
      </c>
      <c r="D363" s="82">
        <v>4300000</v>
      </c>
      <c r="E363" s="82">
        <v>4300000</v>
      </c>
      <c r="F363" s="82">
        <v>4300000</v>
      </c>
      <c r="G363" s="82">
        <v>4300000</v>
      </c>
      <c r="I363" s="97">
        <v>0</v>
      </c>
      <c r="J363" s="97">
        <v>0</v>
      </c>
      <c r="K363" s="97">
        <v>0</v>
      </c>
      <c r="M363" s="7">
        <f t="shared" si="56"/>
        <v>0</v>
      </c>
      <c r="N363" s="7">
        <f t="shared" si="65"/>
        <v>0</v>
      </c>
      <c r="O363" s="7">
        <f t="shared" si="64"/>
        <v>0</v>
      </c>
      <c r="P363" s="99">
        <f t="shared" si="57"/>
        <v>0</v>
      </c>
      <c r="Q363" s="99">
        <f t="shared" si="66"/>
        <v>6.4500080567480959E-5</v>
      </c>
      <c r="S363" s="7">
        <f t="shared" si="58"/>
        <v>4730000</v>
      </c>
      <c r="T363" s="7">
        <f t="shared" si="59"/>
        <v>1433333.3333333333</v>
      </c>
      <c r="U363" s="7">
        <f t="shared" si="60"/>
        <v>7290000</v>
      </c>
      <c r="V363" s="7">
        <f t="shared" si="61"/>
        <v>0</v>
      </c>
      <c r="W363" s="7">
        <f t="shared" si="62"/>
        <v>0</v>
      </c>
      <c r="X363" s="7">
        <f t="shared" si="63"/>
        <v>0</v>
      </c>
    </row>
    <row r="364" spans="1:24">
      <c r="A364">
        <v>363</v>
      </c>
      <c r="B364" s="96" t="s">
        <v>3240</v>
      </c>
      <c r="C364" s="95">
        <v>40759</v>
      </c>
      <c r="D364" s="82">
        <v>4470000</v>
      </c>
      <c r="E364" s="82">
        <v>4470000</v>
      </c>
      <c r="F364" s="82">
        <v>4470000</v>
      </c>
      <c r="G364" s="82">
        <v>4470000</v>
      </c>
      <c r="I364" s="97">
        <v>0</v>
      </c>
      <c r="J364" s="97">
        <v>0</v>
      </c>
      <c r="K364" s="97">
        <v>0</v>
      </c>
      <c r="M364" s="7">
        <f t="shared" si="56"/>
        <v>0</v>
      </c>
      <c r="N364" s="7">
        <f t="shared" si="65"/>
        <v>0</v>
      </c>
      <c r="O364" s="7">
        <f t="shared" si="64"/>
        <v>170000</v>
      </c>
      <c r="P364" s="99">
        <f t="shared" si="57"/>
        <v>3.9534883720930232E-2</v>
      </c>
      <c r="Q364" s="99">
        <f t="shared" si="66"/>
        <v>-6.9122441054790306E-3</v>
      </c>
      <c r="S364" s="7">
        <f t="shared" si="58"/>
        <v>4917000</v>
      </c>
      <c r="T364" s="7">
        <f t="shared" si="59"/>
        <v>1490000</v>
      </c>
      <c r="U364" s="7">
        <f t="shared" si="60"/>
        <v>7120000</v>
      </c>
      <c r="V364" s="7">
        <f t="shared" si="61"/>
        <v>0</v>
      </c>
      <c r="W364" s="7">
        <f t="shared" si="62"/>
        <v>0</v>
      </c>
      <c r="X364" s="7">
        <f t="shared" si="63"/>
        <v>0</v>
      </c>
    </row>
    <row r="365" spans="1:24">
      <c r="A365">
        <v>364</v>
      </c>
      <c r="B365" s="96" t="s">
        <v>3239</v>
      </c>
      <c r="C365" s="95">
        <v>40761</v>
      </c>
      <c r="D365" s="82">
        <v>4420000</v>
      </c>
      <c r="E365" s="82">
        <v>4420000</v>
      </c>
      <c r="F365" s="82">
        <v>4420000</v>
      </c>
      <c r="G365" s="82">
        <v>4420000</v>
      </c>
      <c r="I365" s="97">
        <v>0</v>
      </c>
      <c r="J365" s="97">
        <v>0</v>
      </c>
      <c r="K365" s="97">
        <v>0</v>
      </c>
      <c r="M365" s="7">
        <f t="shared" si="56"/>
        <v>0</v>
      </c>
      <c r="N365" s="7">
        <f t="shared" si="65"/>
        <v>0</v>
      </c>
      <c r="O365" s="7">
        <f t="shared" si="64"/>
        <v>-50000</v>
      </c>
      <c r="P365" s="99">
        <f t="shared" si="57"/>
        <v>-1.1185682326621925E-2</v>
      </c>
      <c r="Q365" s="99">
        <f t="shared" si="66"/>
        <v>3.95510460819639E-2</v>
      </c>
      <c r="S365" s="7">
        <f t="shared" si="58"/>
        <v>4862000</v>
      </c>
      <c r="T365" s="7">
        <f t="shared" si="59"/>
        <v>1473333.3333333333</v>
      </c>
      <c r="U365" s="7">
        <f t="shared" si="60"/>
        <v>7100000</v>
      </c>
      <c r="V365" s="7">
        <f t="shared" si="61"/>
        <v>0</v>
      </c>
      <c r="W365" s="7">
        <f t="shared" si="62"/>
        <v>0</v>
      </c>
      <c r="X365" s="7">
        <f t="shared" si="63"/>
        <v>0</v>
      </c>
    </row>
    <row r="366" spans="1:24">
      <c r="A366">
        <v>365</v>
      </c>
      <c r="B366" s="96" t="s">
        <v>3238</v>
      </c>
      <c r="C366" s="95">
        <v>40762</v>
      </c>
      <c r="D366" s="82">
        <v>4410000</v>
      </c>
      <c r="E366" s="82">
        <v>4410000</v>
      </c>
      <c r="F366" s="82">
        <v>4410000</v>
      </c>
      <c r="G366" s="82">
        <v>4410000</v>
      </c>
      <c r="I366" s="98">
        <v>0</v>
      </c>
      <c r="J366" s="98">
        <v>0</v>
      </c>
      <c r="K366" s="98">
        <v>0</v>
      </c>
      <c r="M366" s="7">
        <f t="shared" si="56"/>
        <v>0</v>
      </c>
      <c r="N366" s="7">
        <f t="shared" si="65"/>
        <v>0</v>
      </c>
      <c r="O366" s="7">
        <f t="shared" si="64"/>
        <v>-10000</v>
      </c>
      <c r="P366" s="99">
        <f t="shared" si="57"/>
        <v>-2.2624434389140274E-3</v>
      </c>
      <c r="Q366" s="99">
        <f t="shared" si="66"/>
        <v>2.37142009646443E-2</v>
      </c>
      <c r="S366" s="7">
        <f t="shared" si="58"/>
        <v>4851000</v>
      </c>
      <c r="T366" s="7">
        <f t="shared" si="59"/>
        <v>1470000</v>
      </c>
      <c r="U366" s="7">
        <f t="shared" si="60"/>
        <v>7240000</v>
      </c>
      <c r="V366" s="7">
        <f t="shared" si="61"/>
        <v>0</v>
      </c>
      <c r="W366" s="7">
        <f t="shared" si="62"/>
        <v>0</v>
      </c>
      <c r="X366" s="7">
        <f t="shared" si="63"/>
        <v>0</v>
      </c>
    </row>
    <row r="367" spans="1:24">
      <c r="A367">
        <v>366</v>
      </c>
      <c r="B367" s="96" t="s">
        <v>3237</v>
      </c>
      <c r="C367" s="95">
        <v>40763</v>
      </c>
      <c r="D367" s="82">
        <v>4440000</v>
      </c>
      <c r="E367" s="82">
        <v>4440000</v>
      </c>
      <c r="F367" s="82">
        <v>4440000</v>
      </c>
      <c r="G367" s="82">
        <v>4440000</v>
      </c>
      <c r="I367" s="82">
        <f>G367*1.1</f>
        <v>4884000</v>
      </c>
      <c r="J367" s="82">
        <f>G367/3</f>
        <v>1480000</v>
      </c>
      <c r="K367" s="7">
        <f>G635</f>
        <v>7110000</v>
      </c>
      <c r="L367" s="7">
        <f>K367-I367</f>
        <v>2226000</v>
      </c>
      <c r="M367" s="7">
        <f t="shared" si="56"/>
        <v>185000</v>
      </c>
      <c r="N367" s="7">
        <f t="shared" si="65"/>
        <v>2411000</v>
      </c>
      <c r="O367" s="7">
        <f t="shared" si="64"/>
        <v>30000</v>
      </c>
      <c r="P367" s="99">
        <f t="shared" si="57"/>
        <v>6.8027210884353739E-3</v>
      </c>
      <c r="Q367" s="99">
        <f t="shared" si="66"/>
        <v>2.3766572340545092E-2</v>
      </c>
      <c r="R367">
        <v>1</v>
      </c>
      <c r="S367" s="7">
        <f t="shared" si="58"/>
        <v>4884000</v>
      </c>
      <c r="T367" s="7">
        <f t="shared" si="59"/>
        <v>1480000</v>
      </c>
      <c r="U367" s="7">
        <f t="shared" si="60"/>
        <v>7110000</v>
      </c>
      <c r="V367" s="7">
        <f t="shared" si="61"/>
        <v>2226000</v>
      </c>
      <c r="W367" s="7">
        <f t="shared" si="62"/>
        <v>185000</v>
      </c>
      <c r="X367" s="7">
        <f t="shared" si="63"/>
        <v>2411000</v>
      </c>
    </row>
    <row r="368" spans="1:24">
      <c r="A368">
        <v>367</v>
      </c>
      <c r="B368" s="96" t="s">
        <v>3236</v>
      </c>
      <c r="C368" s="95">
        <v>40764</v>
      </c>
      <c r="D368" s="82">
        <v>4600000</v>
      </c>
      <c r="E368" s="82">
        <v>4600000</v>
      </c>
      <c r="F368" s="82">
        <v>4600000</v>
      </c>
      <c r="G368" s="82">
        <v>4600000</v>
      </c>
      <c r="I368" s="97">
        <v>0</v>
      </c>
      <c r="J368" s="97">
        <v>0</v>
      </c>
      <c r="K368" s="97">
        <v>0</v>
      </c>
      <c r="M368" s="7">
        <f t="shared" si="56"/>
        <v>0</v>
      </c>
      <c r="N368" s="7">
        <f t="shared" si="65"/>
        <v>0</v>
      </c>
      <c r="O368" s="7">
        <f t="shared" si="64"/>
        <v>160000</v>
      </c>
      <c r="P368" s="99">
        <f t="shared" si="57"/>
        <v>3.6036036036036036E-2</v>
      </c>
      <c r="Q368" s="99">
        <f t="shared" si="66"/>
        <v>3.2889479043829654E-2</v>
      </c>
      <c r="S368" s="7">
        <f t="shared" si="58"/>
        <v>5060000</v>
      </c>
      <c r="T368" s="7">
        <f t="shared" si="59"/>
        <v>1533333.3333333333</v>
      </c>
      <c r="U368" s="7">
        <f t="shared" si="60"/>
        <v>7120000</v>
      </c>
      <c r="V368" s="7">
        <f t="shared" si="61"/>
        <v>0</v>
      </c>
      <c r="W368" s="7">
        <f t="shared" si="62"/>
        <v>0</v>
      </c>
      <c r="X368" s="7">
        <f t="shared" si="63"/>
        <v>0</v>
      </c>
    </row>
    <row r="369" spans="1:24">
      <c r="A369">
        <v>368</v>
      </c>
      <c r="B369" s="96" t="s">
        <v>3235</v>
      </c>
      <c r="C369" s="95">
        <v>40765</v>
      </c>
      <c r="D369" s="82">
        <v>4800000</v>
      </c>
      <c r="E369" s="82">
        <v>4800000</v>
      </c>
      <c r="F369" s="82">
        <v>4800000</v>
      </c>
      <c r="G369" s="82">
        <v>4800000</v>
      </c>
      <c r="I369" s="97">
        <v>0</v>
      </c>
      <c r="J369" s="97">
        <v>0</v>
      </c>
      <c r="K369" s="97">
        <v>0</v>
      </c>
      <c r="M369" s="7">
        <f t="shared" si="56"/>
        <v>0</v>
      </c>
      <c r="N369" s="7">
        <f t="shared" si="65"/>
        <v>0</v>
      </c>
      <c r="O369" s="7">
        <f t="shared" si="64"/>
        <v>200000</v>
      </c>
      <c r="P369" s="99">
        <f t="shared" si="57"/>
        <v>4.3478260869565216E-2</v>
      </c>
      <c r="Q369" s="99">
        <f t="shared" si="66"/>
        <v>6.892551507986569E-2</v>
      </c>
      <c r="S369" s="7">
        <f t="shared" si="58"/>
        <v>5280000</v>
      </c>
      <c r="T369" s="7">
        <f t="shared" si="59"/>
        <v>1600000</v>
      </c>
      <c r="U369" s="7">
        <f t="shared" si="60"/>
        <v>7130000</v>
      </c>
      <c r="V369" s="7">
        <f t="shared" si="61"/>
        <v>0</v>
      </c>
      <c r="W369" s="7">
        <f t="shared" si="62"/>
        <v>0</v>
      </c>
      <c r="X369" s="7">
        <f t="shared" si="63"/>
        <v>0</v>
      </c>
    </row>
    <row r="370" spans="1:24">
      <c r="A370">
        <v>369</v>
      </c>
      <c r="B370" s="96" t="s">
        <v>3234</v>
      </c>
      <c r="C370" s="95">
        <v>40766</v>
      </c>
      <c r="D370" s="82">
        <v>4800000</v>
      </c>
      <c r="E370" s="82">
        <v>4800000</v>
      </c>
      <c r="F370" s="82">
        <v>4800000</v>
      </c>
      <c r="G370" s="82">
        <v>4800000</v>
      </c>
      <c r="I370" s="97">
        <v>0</v>
      </c>
      <c r="J370" s="97">
        <v>0</v>
      </c>
      <c r="K370" s="97">
        <v>0</v>
      </c>
      <c r="M370" s="7">
        <f t="shared" si="56"/>
        <v>0</v>
      </c>
      <c r="N370" s="7">
        <f t="shared" si="65"/>
        <v>0</v>
      </c>
      <c r="O370" s="7">
        <f t="shared" si="64"/>
        <v>0</v>
      </c>
      <c r="P370" s="99">
        <f t="shared" si="57"/>
        <v>0</v>
      </c>
      <c r="Q370" s="99">
        <f t="shared" si="66"/>
        <v>7.2868892228500681E-2</v>
      </c>
      <c r="S370" s="7">
        <f t="shared" si="58"/>
        <v>5280000</v>
      </c>
      <c r="T370" s="7">
        <f t="shared" si="59"/>
        <v>1600000</v>
      </c>
      <c r="U370" s="7">
        <f t="shared" si="60"/>
        <v>7050000</v>
      </c>
      <c r="V370" s="7">
        <f t="shared" si="61"/>
        <v>0</v>
      </c>
      <c r="W370" s="7">
        <f t="shared" si="62"/>
        <v>0</v>
      </c>
      <c r="X370" s="7">
        <f t="shared" si="63"/>
        <v>0</v>
      </c>
    </row>
    <row r="371" spans="1:24">
      <c r="A371">
        <v>370</v>
      </c>
      <c r="B371" s="96" t="s">
        <v>3233</v>
      </c>
      <c r="C371" s="95">
        <v>40768</v>
      </c>
      <c r="D371" s="82">
        <v>4850000</v>
      </c>
      <c r="E371" s="82">
        <v>4850000</v>
      </c>
      <c r="F371" s="82">
        <v>4850000</v>
      </c>
      <c r="G371" s="82">
        <v>4850000</v>
      </c>
      <c r="I371" s="98">
        <v>0</v>
      </c>
      <c r="J371" s="98">
        <v>0</v>
      </c>
      <c r="K371" s="98">
        <v>0</v>
      </c>
      <c r="M371" s="7">
        <f t="shared" si="56"/>
        <v>0</v>
      </c>
      <c r="N371" s="7">
        <f t="shared" si="65"/>
        <v>0</v>
      </c>
      <c r="O371" s="7">
        <f t="shared" si="64"/>
        <v>50000</v>
      </c>
      <c r="P371" s="99">
        <f t="shared" si="57"/>
        <v>1.0416666666666666E-2</v>
      </c>
      <c r="Q371" s="99">
        <f t="shared" si="66"/>
        <v>8.4054574555122608E-2</v>
      </c>
      <c r="S371" s="7">
        <f t="shared" si="58"/>
        <v>5335000</v>
      </c>
      <c r="T371" s="7">
        <f t="shared" si="59"/>
        <v>1616666.6666666667</v>
      </c>
      <c r="U371" s="7">
        <f t="shared" si="60"/>
        <v>7100000</v>
      </c>
      <c r="V371" s="7">
        <f t="shared" si="61"/>
        <v>0</v>
      </c>
      <c r="W371" s="7">
        <f t="shared" si="62"/>
        <v>0</v>
      </c>
      <c r="X371" s="7">
        <f t="shared" si="63"/>
        <v>0</v>
      </c>
    </row>
    <row r="372" spans="1:24">
      <c r="A372">
        <v>371</v>
      </c>
      <c r="B372" s="96" t="s">
        <v>3232</v>
      </c>
      <c r="C372" s="95">
        <v>40769</v>
      </c>
      <c r="D372" s="82">
        <v>4800000</v>
      </c>
      <c r="E372" s="82">
        <v>4800000</v>
      </c>
      <c r="F372" s="82">
        <v>4800000</v>
      </c>
      <c r="G372" s="82">
        <v>4800000</v>
      </c>
      <c r="I372" s="82">
        <f>G372*1.1</f>
        <v>5280000</v>
      </c>
      <c r="J372" s="82">
        <f>G372/3</f>
        <v>1600000</v>
      </c>
      <c r="K372" s="7">
        <f>G640</f>
        <v>7090000</v>
      </c>
      <c r="L372" s="7">
        <f>K372-I372</f>
        <v>1810000</v>
      </c>
      <c r="M372" s="7">
        <f t="shared" si="56"/>
        <v>200000</v>
      </c>
      <c r="N372" s="7">
        <f t="shared" si="65"/>
        <v>2010000</v>
      </c>
      <c r="O372" s="7">
        <f t="shared" si="64"/>
        <v>-50000</v>
      </c>
      <c r="P372" s="99">
        <f t="shared" si="57"/>
        <v>-1.0309278350515464E-2</v>
      </c>
      <c r="Q372" s="99">
        <f t="shared" si="66"/>
        <v>9.6733684660703298E-2</v>
      </c>
      <c r="R372">
        <v>1</v>
      </c>
      <c r="S372" s="7">
        <f t="shared" si="58"/>
        <v>5280000</v>
      </c>
      <c r="T372" s="7">
        <f t="shared" si="59"/>
        <v>1600000</v>
      </c>
      <c r="U372" s="7">
        <f t="shared" si="60"/>
        <v>7090000</v>
      </c>
      <c r="V372" s="7">
        <f t="shared" si="61"/>
        <v>1810000</v>
      </c>
      <c r="W372" s="7">
        <f t="shared" si="62"/>
        <v>200000</v>
      </c>
      <c r="X372" s="7">
        <f t="shared" si="63"/>
        <v>2010000</v>
      </c>
    </row>
    <row r="373" spans="1:24">
      <c r="A373">
        <v>372</v>
      </c>
      <c r="B373" s="96" t="s">
        <v>3231</v>
      </c>
      <c r="C373" s="95">
        <v>40770</v>
      </c>
      <c r="D373" s="82">
        <v>4750000</v>
      </c>
      <c r="E373" s="82">
        <v>4750000</v>
      </c>
      <c r="F373" s="82">
        <v>4750000</v>
      </c>
      <c r="G373" s="82">
        <v>4750000</v>
      </c>
      <c r="I373" s="97">
        <v>0</v>
      </c>
      <c r="J373" s="97">
        <v>0</v>
      </c>
      <c r="K373" s="97">
        <v>0</v>
      </c>
      <c r="M373" s="7">
        <f t="shared" si="56"/>
        <v>0</v>
      </c>
      <c r="N373" s="7">
        <f t="shared" si="65"/>
        <v>0</v>
      </c>
      <c r="O373" s="7">
        <f t="shared" si="64"/>
        <v>-50000</v>
      </c>
      <c r="P373" s="99">
        <f t="shared" si="57"/>
        <v>-1.0416666666666666E-2</v>
      </c>
      <c r="Q373" s="99">
        <f t="shared" si="66"/>
        <v>7.9621685221752447E-2</v>
      </c>
      <c r="S373" s="7">
        <f t="shared" si="58"/>
        <v>5225000</v>
      </c>
      <c r="T373" s="7">
        <f t="shared" si="59"/>
        <v>1583333.3333333333</v>
      </c>
      <c r="U373" s="7">
        <f t="shared" si="60"/>
        <v>7080000</v>
      </c>
      <c r="V373" s="7">
        <f t="shared" si="61"/>
        <v>0</v>
      </c>
      <c r="W373" s="7">
        <f t="shared" si="62"/>
        <v>0</v>
      </c>
      <c r="X373" s="7">
        <f t="shared" si="63"/>
        <v>0</v>
      </c>
    </row>
    <row r="374" spans="1:24">
      <c r="A374">
        <v>373</v>
      </c>
      <c r="B374" s="96" t="s">
        <v>3230</v>
      </c>
      <c r="C374" s="95">
        <v>40771</v>
      </c>
      <c r="D374" s="82">
        <v>4720000</v>
      </c>
      <c r="E374" s="82">
        <v>4720000</v>
      </c>
      <c r="F374" s="82">
        <v>4720000</v>
      </c>
      <c r="G374" s="82">
        <v>4720000</v>
      </c>
      <c r="I374" s="97">
        <v>0</v>
      </c>
      <c r="J374" s="97">
        <v>0</v>
      </c>
      <c r="K374" s="97">
        <v>0</v>
      </c>
      <c r="M374" s="7">
        <f t="shared" si="56"/>
        <v>0</v>
      </c>
      <c r="N374" s="7">
        <f t="shared" si="65"/>
        <v>0</v>
      </c>
      <c r="O374" s="7">
        <f t="shared" si="64"/>
        <v>-30000</v>
      </c>
      <c r="P374" s="99">
        <f t="shared" si="57"/>
        <v>-6.3157894736842104E-3</v>
      </c>
      <c r="Q374" s="99">
        <f t="shared" si="66"/>
        <v>3.3168982519049754E-2</v>
      </c>
      <c r="S374" s="7">
        <f t="shared" si="58"/>
        <v>5192000</v>
      </c>
      <c r="T374" s="7">
        <f t="shared" si="59"/>
        <v>1573333.3333333333</v>
      </c>
      <c r="U374" s="7">
        <f t="shared" si="60"/>
        <v>7055000</v>
      </c>
      <c r="V374" s="7">
        <f t="shared" si="61"/>
        <v>0</v>
      </c>
      <c r="W374" s="7">
        <f t="shared" si="62"/>
        <v>0</v>
      </c>
      <c r="X374" s="7">
        <f t="shared" si="63"/>
        <v>0</v>
      </c>
    </row>
    <row r="375" spans="1:24">
      <c r="A375">
        <v>374</v>
      </c>
      <c r="B375" s="96" t="s">
        <v>3229</v>
      </c>
      <c r="C375" s="95">
        <v>40772</v>
      </c>
      <c r="D375" s="82">
        <v>4840000</v>
      </c>
      <c r="E375" s="82">
        <v>4840000</v>
      </c>
      <c r="F375" s="82">
        <v>4840000</v>
      </c>
      <c r="G375" s="82">
        <v>4840000</v>
      </c>
      <c r="I375" s="97">
        <v>0</v>
      </c>
      <c r="J375" s="97">
        <v>0</v>
      </c>
      <c r="K375" s="97">
        <v>0</v>
      </c>
      <c r="M375" s="7">
        <f t="shared" si="56"/>
        <v>0</v>
      </c>
      <c r="N375" s="7">
        <f t="shared" si="65"/>
        <v>0</v>
      </c>
      <c r="O375" s="7">
        <f t="shared" si="64"/>
        <v>120000</v>
      </c>
      <c r="P375" s="99">
        <f t="shared" si="57"/>
        <v>2.5423728813559324E-2</v>
      </c>
      <c r="Q375" s="99">
        <f t="shared" si="66"/>
        <v>-1.6625067824199674E-2</v>
      </c>
      <c r="S375" s="7">
        <f t="shared" si="58"/>
        <v>5324000</v>
      </c>
      <c r="T375" s="7">
        <f t="shared" si="59"/>
        <v>1613333.3333333333</v>
      </c>
      <c r="U375" s="7">
        <f t="shared" si="60"/>
        <v>6960000</v>
      </c>
      <c r="V375" s="7">
        <f t="shared" si="61"/>
        <v>0</v>
      </c>
      <c r="W375" s="7">
        <f t="shared" si="62"/>
        <v>0</v>
      </c>
      <c r="X375" s="7">
        <f t="shared" si="63"/>
        <v>0</v>
      </c>
    </row>
    <row r="376" spans="1:24">
      <c r="A376">
        <v>375</v>
      </c>
      <c r="B376" s="96" t="s">
        <v>3228</v>
      </c>
      <c r="C376" s="95">
        <v>40773</v>
      </c>
      <c r="D376" s="82">
        <v>4900000</v>
      </c>
      <c r="E376" s="82">
        <v>4900000</v>
      </c>
      <c r="F376" s="82">
        <v>4900000</v>
      </c>
      <c r="G376" s="82">
        <v>4900000</v>
      </c>
      <c r="I376" s="98">
        <v>0</v>
      </c>
      <c r="J376" s="98">
        <v>0</v>
      </c>
      <c r="K376" s="98">
        <v>0</v>
      </c>
      <c r="M376" s="7">
        <f t="shared" si="56"/>
        <v>0</v>
      </c>
      <c r="N376" s="7">
        <f t="shared" si="65"/>
        <v>0</v>
      </c>
      <c r="O376" s="7">
        <f t="shared" si="64"/>
        <v>60000</v>
      </c>
      <c r="P376" s="99">
        <f t="shared" si="57"/>
        <v>1.2396694214876033E-2</v>
      </c>
      <c r="Q376" s="99">
        <f t="shared" si="66"/>
        <v>8.7986609893596496E-3</v>
      </c>
      <c r="S376" s="7">
        <f t="shared" si="58"/>
        <v>5390000</v>
      </c>
      <c r="T376" s="7">
        <f t="shared" si="59"/>
        <v>1633333.3333333333</v>
      </c>
      <c r="U376" s="7">
        <f t="shared" si="60"/>
        <v>7020000</v>
      </c>
      <c r="V376" s="7">
        <f t="shared" si="61"/>
        <v>0</v>
      </c>
      <c r="W376" s="7">
        <f t="shared" si="62"/>
        <v>0</v>
      </c>
      <c r="X376" s="7">
        <f t="shared" si="63"/>
        <v>0</v>
      </c>
    </row>
    <row r="377" spans="1:24">
      <c r="A377">
        <v>376</v>
      </c>
      <c r="B377" s="96" t="s">
        <v>3227</v>
      </c>
      <c r="C377" s="95">
        <v>40775</v>
      </c>
      <c r="D377" s="82">
        <v>4940000</v>
      </c>
      <c r="E377" s="82">
        <v>4940000</v>
      </c>
      <c r="F377" s="82">
        <v>4940000</v>
      </c>
      <c r="G377" s="82">
        <v>4940000</v>
      </c>
      <c r="I377" s="82">
        <f>G377*1.1</f>
        <v>5434000</v>
      </c>
      <c r="J377" s="82">
        <f>G377/3</f>
        <v>1646666.6666666667</v>
      </c>
      <c r="K377" s="7">
        <f>G645</f>
        <v>6990000</v>
      </c>
      <c r="L377" s="7">
        <f>K377-I377</f>
        <v>1556000</v>
      </c>
      <c r="M377" s="7">
        <f t="shared" si="56"/>
        <v>205833.33333333337</v>
      </c>
      <c r="N377" s="7">
        <f t="shared" si="65"/>
        <v>1761833.3333333335</v>
      </c>
      <c r="O377" s="7">
        <f t="shared" si="64"/>
        <v>40000</v>
      </c>
      <c r="P377" s="99">
        <f t="shared" si="57"/>
        <v>8.1632653061224497E-3</v>
      </c>
      <c r="Q377" s="99">
        <f t="shared" si="66"/>
        <v>1.0778688537569019E-2</v>
      </c>
      <c r="R377">
        <v>1</v>
      </c>
      <c r="S377" s="7">
        <f t="shared" si="58"/>
        <v>5434000</v>
      </c>
      <c r="T377" s="7">
        <f t="shared" si="59"/>
        <v>1646666.6666666667</v>
      </c>
      <c r="U377" s="7">
        <f t="shared" si="60"/>
        <v>6990000</v>
      </c>
      <c r="V377" s="7">
        <f t="shared" si="61"/>
        <v>1556000</v>
      </c>
      <c r="W377" s="7">
        <f t="shared" si="62"/>
        <v>205833.33333333337</v>
      </c>
      <c r="X377" s="7">
        <f t="shared" si="63"/>
        <v>1761833.3333333335</v>
      </c>
    </row>
    <row r="378" spans="1:24">
      <c r="A378">
        <v>377</v>
      </c>
      <c r="B378" s="96" t="s">
        <v>3226</v>
      </c>
      <c r="C378" s="95">
        <v>40776</v>
      </c>
      <c r="D378" s="82">
        <v>5170000</v>
      </c>
      <c r="E378" s="82">
        <v>5170000</v>
      </c>
      <c r="F378" s="82">
        <v>5170000</v>
      </c>
      <c r="G378" s="82">
        <v>5170000</v>
      </c>
      <c r="I378" s="97">
        <v>0</v>
      </c>
      <c r="J378" s="97">
        <v>0</v>
      </c>
      <c r="K378" s="97">
        <v>0</v>
      </c>
      <c r="M378" s="7">
        <f t="shared" si="56"/>
        <v>0</v>
      </c>
      <c r="N378" s="7">
        <f t="shared" si="65"/>
        <v>0</v>
      </c>
      <c r="O378" s="7">
        <f t="shared" si="64"/>
        <v>230000</v>
      </c>
      <c r="P378" s="99">
        <f t="shared" si="57"/>
        <v>4.6558704453441298E-2</v>
      </c>
      <c r="Q378" s="99">
        <f t="shared" si="66"/>
        <v>2.925123219420693E-2</v>
      </c>
      <c r="S378" s="7">
        <f t="shared" si="58"/>
        <v>5687000</v>
      </c>
      <c r="T378" s="7">
        <f t="shared" si="59"/>
        <v>1723333.3333333333</v>
      </c>
      <c r="U378" s="7">
        <f t="shared" si="60"/>
        <v>7110000</v>
      </c>
      <c r="V378" s="7">
        <f t="shared" si="61"/>
        <v>0</v>
      </c>
      <c r="W378" s="7">
        <f t="shared" si="62"/>
        <v>0</v>
      </c>
      <c r="X378" s="7">
        <f t="shared" si="63"/>
        <v>0</v>
      </c>
    </row>
    <row r="379" spans="1:24">
      <c r="A379">
        <v>378</v>
      </c>
      <c r="B379" s="96" t="s">
        <v>3225</v>
      </c>
      <c r="C379" s="95">
        <v>40778</v>
      </c>
      <c r="D379" s="82">
        <v>5330000</v>
      </c>
      <c r="E379" s="82">
        <v>5330000</v>
      </c>
      <c r="F379" s="82">
        <v>5330000</v>
      </c>
      <c r="G379" s="82">
        <v>5330000</v>
      </c>
      <c r="I379" s="97">
        <v>0</v>
      </c>
      <c r="J379" s="97">
        <v>0</v>
      </c>
      <c r="K379" s="97">
        <v>0</v>
      </c>
      <c r="M379" s="7">
        <f t="shared" si="56"/>
        <v>0</v>
      </c>
      <c r="N379" s="7">
        <f t="shared" si="65"/>
        <v>0</v>
      </c>
      <c r="O379" s="7">
        <f t="shared" si="64"/>
        <v>160000</v>
      </c>
      <c r="P379" s="99">
        <f t="shared" si="57"/>
        <v>3.0947775628626693E-2</v>
      </c>
      <c r="Q379" s="99">
        <f t="shared" si="66"/>
        <v>8.6226603314314892E-2</v>
      </c>
      <c r="S379" s="7">
        <f t="shared" si="58"/>
        <v>5863000.0000000009</v>
      </c>
      <c r="T379" s="7">
        <f t="shared" si="59"/>
        <v>1776666.6666666667</v>
      </c>
      <c r="U379" s="7">
        <f t="shared" si="60"/>
        <v>7180000</v>
      </c>
      <c r="V379" s="7">
        <f t="shared" si="61"/>
        <v>0</v>
      </c>
      <c r="W379" s="7">
        <f t="shared" si="62"/>
        <v>0</v>
      </c>
      <c r="X379" s="7">
        <f t="shared" si="63"/>
        <v>0</v>
      </c>
    </row>
    <row r="380" spans="1:24">
      <c r="A380">
        <v>379</v>
      </c>
      <c r="B380" s="96" t="s">
        <v>3224</v>
      </c>
      <c r="C380" s="95">
        <v>40779</v>
      </c>
      <c r="D380" s="82">
        <v>5580000</v>
      </c>
      <c r="E380" s="82">
        <v>5580000</v>
      </c>
      <c r="F380" s="82">
        <v>5580000</v>
      </c>
      <c r="G380" s="82">
        <v>5580000</v>
      </c>
      <c r="I380" s="97">
        <v>0</v>
      </c>
      <c r="J380" s="97">
        <v>0</v>
      </c>
      <c r="K380" s="97">
        <v>0</v>
      </c>
      <c r="M380" s="7">
        <f t="shared" si="56"/>
        <v>0</v>
      </c>
      <c r="N380" s="7">
        <f t="shared" si="65"/>
        <v>0</v>
      </c>
      <c r="O380" s="7">
        <f t="shared" si="64"/>
        <v>250000</v>
      </c>
      <c r="P380" s="99">
        <f t="shared" si="57"/>
        <v>4.6904315196998121E-2</v>
      </c>
      <c r="Q380" s="99">
        <f t="shared" si="66"/>
        <v>0.1234901684166258</v>
      </c>
      <c r="S380" s="7">
        <f t="shared" si="58"/>
        <v>6138000.0000000009</v>
      </c>
      <c r="T380" s="7">
        <f t="shared" si="59"/>
        <v>1860000</v>
      </c>
      <c r="U380" s="7">
        <f t="shared" si="60"/>
        <v>7370000</v>
      </c>
      <c r="V380" s="7">
        <f t="shared" si="61"/>
        <v>0</v>
      </c>
      <c r="W380" s="7">
        <f t="shared" si="62"/>
        <v>0</v>
      </c>
      <c r="X380" s="7">
        <f t="shared" si="63"/>
        <v>0</v>
      </c>
    </row>
    <row r="381" spans="1:24">
      <c r="A381">
        <v>380</v>
      </c>
      <c r="B381" s="96" t="s">
        <v>3223</v>
      </c>
      <c r="C381" s="95">
        <v>40780</v>
      </c>
      <c r="D381" s="82">
        <v>5570000</v>
      </c>
      <c r="E381" s="82">
        <v>5570000</v>
      </c>
      <c r="F381" s="82">
        <v>5570000</v>
      </c>
      <c r="G381" s="82">
        <v>5570000</v>
      </c>
      <c r="I381" s="98">
        <v>0</v>
      </c>
      <c r="J381" s="98">
        <v>0</v>
      </c>
      <c r="K381" s="98">
        <v>0</v>
      </c>
      <c r="M381" s="7">
        <f t="shared" si="56"/>
        <v>0</v>
      </c>
      <c r="N381" s="7">
        <f t="shared" si="65"/>
        <v>0</v>
      </c>
      <c r="O381" s="7">
        <f t="shared" si="64"/>
        <v>-10000</v>
      </c>
      <c r="P381" s="99">
        <f t="shared" si="57"/>
        <v>-1.7921146953405018E-3</v>
      </c>
      <c r="Q381" s="99">
        <f t="shared" si="66"/>
        <v>0.14497075480006458</v>
      </c>
      <c r="S381" s="7">
        <f t="shared" si="58"/>
        <v>6127000.0000000009</v>
      </c>
      <c r="T381" s="7">
        <f t="shared" si="59"/>
        <v>1856666.6666666667</v>
      </c>
      <c r="U381" s="7">
        <f t="shared" si="60"/>
        <v>7380000</v>
      </c>
      <c r="V381" s="7">
        <f t="shared" si="61"/>
        <v>0</v>
      </c>
      <c r="W381" s="7">
        <f t="shared" si="62"/>
        <v>0</v>
      </c>
      <c r="X381" s="7">
        <f t="shared" si="63"/>
        <v>0</v>
      </c>
    </row>
    <row r="382" spans="1:24">
      <c r="A382">
        <v>381</v>
      </c>
      <c r="B382" s="96" t="s">
        <v>3222</v>
      </c>
      <c r="C382" s="95">
        <v>40782</v>
      </c>
      <c r="D382" s="82">
        <v>5220000</v>
      </c>
      <c r="E382" s="82">
        <v>5220000</v>
      </c>
      <c r="F382" s="82">
        <v>5220000</v>
      </c>
      <c r="G382" s="82">
        <v>5220000</v>
      </c>
      <c r="I382" s="82">
        <f>G382*1.1</f>
        <v>5742000</v>
      </c>
      <c r="J382" s="82">
        <f>G382/3</f>
        <v>1740000</v>
      </c>
      <c r="K382" s="7">
        <f>G650</f>
        <v>7280000</v>
      </c>
      <c r="L382" s="7">
        <f>K382-I382</f>
        <v>1538000</v>
      </c>
      <c r="M382" s="7">
        <f t="shared" si="56"/>
        <v>217500</v>
      </c>
      <c r="N382" s="7">
        <f t="shared" si="65"/>
        <v>1755500</v>
      </c>
      <c r="O382" s="7">
        <f t="shared" si="64"/>
        <v>-350000</v>
      </c>
      <c r="P382" s="99">
        <f>O382/G381</f>
        <v>-6.283662477558348E-2</v>
      </c>
      <c r="Q382" s="99">
        <f t="shared" si="66"/>
        <v>0.13078194588984807</v>
      </c>
      <c r="R382">
        <v>1</v>
      </c>
      <c r="S382" s="7">
        <f t="shared" si="58"/>
        <v>5742000</v>
      </c>
      <c r="T382" s="7">
        <f t="shared" si="59"/>
        <v>1740000</v>
      </c>
      <c r="U382" s="7">
        <f t="shared" si="60"/>
        <v>7280000</v>
      </c>
      <c r="V382" s="7">
        <f t="shared" si="61"/>
        <v>1538000</v>
      </c>
      <c r="W382" s="7">
        <f t="shared" si="62"/>
        <v>217500</v>
      </c>
      <c r="X382" s="7">
        <f t="shared" si="63"/>
        <v>1755500</v>
      </c>
    </row>
    <row r="383" spans="1:24">
      <c r="A383">
        <v>382</v>
      </c>
      <c r="B383" s="96" t="s">
        <v>3221</v>
      </c>
      <c r="C383" s="95">
        <v>40783</v>
      </c>
      <c r="D383" s="82">
        <v>5600000</v>
      </c>
      <c r="E383" s="82">
        <v>5600000</v>
      </c>
      <c r="F383" s="82">
        <v>5600000</v>
      </c>
      <c r="G383" s="82">
        <v>5600000</v>
      </c>
      <c r="I383" s="97">
        <v>0</v>
      </c>
      <c r="J383" s="97">
        <v>0</v>
      </c>
      <c r="K383" s="97">
        <v>0</v>
      </c>
      <c r="M383" s="7">
        <f t="shared" si="56"/>
        <v>0</v>
      </c>
      <c r="N383" s="7">
        <f t="shared" si="65"/>
        <v>0</v>
      </c>
      <c r="O383" s="7">
        <f t="shared" si="64"/>
        <v>380000</v>
      </c>
      <c r="P383" s="99">
        <f t="shared" si="57"/>
        <v>7.2796934865900387E-2</v>
      </c>
      <c r="Q383" s="99">
        <f t="shared" si="66"/>
        <v>5.9782055808142137E-2</v>
      </c>
      <c r="S383" s="7">
        <f t="shared" si="58"/>
        <v>6160000.0000000009</v>
      </c>
      <c r="T383" s="7">
        <f t="shared" si="59"/>
        <v>1866666.6666666667</v>
      </c>
      <c r="U383" s="7">
        <f t="shared" si="60"/>
        <v>7350000</v>
      </c>
      <c r="V383" s="7">
        <f t="shared" si="61"/>
        <v>0</v>
      </c>
      <c r="W383" s="7">
        <f t="shared" si="62"/>
        <v>0</v>
      </c>
      <c r="X383" s="7">
        <f t="shared" si="63"/>
        <v>0</v>
      </c>
    </row>
    <row r="384" spans="1:24">
      <c r="A384">
        <v>383</v>
      </c>
      <c r="B384" s="96" t="s">
        <v>3220</v>
      </c>
      <c r="C384" s="95">
        <v>40784</v>
      </c>
      <c r="D384" s="82">
        <v>5540000</v>
      </c>
      <c r="E384" s="82">
        <v>5540000</v>
      </c>
      <c r="F384" s="82">
        <v>5540000</v>
      </c>
      <c r="G384" s="82">
        <v>5540000</v>
      </c>
      <c r="I384" s="97">
        <v>0</v>
      </c>
      <c r="J384" s="97">
        <v>0</v>
      </c>
      <c r="K384" s="97">
        <v>0</v>
      </c>
      <c r="M384" s="7">
        <f t="shared" si="56"/>
        <v>0</v>
      </c>
      <c r="N384" s="7">
        <f t="shared" si="65"/>
        <v>0</v>
      </c>
      <c r="O384" s="7">
        <f t="shared" si="64"/>
        <v>-60000</v>
      </c>
      <c r="P384" s="99">
        <f t="shared" si="57"/>
        <v>-1.0714285714285714E-2</v>
      </c>
      <c r="Q384" s="99">
        <f t="shared" si="66"/>
        <v>8.6020286220601219E-2</v>
      </c>
      <c r="S384" s="7">
        <f t="shared" si="58"/>
        <v>6094000.0000000009</v>
      </c>
      <c r="T384" s="7">
        <f t="shared" si="59"/>
        <v>1846666.6666666667</v>
      </c>
      <c r="U384" s="7">
        <f t="shared" si="60"/>
        <v>7400000</v>
      </c>
      <c r="V384" s="7">
        <f t="shared" si="61"/>
        <v>0</v>
      </c>
      <c r="W384" s="7">
        <f t="shared" si="62"/>
        <v>0</v>
      </c>
      <c r="X384" s="7">
        <f t="shared" si="63"/>
        <v>0</v>
      </c>
    </row>
    <row r="385" spans="1:24">
      <c r="A385">
        <v>384</v>
      </c>
      <c r="B385" s="96" t="s">
        <v>3219</v>
      </c>
      <c r="C385" s="95">
        <v>40785</v>
      </c>
      <c r="D385" s="82">
        <v>5560000</v>
      </c>
      <c r="E385" s="82">
        <v>5560000</v>
      </c>
      <c r="F385" s="82">
        <v>5560000</v>
      </c>
      <c r="G385" s="82">
        <v>5560000</v>
      </c>
      <c r="I385" s="97">
        <v>0</v>
      </c>
      <c r="J385" s="97">
        <v>0</v>
      </c>
      <c r="K385" s="97">
        <v>0</v>
      </c>
      <c r="M385" s="7">
        <f t="shared" si="56"/>
        <v>0</v>
      </c>
      <c r="N385" s="7">
        <f t="shared" si="65"/>
        <v>0</v>
      </c>
      <c r="O385" s="7">
        <f t="shared" si="64"/>
        <v>20000</v>
      </c>
      <c r="P385" s="99">
        <f t="shared" si="57"/>
        <v>3.6101083032490976E-3</v>
      </c>
      <c r="Q385" s="99">
        <f t="shared" si="66"/>
        <v>4.4358224877688812E-2</v>
      </c>
      <c r="S385" s="7">
        <f t="shared" si="58"/>
        <v>6116000.0000000009</v>
      </c>
      <c r="T385" s="7">
        <f t="shared" si="59"/>
        <v>1853333.3333333333</v>
      </c>
      <c r="U385" s="7">
        <f t="shared" si="60"/>
        <v>7430000</v>
      </c>
      <c r="V385" s="7">
        <f t="shared" si="61"/>
        <v>0</v>
      </c>
      <c r="W385" s="7">
        <f t="shared" si="62"/>
        <v>0</v>
      </c>
      <c r="X385" s="7">
        <f t="shared" si="63"/>
        <v>0</v>
      </c>
    </row>
    <row r="386" spans="1:24">
      <c r="A386">
        <v>385</v>
      </c>
      <c r="B386" s="96" t="s">
        <v>3218</v>
      </c>
      <c r="C386" s="95">
        <v>40789</v>
      </c>
      <c r="D386" s="82">
        <v>5520000</v>
      </c>
      <c r="E386" s="82">
        <v>5520000</v>
      </c>
      <c r="F386" s="82">
        <v>5520000</v>
      </c>
      <c r="G386" s="82">
        <v>5520000</v>
      </c>
      <c r="I386" s="98">
        <v>0</v>
      </c>
      <c r="J386" s="98">
        <v>0</v>
      </c>
      <c r="K386" s="98">
        <v>0</v>
      </c>
      <c r="M386" s="7">
        <f t="shared" ref="M386:M449" si="67">J386*$AI$6/200</f>
        <v>0</v>
      </c>
      <c r="N386" s="7">
        <f t="shared" si="65"/>
        <v>0</v>
      </c>
      <c r="O386" s="7">
        <f t="shared" si="64"/>
        <v>-40000</v>
      </c>
      <c r="P386" s="99">
        <f t="shared" si="57"/>
        <v>-7.1942446043165471E-3</v>
      </c>
      <c r="Q386" s="99">
        <f t="shared" si="66"/>
        <v>1.0640179839397851E-3</v>
      </c>
      <c r="S386" s="7">
        <f t="shared" si="58"/>
        <v>6072000.0000000009</v>
      </c>
      <c r="T386" s="7">
        <f t="shared" si="59"/>
        <v>1840000</v>
      </c>
      <c r="U386" s="7">
        <f t="shared" si="60"/>
        <v>7460000</v>
      </c>
      <c r="V386" s="7">
        <f t="shared" si="61"/>
        <v>0</v>
      </c>
      <c r="W386" s="7">
        <f t="shared" si="62"/>
        <v>0</v>
      </c>
      <c r="X386" s="7">
        <f t="shared" si="63"/>
        <v>0</v>
      </c>
    </row>
    <row r="387" spans="1:24">
      <c r="A387">
        <v>386</v>
      </c>
      <c r="B387" s="96" t="s">
        <v>3217</v>
      </c>
      <c r="C387" s="95">
        <v>40790</v>
      </c>
      <c r="D387" s="82">
        <v>5650000</v>
      </c>
      <c r="E387" s="82">
        <v>5650000</v>
      </c>
      <c r="F387" s="82">
        <v>5650000</v>
      </c>
      <c r="G387" s="82">
        <v>5650000</v>
      </c>
      <c r="I387" s="82">
        <f>G387*1.1</f>
        <v>6215000.0000000009</v>
      </c>
      <c r="J387" s="82">
        <f>G387/3</f>
        <v>1883333.3333333333</v>
      </c>
      <c r="K387" s="7">
        <f>G655</f>
        <v>7390000</v>
      </c>
      <c r="L387" s="7">
        <f>K387-I387</f>
        <v>1174999.9999999991</v>
      </c>
      <c r="M387" s="7">
        <f t="shared" si="67"/>
        <v>235416.66666666663</v>
      </c>
      <c r="N387" s="7">
        <f t="shared" si="65"/>
        <v>1410416.6666666656</v>
      </c>
      <c r="O387" s="7">
        <f t="shared" si="64"/>
        <v>130000</v>
      </c>
      <c r="P387" s="99">
        <f t="shared" ref="P387:P450" si="68">O387/G386</f>
        <v>2.355072463768116E-2</v>
      </c>
      <c r="Q387" s="99">
        <f t="shared" si="66"/>
        <v>-4.3381119250362572E-3</v>
      </c>
      <c r="R387">
        <v>1</v>
      </c>
      <c r="S387" s="7">
        <f t="shared" ref="S387:S450" si="69">G387*1.1</f>
        <v>6215000.0000000009</v>
      </c>
      <c r="T387" s="7">
        <f t="shared" ref="T387:T450" si="70">G387/3</f>
        <v>1883333.3333333333</v>
      </c>
      <c r="U387" s="7">
        <f t="shared" ref="U387:U450" si="71">G655</f>
        <v>7390000</v>
      </c>
      <c r="V387" s="7">
        <f t="shared" ref="V387:V450" si="72">(U387-S387)*R387</f>
        <v>1174999.9999999991</v>
      </c>
      <c r="W387" s="7">
        <f t="shared" ref="W387:W450" si="73">(T387*$AI$6/200)*R387</f>
        <v>235416.66666666663</v>
      </c>
      <c r="X387" s="7">
        <f t="shared" ref="X387:X450" si="74">V387+W387</f>
        <v>1410416.6666666656</v>
      </c>
    </row>
    <row r="388" spans="1:24">
      <c r="A388">
        <v>387</v>
      </c>
      <c r="B388" s="96" t="s">
        <v>3216</v>
      </c>
      <c r="C388" s="95">
        <v>40791</v>
      </c>
      <c r="D388" s="82">
        <v>5630000</v>
      </c>
      <c r="E388" s="82">
        <v>5630000</v>
      </c>
      <c r="F388" s="82">
        <v>5630000</v>
      </c>
      <c r="G388" s="82">
        <v>5630000</v>
      </c>
      <c r="I388" s="97">
        <v>0</v>
      </c>
      <c r="J388" s="97">
        <v>0</v>
      </c>
      <c r="K388" s="97">
        <v>0</v>
      </c>
      <c r="M388" s="7">
        <f t="shared" si="67"/>
        <v>0</v>
      </c>
      <c r="N388" s="7">
        <f t="shared" si="65"/>
        <v>0</v>
      </c>
      <c r="O388" s="7">
        <f t="shared" ref="O388:O451" si="75">G388-G387</f>
        <v>-20000</v>
      </c>
      <c r="P388" s="99">
        <f t="shared" si="68"/>
        <v>-3.5398230088495575E-3</v>
      </c>
      <c r="Q388" s="99">
        <f t="shared" si="66"/>
        <v>8.2049237488228371E-2</v>
      </c>
      <c r="S388" s="7">
        <f t="shared" si="69"/>
        <v>6193000.0000000009</v>
      </c>
      <c r="T388" s="7">
        <f t="shared" si="70"/>
        <v>1876666.6666666667</v>
      </c>
      <c r="U388" s="7">
        <f t="shared" si="71"/>
        <v>7490000</v>
      </c>
      <c r="V388" s="7">
        <f t="shared" si="72"/>
        <v>0</v>
      </c>
      <c r="W388" s="7">
        <f t="shared" si="73"/>
        <v>0</v>
      </c>
      <c r="X388" s="7">
        <f t="shared" si="74"/>
        <v>0</v>
      </c>
    </row>
    <row r="389" spans="1:24">
      <c r="A389">
        <v>388</v>
      </c>
      <c r="B389" s="96" t="s">
        <v>3215</v>
      </c>
      <c r="C389" s="95">
        <v>40792</v>
      </c>
      <c r="D389" s="82">
        <v>5750000</v>
      </c>
      <c r="E389" s="82">
        <v>5750000</v>
      </c>
      <c r="F389" s="82">
        <v>5750000</v>
      </c>
      <c r="G389" s="82">
        <v>5750000</v>
      </c>
      <c r="I389" s="97">
        <v>0</v>
      </c>
      <c r="J389" s="97">
        <v>0</v>
      </c>
      <c r="K389" s="97">
        <v>0</v>
      </c>
      <c r="M389" s="7">
        <f t="shared" si="67"/>
        <v>0</v>
      </c>
      <c r="N389" s="7">
        <f t="shared" si="65"/>
        <v>0</v>
      </c>
      <c r="O389" s="7">
        <f t="shared" si="75"/>
        <v>120000</v>
      </c>
      <c r="P389" s="99">
        <f t="shared" si="68"/>
        <v>2.1314387211367674E-2</v>
      </c>
      <c r="Q389" s="99">
        <f t="shared" si="66"/>
        <v>5.7124796134784377E-3</v>
      </c>
      <c r="S389" s="7">
        <f t="shared" si="69"/>
        <v>6325000.0000000009</v>
      </c>
      <c r="T389" s="7">
        <f t="shared" si="70"/>
        <v>1916666.6666666667</v>
      </c>
      <c r="U389" s="7">
        <f t="shared" si="71"/>
        <v>7680000</v>
      </c>
      <c r="V389" s="7">
        <f t="shared" si="72"/>
        <v>0</v>
      </c>
      <c r="W389" s="7">
        <f t="shared" si="73"/>
        <v>0</v>
      </c>
      <c r="X389" s="7">
        <f t="shared" si="74"/>
        <v>0</v>
      </c>
    </row>
    <row r="390" spans="1:24">
      <c r="A390">
        <v>389</v>
      </c>
      <c r="B390" s="96" t="s">
        <v>3214</v>
      </c>
      <c r="C390" s="95">
        <v>40793</v>
      </c>
      <c r="D390" s="82">
        <v>5960000</v>
      </c>
      <c r="E390" s="82">
        <v>5960000</v>
      </c>
      <c r="F390" s="82">
        <v>5960000</v>
      </c>
      <c r="G390" s="82">
        <v>5960000</v>
      </c>
      <c r="I390" s="97">
        <v>0</v>
      </c>
      <c r="J390" s="97">
        <v>0</v>
      </c>
      <c r="K390" s="97">
        <v>0</v>
      </c>
      <c r="M390" s="7">
        <f t="shared" si="67"/>
        <v>0</v>
      </c>
      <c r="N390" s="7">
        <f t="shared" si="65"/>
        <v>0</v>
      </c>
      <c r="O390" s="7">
        <f t="shared" si="75"/>
        <v>210000</v>
      </c>
      <c r="P390" s="99">
        <f t="shared" si="68"/>
        <v>3.6521739130434785E-2</v>
      </c>
      <c r="Q390" s="99">
        <f t="shared" si="66"/>
        <v>3.7741152539131823E-2</v>
      </c>
      <c r="S390" s="7">
        <f t="shared" si="69"/>
        <v>6556000.0000000009</v>
      </c>
      <c r="T390" s="7">
        <f t="shared" si="70"/>
        <v>1986666.6666666667</v>
      </c>
      <c r="U390" s="7">
        <f t="shared" si="71"/>
        <v>7840000</v>
      </c>
      <c r="V390" s="7">
        <f t="shared" si="72"/>
        <v>0</v>
      </c>
      <c r="W390" s="7">
        <f t="shared" si="73"/>
        <v>0</v>
      </c>
      <c r="X390" s="7">
        <f t="shared" si="74"/>
        <v>0</v>
      </c>
    </row>
    <row r="391" spans="1:24">
      <c r="A391">
        <v>390</v>
      </c>
      <c r="B391" s="96" t="s">
        <v>3213</v>
      </c>
      <c r="C391" s="95">
        <v>40794</v>
      </c>
      <c r="D391" s="82">
        <v>5900000</v>
      </c>
      <c r="E391" s="82">
        <v>5900000</v>
      </c>
      <c r="F391" s="82">
        <v>5900000</v>
      </c>
      <c r="G391" s="82">
        <v>5900000</v>
      </c>
      <c r="I391" s="98">
        <v>0</v>
      </c>
      <c r="J391" s="98">
        <v>0</v>
      </c>
      <c r="K391" s="98">
        <v>0</v>
      </c>
      <c r="M391" s="7">
        <f t="shared" si="67"/>
        <v>0</v>
      </c>
      <c r="N391" s="7">
        <f t="shared" si="65"/>
        <v>0</v>
      </c>
      <c r="O391" s="7">
        <f t="shared" si="75"/>
        <v>-60000</v>
      </c>
      <c r="P391" s="99">
        <f t="shared" si="68"/>
        <v>-1.0067114093959731E-2</v>
      </c>
      <c r="Q391" s="99">
        <f t="shared" si="66"/>
        <v>7.0652783366317515E-2</v>
      </c>
      <c r="S391" s="7">
        <f t="shared" si="69"/>
        <v>6490000.0000000009</v>
      </c>
      <c r="T391" s="7">
        <f t="shared" si="70"/>
        <v>1966666.6666666667</v>
      </c>
      <c r="U391" s="7">
        <f t="shared" si="71"/>
        <v>7630000</v>
      </c>
      <c r="V391" s="7">
        <f t="shared" si="72"/>
        <v>0</v>
      </c>
      <c r="W391" s="7">
        <f t="shared" si="73"/>
        <v>0</v>
      </c>
      <c r="X391" s="7">
        <f t="shared" si="74"/>
        <v>0</v>
      </c>
    </row>
    <row r="392" spans="1:24">
      <c r="A392">
        <v>391</v>
      </c>
      <c r="B392" s="96" t="s">
        <v>3212</v>
      </c>
      <c r="C392" s="95">
        <v>40796</v>
      </c>
      <c r="D392" s="82">
        <v>5960000</v>
      </c>
      <c r="E392" s="82">
        <v>5960000</v>
      </c>
      <c r="F392" s="82">
        <v>5960000</v>
      </c>
      <c r="G392" s="82">
        <v>5960000</v>
      </c>
      <c r="I392" s="82">
        <f>G392*1.1</f>
        <v>6556000.0000000009</v>
      </c>
      <c r="J392" s="82">
        <f>G392/3</f>
        <v>1986666.6666666667</v>
      </c>
      <c r="K392" s="7">
        <f>G660</f>
        <v>7670000</v>
      </c>
      <c r="L392" s="7">
        <f>K392-I392</f>
        <v>1113999.9999999991</v>
      </c>
      <c r="M392" s="7">
        <f t="shared" si="67"/>
        <v>248333.33333333337</v>
      </c>
      <c r="N392" s="7">
        <f t="shared" ref="N392:N455" si="76">L392+M392</f>
        <v>1362333.3333333326</v>
      </c>
      <c r="O392" s="7">
        <f t="shared" si="75"/>
        <v>60000</v>
      </c>
      <c r="P392" s="99">
        <f t="shared" si="68"/>
        <v>1.0169491525423728E-2</v>
      </c>
      <c r="Q392" s="99">
        <f t="shared" ref="Q392:Q455" si="77">SUM(P387:P391)</f>
        <v>6.7779913876674328E-2</v>
      </c>
      <c r="R392">
        <v>1</v>
      </c>
      <c r="S392" s="7">
        <f t="shared" si="69"/>
        <v>6556000.0000000009</v>
      </c>
      <c r="T392" s="7">
        <f t="shared" si="70"/>
        <v>1986666.6666666667</v>
      </c>
      <c r="U392" s="7">
        <f t="shared" si="71"/>
        <v>7670000</v>
      </c>
      <c r="V392" s="7">
        <f t="shared" si="72"/>
        <v>1113999.9999999991</v>
      </c>
      <c r="W392" s="7">
        <f t="shared" si="73"/>
        <v>248333.33333333337</v>
      </c>
      <c r="X392" s="7">
        <f t="shared" si="74"/>
        <v>1362333.3333333326</v>
      </c>
    </row>
    <row r="393" spans="1:24">
      <c r="A393">
        <v>392</v>
      </c>
      <c r="B393" s="96" t="s">
        <v>3211</v>
      </c>
      <c r="C393" s="95">
        <v>40797</v>
      </c>
      <c r="D393" s="82">
        <v>6050000</v>
      </c>
      <c r="E393" s="82">
        <v>6050000</v>
      </c>
      <c r="F393" s="82">
        <v>6050000</v>
      </c>
      <c r="G393" s="82">
        <v>6050000</v>
      </c>
      <c r="I393" s="97">
        <v>0</v>
      </c>
      <c r="J393" s="97">
        <v>0</v>
      </c>
      <c r="K393" s="97">
        <v>0</v>
      </c>
      <c r="M393" s="7">
        <f t="shared" si="67"/>
        <v>0</v>
      </c>
      <c r="N393" s="7">
        <f t="shared" si="76"/>
        <v>0</v>
      </c>
      <c r="O393" s="7">
        <f t="shared" si="75"/>
        <v>90000</v>
      </c>
      <c r="P393" s="99">
        <f t="shared" si="68"/>
        <v>1.5100671140939598E-2</v>
      </c>
      <c r="Q393" s="99">
        <f t="shared" si="77"/>
        <v>5.4398680764416903E-2</v>
      </c>
      <c r="S393" s="7">
        <f t="shared" si="69"/>
        <v>6655000.0000000009</v>
      </c>
      <c r="T393" s="7">
        <f t="shared" si="70"/>
        <v>2016666.6666666667</v>
      </c>
      <c r="U393" s="7">
        <f t="shared" si="71"/>
        <v>7840000</v>
      </c>
      <c r="V393" s="7">
        <f t="shared" si="72"/>
        <v>0</v>
      </c>
      <c r="W393" s="7">
        <f t="shared" si="73"/>
        <v>0</v>
      </c>
      <c r="X393" s="7">
        <f t="shared" si="74"/>
        <v>0</v>
      </c>
    </row>
    <row r="394" spans="1:24">
      <c r="A394">
        <v>393</v>
      </c>
      <c r="B394" s="96" t="s">
        <v>3210</v>
      </c>
      <c r="C394" s="95">
        <v>40798</v>
      </c>
      <c r="D394" s="82">
        <v>6150000</v>
      </c>
      <c r="E394" s="82">
        <v>6150000</v>
      </c>
      <c r="F394" s="82">
        <v>6150000</v>
      </c>
      <c r="G394" s="82">
        <v>6150000</v>
      </c>
      <c r="I394" s="97">
        <v>0</v>
      </c>
      <c r="J394" s="97">
        <v>0</v>
      </c>
      <c r="K394" s="97">
        <v>0</v>
      </c>
      <c r="M394" s="7">
        <f t="shared" si="67"/>
        <v>0</v>
      </c>
      <c r="N394" s="7">
        <f t="shared" si="76"/>
        <v>0</v>
      </c>
      <c r="O394" s="7">
        <f t="shared" si="75"/>
        <v>100000</v>
      </c>
      <c r="P394" s="99">
        <f t="shared" si="68"/>
        <v>1.6528925619834711E-2</v>
      </c>
      <c r="Q394" s="99">
        <f t="shared" si="77"/>
        <v>7.3039174914206056E-2</v>
      </c>
      <c r="S394" s="7">
        <f t="shared" si="69"/>
        <v>6765000.0000000009</v>
      </c>
      <c r="T394" s="7">
        <f t="shared" si="70"/>
        <v>2050000</v>
      </c>
      <c r="U394" s="7">
        <f t="shared" si="71"/>
        <v>7920000</v>
      </c>
      <c r="V394" s="7">
        <f t="shared" si="72"/>
        <v>0</v>
      </c>
      <c r="W394" s="7">
        <f t="shared" si="73"/>
        <v>0</v>
      </c>
      <c r="X394" s="7">
        <f t="shared" si="74"/>
        <v>0</v>
      </c>
    </row>
    <row r="395" spans="1:24">
      <c r="A395">
        <v>394</v>
      </c>
      <c r="B395" s="96" t="s">
        <v>3209</v>
      </c>
      <c r="C395" s="95">
        <v>40799</v>
      </c>
      <c r="D395" s="82">
        <v>6400000</v>
      </c>
      <c r="E395" s="82">
        <v>6400000</v>
      </c>
      <c r="F395" s="82">
        <v>6400000</v>
      </c>
      <c r="G395" s="82">
        <v>6400000</v>
      </c>
      <c r="I395" s="97">
        <v>0</v>
      </c>
      <c r="J395" s="97">
        <v>0</v>
      </c>
      <c r="K395" s="97">
        <v>0</v>
      </c>
      <c r="M395" s="7">
        <f t="shared" si="67"/>
        <v>0</v>
      </c>
      <c r="N395" s="7">
        <f t="shared" si="76"/>
        <v>0</v>
      </c>
      <c r="O395" s="7">
        <f t="shared" si="75"/>
        <v>250000</v>
      </c>
      <c r="P395" s="99">
        <f t="shared" si="68"/>
        <v>4.065040650406504E-2</v>
      </c>
      <c r="Q395" s="99">
        <f t="shared" si="77"/>
        <v>6.825371332267309E-2</v>
      </c>
      <c r="S395" s="7">
        <f t="shared" si="69"/>
        <v>7040000.0000000009</v>
      </c>
      <c r="T395" s="7">
        <f t="shared" si="70"/>
        <v>2133333.3333333335</v>
      </c>
      <c r="U395" s="7">
        <f t="shared" si="71"/>
        <v>7890000</v>
      </c>
      <c r="V395" s="7">
        <f t="shared" si="72"/>
        <v>0</v>
      </c>
      <c r="W395" s="7">
        <f t="shared" si="73"/>
        <v>0</v>
      </c>
      <c r="X395" s="7">
        <f t="shared" si="74"/>
        <v>0</v>
      </c>
    </row>
    <row r="396" spans="1:24">
      <c r="A396">
        <v>395</v>
      </c>
      <c r="B396" s="96" t="s">
        <v>3208</v>
      </c>
      <c r="C396" s="95">
        <v>40800</v>
      </c>
      <c r="D396" s="82">
        <v>6100000</v>
      </c>
      <c r="E396" s="82">
        <v>6100000</v>
      </c>
      <c r="F396" s="82">
        <v>6100000</v>
      </c>
      <c r="G396" s="82">
        <v>6100000</v>
      </c>
      <c r="I396" s="98">
        <v>0</v>
      </c>
      <c r="J396" s="98">
        <v>0</v>
      </c>
      <c r="K396" s="98">
        <v>0</v>
      </c>
      <c r="M396" s="7">
        <f t="shared" si="67"/>
        <v>0</v>
      </c>
      <c r="N396" s="7">
        <f t="shared" si="76"/>
        <v>0</v>
      </c>
      <c r="O396" s="7">
        <f t="shared" si="75"/>
        <v>-300000</v>
      </c>
      <c r="P396" s="99">
        <f t="shared" si="68"/>
        <v>-4.6875E-2</v>
      </c>
      <c r="Q396" s="99">
        <f t="shared" si="77"/>
        <v>7.2382380696303344E-2</v>
      </c>
      <c r="S396" s="7">
        <f t="shared" si="69"/>
        <v>6710000.0000000009</v>
      </c>
      <c r="T396" s="7">
        <f t="shared" si="70"/>
        <v>2033333.3333333333</v>
      </c>
      <c r="U396" s="7">
        <f t="shared" si="71"/>
        <v>7845000</v>
      </c>
      <c r="V396" s="7">
        <f t="shared" si="72"/>
        <v>0</v>
      </c>
      <c r="W396" s="7">
        <f t="shared" si="73"/>
        <v>0</v>
      </c>
      <c r="X396" s="7">
        <f t="shared" si="74"/>
        <v>0</v>
      </c>
    </row>
    <row r="397" spans="1:24">
      <c r="A397">
        <v>396</v>
      </c>
      <c r="B397" s="96" t="s">
        <v>3207</v>
      </c>
      <c r="C397" s="95">
        <v>40801</v>
      </c>
      <c r="D397" s="82">
        <v>6000000</v>
      </c>
      <c r="E397" s="82">
        <v>6000000</v>
      </c>
      <c r="F397" s="82">
        <v>6000000</v>
      </c>
      <c r="G397" s="82">
        <v>6000000</v>
      </c>
      <c r="I397" s="82">
        <f>G397*1.1</f>
        <v>6600000.0000000009</v>
      </c>
      <c r="J397" s="82">
        <f>G397/3</f>
        <v>2000000</v>
      </c>
      <c r="K397" s="7">
        <f>G665</f>
        <v>7770000</v>
      </c>
      <c r="L397" s="7">
        <f>K397-I397</f>
        <v>1169999.9999999991</v>
      </c>
      <c r="M397" s="7">
        <f t="shared" si="67"/>
        <v>250000</v>
      </c>
      <c r="N397" s="7">
        <f t="shared" si="76"/>
        <v>1419999.9999999991</v>
      </c>
      <c r="O397" s="7">
        <f t="shared" si="75"/>
        <v>-100000</v>
      </c>
      <c r="P397" s="99">
        <f t="shared" si="68"/>
        <v>-1.6393442622950821E-2</v>
      </c>
      <c r="Q397" s="99">
        <f t="shared" si="77"/>
        <v>3.5574494790263075E-2</v>
      </c>
      <c r="R397">
        <v>1</v>
      </c>
      <c r="S397" s="7">
        <f t="shared" si="69"/>
        <v>6600000.0000000009</v>
      </c>
      <c r="T397" s="7">
        <f t="shared" si="70"/>
        <v>2000000</v>
      </c>
      <c r="U397" s="7">
        <f t="shared" si="71"/>
        <v>7770000</v>
      </c>
      <c r="V397" s="7">
        <f t="shared" si="72"/>
        <v>1169999.9999999991</v>
      </c>
      <c r="W397" s="7">
        <f t="shared" si="73"/>
        <v>250000</v>
      </c>
      <c r="X397" s="7">
        <f t="shared" si="74"/>
        <v>1419999.9999999991</v>
      </c>
    </row>
    <row r="398" spans="1:24">
      <c r="A398">
        <v>397</v>
      </c>
      <c r="B398" s="96" t="s">
        <v>3206</v>
      </c>
      <c r="C398" s="95">
        <v>40803</v>
      </c>
      <c r="D398" s="82">
        <v>6050000</v>
      </c>
      <c r="E398" s="82">
        <v>6050000</v>
      </c>
      <c r="F398" s="82">
        <v>6050000</v>
      </c>
      <c r="G398" s="82">
        <v>6050000</v>
      </c>
      <c r="I398" s="97">
        <v>0</v>
      </c>
      <c r="J398" s="97">
        <v>0</v>
      </c>
      <c r="K398" s="97">
        <v>0</v>
      </c>
      <c r="M398" s="7">
        <f t="shared" si="67"/>
        <v>0</v>
      </c>
      <c r="N398" s="7">
        <f t="shared" si="76"/>
        <v>0</v>
      </c>
      <c r="O398" s="7">
        <f t="shared" si="75"/>
        <v>50000</v>
      </c>
      <c r="P398" s="99">
        <f t="shared" si="68"/>
        <v>8.3333333333333332E-3</v>
      </c>
      <c r="Q398" s="99">
        <f t="shared" si="77"/>
        <v>9.0115606418885337E-3</v>
      </c>
      <c r="S398" s="7">
        <f t="shared" si="69"/>
        <v>6655000.0000000009</v>
      </c>
      <c r="T398" s="7">
        <f t="shared" si="70"/>
        <v>2016666.6666666667</v>
      </c>
      <c r="U398" s="7">
        <f t="shared" si="71"/>
        <v>7850000</v>
      </c>
      <c r="V398" s="7">
        <f t="shared" si="72"/>
        <v>0</v>
      </c>
      <c r="W398" s="7">
        <f t="shared" si="73"/>
        <v>0</v>
      </c>
      <c r="X398" s="7">
        <f t="shared" si="74"/>
        <v>0</v>
      </c>
    </row>
    <row r="399" spans="1:24">
      <c r="A399">
        <v>398</v>
      </c>
      <c r="B399" s="96" t="s">
        <v>3205</v>
      </c>
      <c r="C399" s="95">
        <v>40804</v>
      </c>
      <c r="D399" s="82">
        <v>6100000</v>
      </c>
      <c r="E399" s="82">
        <v>6100000</v>
      </c>
      <c r="F399" s="82">
        <v>6100000</v>
      </c>
      <c r="G399" s="82">
        <v>6100000</v>
      </c>
      <c r="I399" s="97">
        <v>0</v>
      </c>
      <c r="J399" s="97">
        <v>0</v>
      </c>
      <c r="K399" s="97">
        <v>0</v>
      </c>
      <c r="M399" s="7">
        <f t="shared" si="67"/>
        <v>0</v>
      </c>
      <c r="N399" s="7">
        <f t="shared" si="76"/>
        <v>0</v>
      </c>
      <c r="O399" s="7">
        <f t="shared" si="75"/>
        <v>50000</v>
      </c>
      <c r="P399" s="99">
        <f t="shared" si="68"/>
        <v>8.2644628099173556E-3</v>
      </c>
      <c r="Q399" s="99">
        <f t="shared" si="77"/>
        <v>2.2442228342822636E-3</v>
      </c>
      <c r="S399" s="7">
        <f t="shared" si="69"/>
        <v>6710000.0000000009</v>
      </c>
      <c r="T399" s="7">
        <f t="shared" si="70"/>
        <v>2033333.3333333333</v>
      </c>
      <c r="U399" s="7">
        <f t="shared" si="71"/>
        <v>7860000</v>
      </c>
      <c r="V399" s="7">
        <f t="shared" si="72"/>
        <v>0</v>
      </c>
      <c r="W399" s="7">
        <f t="shared" si="73"/>
        <v>0</v>
      </c>
      <c r="X399" s="7">
        <f t="shared" si="74"/>
        <v>0</v>
      </c>
    </row>
    <row r="400" spans="1:24">
      <c r="A400">
        <v>399</v>
      </c>
      <c r="B400" s="96" t="s">
        <v>3204</v>
      </c>
      <c r="C400" s="95">
        <v>40805</v>
      </c>
      <c r="D400" s="82">
        <v>6100000</v>
      </c>
      <c r="E400" s="82">
        <v>6100000</v>
      </c>
      <c r="F400" s="82">
        <v>6100000</v>
      </c>
      <c r="G400" s="82">
        <v>6100000</v>
      </c>
      <c r="I400" s="97">
        <v>0</v>
      </c>
      <c r="J400" s="97">
        <v>0</v>
      </c>
      <c r="K400" s="97">
        <v>0</v>
      </c>
      <c r="M400" s="7">
        <f t="shared" si="67"/>
        <v>0</v>
      </c>
      <c r="N400" s="7">
        <f t="shared" si="76"/>
        <v>0</v>
      </c>
      <c r="O400" s="7">
        <f t="shared" si="75"/>
        <v>0</v>
      </c>
      <c r="P400" s="99">
        <f t="shared" si="68"/>
        <v>0</v>
      </c>
      <c r="Q400" s="99">
        <f t="shared" si="77"/>
        <v>-6.020239975635092E-3</v>
      </c>
      <c r="S400" s="7">
        <f t="shared" si="69"/>
        <v>6710000.0000000009</v>
      </c>
      <c r="T400" s="7">
        <f t="shared" si="70"/>
        <v>2033333.3333333333</v>
      </c>
      <c r="U400" s="7">
        <f t="shared" si="71"/>
        <v>7960000</v>
      </c>
      <c r="V400" s="7">
        <f t="shared" si="72"/>
        <v>0</v>
      </c>
      <c r="W400" s="7">
        <f t="shared" si="73"/>
        <v>0</v>
      </c>
      <c r="X400" s="7">
        <f t="shared" si="74"/>
        <v>0</v>
      </c>
    </row>
    <row r="401" spans="1:24">
      <c r="A401">
        <v>400</v>
      </c>
      <c r="B401" s="96" t="s">
        <v>3203</v>
      </c>
      <c r="C401" s="95">
        <v>40806</v>
      </c>
      <c r="D401" s="82">
        <v>6130000</v>
      </c>
      <c r="E401" s="82">
        <v>6130000</v>
      </c>
      <c r="F401" s="82">
        <v>6130000</v>
      </c>
      <c r="G401" s="82">
        <v>6130000</v>
      </c>
      <c r="I401" s="98">
        <v>0</v>
      </c>
      <c r="J401" s="98">
        <v>0</v>
      </c>
      <c r="K401" s="98">
        <v>0</v>
      </c>
      <c r="M401" s="7">
        <f t="shared" si="67"/>
        <v>0</v>
      </c>
      <c r="N401" s="7">
        <f t="shared" si="76"/>
        <v>0</v>
      </c>
      <c r="O401" s="7">
        <f t="shared" si="75"/>
        <v>30000</v>
      </c>
      <c r="P401" s="99">
        <f t="shared" si="68"/>
        <v>4.9180327868852463E-3</v>
      </c>
      <c r="Q401" s="99">
        <f t="shared" si="77"/>
        <v>-4.6670646479700137E-2</v>
      </c>
      <c r="S401" s="7">
        <f t="shared" si="69"/>
        <v>6743000.0000000009</v>
      </c>
      <c r="T401" s="7">
        <f t="shared" si="70"/>
        <v>2043333.3333333333</v>
      </c>
      <c r="U401" s="7">
        <f t="shared" si="71"/>
        <v>8050000</v>
      </c>
      <c r="V401" s="7">
        <f t="shared" si="72"/>
        <v>0</v>
      </c>
      <c r="W401" s="7">
        <f t="shared" si="73"/>
        <v>0</v>
      </c>
      <c r="X401" s="7">
        <f t="shared" si="74"/>
        <v>0</v>
      </c>
    </row>
    <row r="402" spans="1:24">
      <c r="A402">
        <v>401</v>
      </c>
      <c r="B402" s="96" t="s">
        <v>3202</v>
      </c>
      <c r="C402" s="95">
        <v>40807</v>
      </c>
      <c r="D402" s="82">
        <v>6100000</v>
      </c>
      <c r="E402" s="82">
        <v>6100000</v>
      </c>
      <c r="F402" s="82">
        <v>6100000</v>
      </c>
      <c r="G402" s="82">
        <v>6100000</v>
      </c>
      <c r="I402" s="82">
        <f>G402*1.1</f>
        <v>6710000.0000000009</v>
      </c>
      <c r="J402" s="82">
        <f>G402/3</f>
        <v>2033333.3333333333</v>
      </c>
      <c r="K402" s="7">
        <f>G670</f>
        <v>8265000</v>
      </c>
      <c r="L402" s="7">
        <f>K402-I402</f>
        <v>1554999.9999999991</v>
      </c>
      <c r="M402" s="7">
        <f t="shared" si="67"/>
        <v>254166.66666666663</v>
      </c>
      <c r="N402" s="7">
        <f t="shared" si="76"/>
        <v>1809166.6666666656</v>
      </c>
      <c r="O402" s="7">
        <f t="shared" si="75"/>
        <v>-30000</v>
      </c>
      <c r="P402" s="99">
        <f t="shared" si="68"/>
        <v>-4.8939641109298528E-3</v>
      </c>
      <c r="Q402" s="99">
        <f t="shared" si="77"/>
        <v>5.1223863071851146E-3</v>
      </c>
      <c r="R402">
        <v>1</v>
      </c>
      <c r="S402" s="7">
        <f t="shared" si="69"/>
        <v>6710000.0000000009</v>
      </c>
      <c r="T402" s="7">
        <f t="shared" si="70"/>
        <v>2033333.3333333333</v>
      </c>
      <c r="U402" s="7">
        <f t="shared" si="71"/>
        <v>8265000</v>
      </c>
      <c r="V402" s="7">
        <f t="shared" si="72"/>
        <v>1554999.9999999991</v>
      </c>
      <c r="W402" s="7">
        <f t="shared" si="73"/>
        <v>254166.66666666663</v>
      </c>
      <c r="X402" s="7">
        <f t="shared" si="74"/>
        <v>1809166.6666666656</v>
      </c>
    </row>
    <row r="403" spans="1:24">
      <c r="A403">
        <v>402</v>
      </c>
      <c r="B403" s="96" t="s">
        <v>3201</v>
      </c>
      <c r="C403" s="95">
        <v>40808</v>
      </c>
      <c r="D403" s="82">
        <v>6150000</v>
      </c>
      <c r="E403" s="82">
        <v>6150000</v>
      </c>
      <c r="F403" s="82">
        <v>6150000</v>
      </c>
      <c r="G403" s="82">
        <v>6150000</v>
      </c>
      <c r="I403" s="97">
        <v>0</v>
      </c>
      <c r="J403" s="97">
        <v>0</v>
      </c>
      <c r="K403" s="97">
        <v>0</v>
      </c>
      <c r="M403" s="7">
        <f t="shared" si="67"/>
        <v>0</v>
      </c>
      <c r="N403" s="7">
        <f t="shared" si="76"/>
        <v>0</v>
      </c>
      <c r="O403" s="7">
        <f t="shared" si="75"/>
        <v>50000</v>
      </c>
      <c r="P403" s="99">
        <f t="shared" si="68"/>
        <v>8.1967213114754103E-3</v>
      </c>
      <c r="Q403" s="99">
        <f t="shared" si="77"/>
        <v>1.6621864819206082E-2</v>
      </c>
      <c r="S403" s="7">
        <f t="shared" si="69"/>
        <v>6765000.0000000009</v>
      </c>
      <c r="T403" s="7">
        <f t="shared" si="70"/>
        <v>2050000</v>
      </c>
      <c r="U403" s="7">
        <f t="shared" si="71"/>
        <v>8430000</v>
      </c>
      <c r="V403" s="7">
        <f t="shared" si="72"/>
        <v>0</v>
      </c>
      <c r="W403" s="7">
        <f t="shared" si="73"/>
        <v>0</v>
      </c>
      <c r="X403" s="7">
        <f t="shared" si="74"/>
        <v>0</v>
      </c>
    </row>
    <row r="404" spans="1:24">
      <c r="A404">
        <v>403</v>
      </c>
      <c r="B404" s="96" t="s">
        <v>3200</v>
      </c>
      <c r="C404" s="95">
        <v>40811</v>
      </c>
      <c r="D404" s="82">
        <v>6100000</v>
      </c>
      <c r="E404" s="82">
        <v>6100000</v>
      </c>
      <c r="F404" s="82">
        <v>6100000</v>
      </c>
      <c r="G404" s="82">
        <v>6100000</v>
      </c>
      <c r="I404" s="97">
        <v>0</v>
      </c>
      <c r="J404" s="97">
        <v>0</v>
      </c>
      <c r="K404" s="97">
        <v>0</v>
      </c>
      <c r="M404" s="7">
        <f t="shared" si="67"/>
        <v>0</v>
      </c>
      <c r="N404" s="7">
        <f t="shared" si="76"/>
        <v>0</v>
      </c>
      <c r="O404" s="7">
        <f t="shared" si="75"/>
        <v>-50000</v>
      </c>
      <c r="P404" s="99">
        <f t="shared" si="68"/>
        <v>-8.130081300813009E-3</v>
      </c>
      <c r="Q404" s="99">
        <f t="shared" si="77"/>
        <v>1.6485252797348159E-2</v>
      </c>
      <c r="S404" s="7">
        <f t="shared" si="69"/>
        <v>6710000.0000000009</v>
      </c>
      <c r="T404" s="7">
        <f t="shared" si="70"/>
        <v>2033333.3333333333</v>
      </c>
      <c r="U404" s="7">
        <f t="shared" si="71"/>
        <v>8340000</v>
      </c>
      <c r="V404" s="7">
        <f t="shared" si="72"/>
        <v>0</v>
      </c>
      <c r="W404" s="7">
        <f t="shared" si="73"/>
        <v>0</v>
      </c>
      <c r="X404" s="7">
        <f t="shared" si="74"/>
        <v>0</v>
      </c>
    </row>
    <row r="405" spans="1:24">
      <c r="A405">
        <v>404</v>
      </c>
      <c r="B405" s="96" t="s">
        <v>3199</v>
      </c>
      <c r="C405" s="95">
        <v>40812</v>
      </c>
      <c r="D405" s="82">
        <v>5700000</v>
      </c>
      <c r="E405" s="82">
        <v>5700000</v>
      </c>
      <c r="F405" s="82">
        <v>5700000</v>
      </c>
      <c r="G405" s="82">
        <v>5700000</v>
      </c>
      <c r="I405" s="97">
        <v>0</v>
      </c>
      <c r="J405" s="97">
        <v>0</v>
      </c>
      <c r="K405" s="97">
        <v>0</v>
      </c>
      <c r="M405" s="7">
        <f t="shared" si="67"/>
        <v>0</v>
      </c>
      <c r="N405" s="7">
        <f t="shared" si="76"/>
        <v>0</v>
      </c>
      <c r="O405" s="7">
        <f t="shared" si="75"/>
        <v>-400000</v>
      </c>
      <c r="P405" s="99">
        <f t="shared" si="68"/>
        <v>-6.5573770491803282E-2</v>
      </c>
      <c r="Q405" s="99">
        <f t="shared" si="77"/>
        <v>9.0708686617793979E-5</v>
      </c>
      <c r="S405" s="7">
        <f t="shared" si="69"/>
        <v>6270000.0000000009</v>
      </c>
      <c r="T405" s="7">
        <f t="shared" si="70"/>
        <v>1900000</v>
      </c>
      <c r="U405" s="7">
        <f t="shared" si="71"/>
        <v>8380000</v>
      </c>
      <c r="V405" s="7">
        <f t="shared" si="72"/>
        <v>0</v>
      </c>
      <c r="W405" s="7">
        <f t="shared" si="73"/>
        <v>0</v>
      </c>
      <c r="X405" s="7">
        <f t="shared" si="74"/>
        <v>0</v>
      </c>
    </row>
    <row r="406" spans="1:24">
      <c r="A406">
        <v>405</v>
      </c>
      <c r="B406" s="96" t="s">
        <v>3198</v>
      </c>
      <c r="C406" s="95">
        <v>40813</v>
      </c>
      <c r="D406" s="82">
        <v>5650000</v>
      </c>
      <c r="E406" s="82">
        <v>5650000</v>
      </c>
      <c r="F406" s="82">
        <v>5650000</v>
      </c>
      <c r="G406" s="82">
        <v>5650000</v>
      </c>
      <c r="I406" s="98">
        <v>0</v>
      </c>
      <c r="J406" s="98">
        <v>0</v>
      </c>
      <c r="K406" s="98">
        <v>0</v>
      </c>
      <c r="M406" s="7">
        <f t="shared" si="67"/>
        <v>0</v>
      </c>
      <c r="N406" s="7">
        <f t="shared" si="76"/>
        <v>0</v>
      </c>
      <c r="O406" s="7">
        <f t="shared" si="75"/>
        <v>-50000</v>
      </c>
      <c r="P406" s="99">
        <f t="shared" si="68"/>
        <v>-8.771929824561403E-3</v>
      </c>
      <c r="Q406" s="99">
        <f t="shared" si="77"/>
        <v>-6.5483061805185483E-2</v>
      </c>
      <c r="R406">
        <v>4</v>
      </c>
      <c r="S406" s="7">
        <f t="shared" si="69"/>
        <v>6215000.0000000009</v>
      </c>
      <c r="T406" s="7">
        <f t="shared" si="70"/>
        <v>1883333.3333333333</v>
      </c>
      <c r="U406" s="7">
        <f t="shared" si="71"/>
        <v>8350000</v>
      </c>
      <c r="V406" s="7">
        <f>(U406-S406)*R406</f>
        <v>8539999.9999999963</v>
      </c>
      <c r="W406" s="7">
        <f t="shared" si="73"/>
        <v>941666.66666666651</v>
      </c>
      <c r="X406" s="7">
        <f t="shared" si="74"/>
        <v>9481666.6666666623</v>
      </c>
    </row>
    <row r="407" spans="1:24">
      <c r="A407">
        <v>406</v>
      </c>
      <c r="B407" s="96" t="s">
        <v>3197</v>
      </c>
      <c r="C407" s="95">
        <v>40814</v>
      </c>
      <c r="D407" s="82">
        <v>5900000</v>
      </c>
      <c r="E407" s="82">
        <v>5900000</v>
      </c>
      <c r="F407" s="82">
        <v>5900000</v>
      </c>
      <c r="G407" s="82">
        <v>5900000</v>
      </c>
      <c r="I407" s="82">
        <f>G407*1.1</f>
        <v>6490000.0000000009</v>
      </c>
      <c r="J407" s="82">
        <f>G407/3</f>
        <v>1966666.6666666667</v>
      </c>
      <c r="K407" s="7">
        <f>G675</f>
        <v>8360000</v>
      </c>
      <c r="L407" s="7">
        <f>K407-I407</f>
        <v>1869999.9999999991</v>
      </c>
      <c r="M407" s="7">
        <f t="shared" si="67"/>
        <v>245833.33333333337</v>
      </c>
      <c r="N407" s="7">
        <f t="shared" si="76"/>
        <v>2115833.3333333326</v>
      </c>
      <c r="O407" s="7">
        <f t="shared" si="75"/>
        <v>250000</v>
      </c>
      <c r="P407" s="99">
        <f t="shared" si="68"/>
        <v>4.4247787610619468E-2</v>
      </c>
      <c r="Q407" s="99">
        <f t="shared" si="77"/>
        <v>-7.917302441663214E-2</v>
      </c>
      <c r="R407">
        <v>1</v>
      </c>
      <c r="S407" s="7">
        <f t="shared" si="69"/>
        <v>6490000.0000000009</v>
      </c>
      <c r="T407" s="7">
        <f t="shared" si="70"/>
        <v>1966666.6666666667</v>
      </c>
      <c r="U407" s="7">
        <f t="shared" si="71"/>
        <v>8360000</v>
      </c>
      <c r="V407" s="7">
        <f t="shared" si="72"/>
        <v>1869999.9999999991</v>
      </c>
      <c r="W407" s="7">
        <f t="shared" si="73"/>
        <v>245833.33333333337</v>
      </c>
      <c r="X407" s="7">
        <f t="shared" si="74"/>
        <v>2115833.3333333326</v>
      </c>
    </row>
    <row r="408" spans="1:24">
      <c r="A408">
        <v>407</v>
      </c>
      <c r="B408" s="96" t="s">
        <v>3196</v>
      </c>
      <c r="C408" s="95">
        <v>40815</v>
      </c>
      <c r="D408" s="82">
        <v>5870000</v>
      </c>
      <c r="E408" s="82">
        <v>5870000</v>
      </c>
      <c r="F408" s="82">
        <v>5870000</v>
      </c>
      <c r="G408" s="82">
        <v>5870000</v>
      </c>
      <c r="I408" s="97">
        <v>0</v>
      </c>
      <c r="J408" s="97">
        <v>0</v>
      </c>
      <c r="K408" s="97">
        <v>0</v>
      </c>
      <c r="M408" s="7">
        <f t="shared" si="67"/>
        <v>0</v>
      </c>
      <c r="N408" s="7">
        <f t="shared" si="76"/>
        <v>0</v>
      </c>
      <c r="O408" s="7">
        <f t="shared" si="75"/>
        <v>-30000</v>
      </c>
      <c r="P408" s="99">
        <f t="shared" si="68"/>
        <v>-5.084745762711864E-3</v>
      </c>
      <c r="Q408" s="99">
        <f t="shared" si="77"/>
        <v>-3.0031272695082808E-2</v>
      </c>
      <c r="S408" s="7">
        <f t="shared" si="69"/>
        <v>6457000.0000000009</v>
      </c>
      <c r="T408" s="7">
        <f t="shared" si="70"/>
        <v>1956666.6666666667</v>
      </c>
      <c r="U408" s="7">
        <f t="shared" si="71"/>
        <v>8380000</v>
      </c>
      <c r="V408" s="7">
        <f t="shared" si="72"/>
        <v>0</v>
      </c>
      <c r="W408" s="7">
        <f t="shared" si="73"/>
        <v>0</v>
      </c>
      <c r="X408" s="7">
        <f t="shared" si="74"/>
        <v>0</v>
      </c>
    </row>
    <row r="409" spans="1:24">
      <c r="A409">
        <v>408</v>
      </c>
      <c r="B409" s="96" t="s">
        <v>3195</v>
      </c>
      <c r="C409" s="95">
        <v>40817</v>
      </c>
      <c r="D409" s="82">
        <v>5870000</v>
      </c>
      <c r="E409" s="82">
        <v>5870000</v>
      </c>
      <c r="F409" s="82">
        <v>5870000</v>
      </c>
      <c r="G409" s="82">
        <v>5870000</v>
      </c>
      <c r="I409" s="97">
        <v>0</v>
      </c>
      <c r="J409" s="97">
        <v>0</v>
      </c>
      <c r="K409" s="97">
        <v>0</v>
      </c>
      <c r="M409" s="7">
        <f t="shared" si="67"/>
        <v>0</v>
      </c>
      <c r="N409" s="7">
        <f t="shared" si="76"/>
        <v>0</v>
      </c>
      <c r="O409" s="7">
        <f t="shared" si="75"/>
        <v>0</v>
      </c>
      <c r="P409" s="99">
        <f t="shared" si="68"/>
        <v>0</v>
      </c>
      <c r="Q409" s="99">
        <f t="shared" si="77"/>
        <v>-4.3312739769270095E-2</v>
      </c>
      <c r="S409" s="7">
        <f t="shared" si="69"/>
        <v>6457000.0000000009</v>
      </c>
      <c r="T409" s="7">
        <f t="shared" si="70"/>
        <v>1956666.6666666667</v>
      </c>
      <c r="U409" s="7">
        <f t="shared" si="71"/>
        <v>8330000</v>
      </c>
      <c r="V409" s="7">
        <f t="shared" si="72"/>
        <v>0</v>
      </c>
      <c r="W409" s="7">
        <f t="shared" si="73"/>
        <v>0</v>
      </c>
      <c r="X409" s="7">
        <f t="shared" si="74"/>
        <v>0</v>
      </c>
    </row>
    <row r="410" spans="1:24">
      <c r="A410">
        <v>409</v>
      </c>
      <c r="B410" s="96" t="s">
        <v>3194</v>
      </c>
      <c r="C410" s="95">
        <v>40818</v>
      </c>
      <c r="D410" s="82">
        <v>5900000</v>
      </c>
      <c r="E410" s="82">
        <v>5900000</v>
      </c>
      <c r="F410" s="82">
        <v>5900000</v>
      </c>
      <c r="G410" s="82">
        <v>5900000</v>
      </c>
      <c r="I410" s="97">
        <v>0</v>
      </c>
      <c r="J410" s="97">
        <v>0</v>
      </c>
      <c r="K410" s="97">
        <v>0</v>
      </c>
      <c r="M410" s="7">
        <f t="shared" si="67"/>
        <v>0</v>
      </c>
      <c r="N410" s="7">
        <f t="shared" si="76"/>
        <v>0</v>
      </c>
      <c r="O410" s="7">
        <f t="shared" si="75"/>
        <v>30000</v>
      </c>
      <c r="P410" s="99">
        <f t="shared" si="68"/>
        <v>5.1107325383304937E-3</v>
      </c>
      <c r="Q410" s="99">
        <f t="shared" si="77"/>
        <v>-3.5182658468457084E-2</v>
      </c>
      <c r="S410" s="7">
        <f t="shared" si="69"/>
        <v>6490000.0000000009</v>
      </c>
      <c r="T410" s="7">
        <f t="shared" si="70"/>
        <v>1966666.6666666667</v>
      </c>
      <c r="U410" s="7">
        <f t="shared" si="71"/>
        <v>8370000</v>
      </c>
      <c r="V410" s="7">
        <f t="shared" si="72"/>
        <v>0</v>
      </c>
      <c r="W410" s="7">
        <f t="shared" si="73"/>
        <v>0</v>
      </c>
      <c r="X410" s="7">
        <f t="shared" si="74"/>
        <v>0</v>
      </c>
    </row>
    <row r="411" spans="1:24">
      <c r="A411">
        <v>410</v>
      </c>
      <c r="B411" s="96" t="s">
        <v>3193</v>
      </c>
      <c r="C411" s="95">
        <v>40819</v>
      </c>
      <c r="D411" s="82">
        <v>5500000</v>
      </c>
      <c r="E411" s="82">
        <v>5500000</v>
      </c>
      <c r="F411" s="82">
        <v>5500000</v>
      </c>
      <c r="G411" s="82">
        <v>5500000</v>
      </c>
      <c r="I411" s="98">
        <v>0</v>
      </c>
      <c r="J411" s="98">
        <v>0</v>
      </c>
      <c r="K411" s="98">
        <v>0</v>
      </c>
      <c r="M411" s="7">
        <f t="shared" si="67"/>
        <v>0</v>
      </c>
      <c r="N411" s="7">
        <f t="shared" si="76"/>
        <v>0</v>
      </c>
      <c r="O411" s="7">
        <f t="shared" si="75"/>
        <v>-400000</v>
      </c>
      <c r="P411" s="99">
        <f t="shared" si="68"/>
        <v>-6.7796610169491525E-2</v>
      </c>
      <c r="Q411" s="99">
        <f t="shared" si="77"/>
        <v>3.5501844561676696E-2</v>
      </c>
      <c r="S411" s="7">
        <f t="shared" si="69"/>
        <v>6050000.0000000009</v>
      </c>
      <c r="T411" s="7">
        <f t="shared" si="70"/>
        <v>1833333.3333333333</v>
      </c>
      <c r="U411" s="7">
        <f t="shared" si="71"/>
        <v>8400000</v>
      </c>
      <c r="V411" s="7">
        <f t="shared" si="72"/>
        <v>0</v>
      </c>
      <c r="W411" s="7">
        <f t="shared" si="73"/>
        <v>0</v>
      </c>
      <c r="X411" s="7">
        <f t="shared" si="74"/>
        <v>0</v>
      </c>
    </row>
    <row r="412" spans="1:24">
      <c r="A412">
        <v>411</v>
      </c>
      <c r="B412" s="96" t="s">
        <v>3192</v>
      </c>
      <c r="C412" s="95">
        <v>40820</v>
      </c>
      <c r="D412" s="82">
        <v>5550000</v>
      </c>
      <c r="E412" s="82">
        <v>5550000</v>
      </c>
      <c r="F412" s="82">
        <v>5550000</v>
      </c>
      <c r="G412" s="82">
        <v>5550000</v>
      </c>
      <c r="I412" s="82">
        <f>G412*1.1</f>
        <v>6105000.0000000009</v>
      </c>
      <c r="J412" s="82">
        <f>G412/3</f>
        <v>1850000</v>
      </c>
      <c r="K412" s="7">
        <f>G680</f>
        <v>8550000</v>
      </c>
      <c r="L412" s="7">
        <f>K412-I412</f>
        <v>2444999.9999999991</v>
      </c>
      <c r="M412" s="7">
        <f t="shared" si="67"/>
        <v>231250</v>
      </c>
      <c r="N412" s="7">
        <f t="shared" si="76"/>
        <v>2676249.9999999991</v>
      </c>
      <c r="O412" s="7">
        <f t="shared" si="75"/>
        <v>50000</v>
      </c>
      <c r="P412" s="99">
        <f t="shared" si="68"/>
        <v>9.0909090909090905E-3</v>
      </c>
      <c r="Q412" s="99">
        <f t="shared" si="77"/>
        <v>-2.3522835783253433E-2</v>
      </c>
      <c r="R412">
        <v>1</v>
      </c>
      <c r="S412" s="7">
        <f t="shared" si="69"/>
        <v>6105000.0000000009</v>
      </c>
      <c r="T412" s="7">
        <f t="shared" si="70"/>
        <v>1850000</v>
      </c>
      <c r="U412" s="7">
        <f t="shared" si="71"/>
        <v>8550000</v>
      </c>
      <c r="V412" s="7">
        <f t="shared" si="72"/>
        <v>2444999.9999999991</v>
      </c>
      <c r="W412" s="7">
        <f t="shared" si="73"/>
        <v>231250</v>
      </c>
      <c r="X412" s="7">
        <f t="shared" si="74"/>
        <v>2676249.9999999991</v>
      </c>
    </row>
    <row r="413" spans="1:24">
      <c r="A413">
        <v>412</v>
      </c>
      <c r="B413" s="96" t="s">
        <v>3191</v>
      </c>
      <c r="C413" s="95">
        <v>40821</v>
      </c>
      <c r="D413" s="82">
        <v>5750000</v>
      </c>
      <c r="E413" s="82">
        <v>5750000</v>
      </c>
      <c r="F413" s="82">
        <v>5750000</v>
      </c>
      <c r="G413" s="82">
        <v>5750000</v>
      </c>
      <c r="I413" s="97">
        <v>0</v>
      </c>
      <c r="J413" s="97">
        <v>0</v>
      </c>
      <c r="K413" s="97">
        <v>0</v>
      </c>
      <c r="M413" s="7">
        <f t="shared" si="67"/>
        <v>0</v>
      </c>
      <c r="N413" s="7">
        <f t="shared" si="76"/>
        <v>0</v>
      </c>
      <c r="O413" s="7">
        <f t="shared" si="75"/>
        <v>200000</v>
      </c>
      <c r="P413" s="99">
        <f t="shared" si="68"/>
        <v>3.6036036036036036E-2</v>
      </c>
      <c r="Q413" s="99">
        <f t="shared" si="77"/>
        <v>-5.8679714302963801E-2</v>
      </c>
      <c r="R413">
        <v>4</v>
      </c>
      <c r="S413" s="7">
        <f t="shared" si="69"/>
        <v>6325000.0000000009</v>
      </c>
      <c r="T413" s="7">
        <f t="shared" si="70"/>
        <v>1916666.6666666667</v>
      </c>
      <c r="U413" s="7">
        <f t="shared" si="71"/>
        <v>8630000</v>
      </c>
      <c r="V413" s="7">
        <f t="shared" si="72"/>
        <v>9219999.9999999963</v>
      </c>
      <c r="W413" s="7">
        <f t="shared" si="73"/>
        <v>958333.33333333349</v>
      </c>
      <c r="X413" s="7">
        <f t="shared" si="74"/>
        <v>10178333.33333333</v>
      </c>
    </row>
    <row r="414" spans="1:24">
      <c r="A414">
        <v>413</v>
      </c>
      <c r="B414" s="96" t="s">
        <v>3190</v>
      </c>
      <c r="C414" s="95">
        <v>40822</v>
      </c>
      <c r="D414" s="82">
        <v>5700000</v>
      </c>
      <c r="E414" s="82">
        <v>5700000</v>
      </c>
      <c r="F414" s="82">
        <v>5700000</v>
      </c>
      <c r="G414" s="82">
        <v>5700000</v>
      </c>
      <c r="I414" s="97">
        <v>0</v>
      </c>
      <c r="J414" s="97">
        <v>0</v>
      </c>
      <c r="K414" s="97">
        <v>0</v>
      </c>
      <c r="M414" s="7">
        <f t="shared" si="67"/>
        <v>0</v>
      </c>
      <c r="N414" s="7">
        <f t="shared" si="76"/>
        <v>0</v>
      </c>
      <c r="O414" s="7">
        <f t="shared" si="75"/>
        <v>-50000</v>
      </c>
      <c r="P414" s="99">
        <f t="shared" si="68"/>
        <v>-8.6956521739130436E-3</v>
      </c>
      <c r="Q414" s="99">
        <f t="shared" si="77"/>
        <v>-1.7558932504215898E-2</v>
      </c>
      <c r="S414" s="7">
        <f t="shared" si="69"/>
        <v>6270000.0000000009</v>
      </c>
      <c r="T414" s="7">
        <f t="shared" si="70"/>
        <v>1900000</v>
      </c>
      <c r="U414" s="7">
        <f t="shared" si="71"/>
        <v>9080000</v>
      </c>
      <c r="V414" s="7">
        <f t="shared" si="72"/>
        <v>0</v>
      </c>
      <c r="W414" s="7">
        <f t="shared" si="73"/>
        <v>0</v>
      </c>
      <c r="X414" s="7">
        <f t="shared" si="74"/>
        <v>0</v>
      </c>
    </row>
    <row r="415" spans="1:24">
      <c r="A415">
        <v>414</v>
      </c>
      <c r="B415" s="96" t="s">
        <v>3189</v>
      </c>
      <c r="C415" s="95">
        <v>40824</v>
      </c>
      <c r="D415" s="82">
        <v>5760000</v>
      </c>
      <c r="E415" s="82">
        <v>5760000</v>
      </c>
      <c r="F415" s="82">
        <v>5760000</v>
      </c>
      <c r="G415" s="82">
        <v>5760000</v>
      </c>
      <c r="I415" s="97">
        <v>0</v>
      </c>
      <c r="J415" s="97">
        <v>0</v>
      </c>
      <c r="K415" s="97">
        <v>0</v>
      </c>
      <c r="M415" s="7">
        <f t="shared" si="67"/>
        <v>0</v>
      </c>
      <c r="N415" s="7">
        <f t="shared" si="76"/>
        <v>0</v>
      </c>
      <c r="O415" s="7">
        <f t="shared" si="75"/>
        <v>60000</v>
      </c>
      <c r="P415" s="99">
        <f t="shared" si="68"/>
        <v>1.0526315789473684E-2</v>
      </c>
      <c r="Q415" s="99">
        <f t="shared" si="77"/>
        <v>-2.6254584678128939E-2</v>
      </c>
      <c r="S415" s="7">
        <f t="shared" si="69"/>
        <v>6336000.0000000009</v>
      </c>
      <c r="T415" s="7">
        <f t="shared" si="70"/>
        <v>1920000</v>
      </c>
      <c r="U415" s="7">
        <f t="shared" si="71"/>
        <v>9450000</v>
      </c>
      <c r="V415" s="7">
        <f t="shared" si="72"/>
        <v>0</v>
      </c>
      <c r="W415" s="7">
        <f t="shared" si="73"/>
        <v>0</v>
      </c>
      <c r="X415" s="7">
        <f t="shared" si="74"/>
        <v>0</v>
      </c>
    </row>
    <row r="416" spans="1:24">
      <c r="A416">
        <v>415</v>
      </c>
      <c r="B416" s="96" t="s">
        <v>3188</v>
      </c>
      <c r="C416" s="95">
        <v>40825</v>
      </c>
      <c r="D416" s="82">
        <v>5700000</v>
      </c>
      <c r="E416" s="82">
        <v>5700000</v>
      </c>
      <c r="F416" s="82">
        <v>5700000</v>
      </c>
      <c r="G416" s="82">
        <v>5700000</v>
      </c>
      <c r="I416" s="98">
        <v>0</v>
      </c>
      <c r="J416" s="98">
        <v>0</v>
      </c>
      <c r="K416" s="98">
        <v>0</v>
      </c>
      <c r="M416" s="7">
        <f t="shared" si="67"/>
        <v>0</v>
      </c>
      <c r="N416" s="7">
        <f t="shared" si="76"/>
        <v>0</v>
      </c>
      <c r="O416" s="7">
        <f t="shared" si="75"/>
        <v>-60000</v>
      </c>
      <c r="P416" s="99">
        <f t="shared" si="68"/>
        <v>-1.0416666666666666E-2</v>
      </c>
      <c r="Q416" s="99">
        <f t="shared" si="77"/>
        <v>-2.0839001426985755E-2</v>
      </c>
      <c r="S416" s="7">
        <f t="shared" si="69"/>
        <v>6270000.0000000009</v>
      </c>
      <c r="T416" s="7">
        <f t="shared" si="70"/>
        <v>1900000</v>
      </c>
      <c r="U416" s="7">
        <f t="shared" si="71"/>
        <v>9360000</v>
      </c>
      <c r="V416" s="7">
        <f t="shared" si="72"/>
        <v>0</v>
      </c>
      <c r="W416" s="7">
        <f t="shared" si="73"/>
        <v>0</v>
      </c>
      <c r="X416" s="7">
        <f t="shared" si="74"/>
        <v>0</v>
      </c>
    </row>
    <row r="417" spans="1:24">
      <c r="A417">
        <v>416</v>
      </c>
      <c r="B417" s="96" t="s">
        <v>3187</v>
      </c>
      <c r="C417" s="95">
        <v>40826</v>
      </c>
      <c r="D417" s="82">
        <v>5650000</v>
      </c>
      <c r="E417" s="82">
        <v>5650000</v>
      </c>
      <c r="F417" s="82">
        <v>5650000</v>
      </c>
      <c r="G417" s="82">
        <v>5650000</v>
      </c>
      <c r="I417" s="82">
        <f>G417*1.1</f>
        <v>6215000.0000000009</v>
      </c>
      <c r="J417" s="82">
        <f>G417/3</f>
        <v>1883333.3333333333</v>
      </c>
      <c r="K417" s="7">
        <f>G685</f>
        <v>9290000</v>
      </c>
      <c r="L417" s="7">
        <f>K417-I417</f>
        <v>3074999.9999999991</v>
      </c>
      <c r="M417" s="7">
        <f t="shared" si="67"/>
        <v>235416.66666666663</v>
      </c>
      <c r="N417" s="7">
        <f t="shared" si="76"/>
        <v>3310416.6666666656</v>
      </c>
      <c r="O417" s="7">
        <f t="shared" si="75"/>
        <v>-50000</v>
      </c>
      <c r="P417" s="99">
        <f t="shared" si="68"/>
        <v>-8.771929824561403E-3</v>
      </c>
      <c r="Q417" s="99">
        <f t="shared" si="77"/>
        <v>3.6540942075839099E-2</v>
      </c>
      <c r="R417">
        <v>1</v>
      </c>
      <c r="S417" s="7">
        <f t="shared" si="69"/>
        <v>6215000.0000000009</v>
      </c>
      <c r="T417" s="7">
        <f t="shared" si="70"/>
        <v>1883333.3333333333</v>
      </c>
      <c r="U417" s="7">
        <f t="shared" si="71"/>
        <v>9290000</v>
      </c>
      <c r="V417" s="7">
        <f t="shared" si="72"/>
        <v>3074999.9999999991</v>
      </c>
      <c r="W417" s="7">
        <f t="shared" si="73"/>
        <v>235416.66666666663</v>
      </c>
      <c r="X417" s="7">
        <f t="shared" si="74"/>
        <v>3310416.6666666656</v>
      </c>
    </row>
    <row r="418" spans="1:24">
      <c r="A418">
        <v>417</v>
      </c>
      <c r="B418" s="96" t="s">
        <v>3186</v>
      </c>
      <c r="C418" s="95">
        <v>40827</v>
      </c>
      <c r="D418" s="82">
        <v>5700000</v>
      </c>
      <c r="E418" s="82">
        <v>5700000</v>
      </c>
      <c r="F418" s="82">
        <v>5700000</v>
      </c>
      <c r="G418" s="82">
        <v>5700000</v>
      </c>
      <c r="I418" s="97">
        <v>0</v>
      </c>
      <c r="J418" s="97">
        <v>0</v>
      </c>
      <c r="K418" s="97">
        <v>0</v>
      </c>
      <c r="M418" s="7">
        <f t="shared" si="67"/>
        <v>0</v>
      </c>
      <c r="N418" s="7">
        <f t="shared" si="76"/>
        <v>0</v>
      </c>
      <c r="O418" s="7">
        <f t="shared" si="75"/>
        <v>50000</v>
      </c>
      <c r="P418" s="99">
        <f t="shared" si="68"/>
        <v>8.8495575221238937E-3</v>
      </c>
      <c r="Q418" s="99">
        <f t="shared" si="77"/>
        <v>1.8678103160368609E-2</v>
      </c>
      <c r="S418" s="7">
        <f t="shared" si="69"/>
        <v>6270000.0000000009</v>
      </c>
      <c r="T418" s="7">
        <f t="shared" si="70"/>
        <v>1900000</v>
      </c>
      <c r="U418" s="7">
        <f t="shared" si="71"/>
        <v>9140000</v>
      </c>
      <c r="V418" s="7">
        <f t="shared" si="72"/>
        <v>0</v>
      </c>
      <c r="W418" s="7">
        <f t="shared" si="73"/>
        <v>0</v>
      </c>
      <c r="X418" s="7">
        <f t="shared" si="74"/>
        <v>0</v>
      </c>
    </row>
    <row r="419" spans="1:24">
      <c r="A419">
        <v>418</v>
      </c>
      <c r="B419" s="96" t="s">
        <v>3185</v>
      </c>
      <c r="C419" s="95">
        <v>40828</v>
      </c>
      <c r="D419" s="82">
        <v>5650000</v>
      </c>
      <c r="E419" s="82">
        <v>5650000</v>
      </c>
      <c r="F419" s="82">
        <v>5650000</v>
      </c>
      <c r="G419" s="82">
        <v>5650000</v>
      </c>
      <c r="I419" s="97">
        <v>0</v>
      </c>
      <c r="J419" s="97">
        <v>0</v>
      </c>
      <c r="K419" s="97">
        <v>0</v>
      </c>
      <c r="M419" s="7">
        <f t="shared" si="67"/>
        <v>0</v>
      </c>
      <c r="N419" s="7">
        <f t="shared" si="76"/>
        <v>0</v>
      </c>
      <c r="O419" s="7">
        <f t="shared" si="75"/>
        <v>-50000</v>
      </c>
      <c r="P419" s="99">
        <f t="shared" si="68"/>
        <v>-8.771929824561403E-3</v>
      </c>
      <c r="Q419" s="99">
        <f t="shared" si="77"/>
        <v>-8.5083753535435333E-3</v>
      </c>
      <c r="S419" s="7">
        <f t="shared" si="69"/>
        <v>6215000.0000000009</v>
      </c>
      <c r="T419" s="7">
        <f t="shared" si="70"/>
        <v>1883333.3333333333</v>
      </c>
      <c r="U419" s="7">
        <f t="shared" si="71"/>
        <v>9420000</v>
      </c>
      <c r="V419" s="7">
        <f t="shared" si="72"/>
        <v>0</v>
      </c>
      <c r="W419" s="7">
        <f t="shared" si="73"/>
        <v>0</v>
      </c>
      <c r="X419" s="7">
        <f t="shared" si="74"/>
        <v>0</v>
      </c>
    </row>
    <row r="420" spans="1:24">
      <c r="A420">
        <v>419</v>
      </c>
      <c r="B420" s="96" t="s">
        <v>3184</v>
      </c>
      <c r="C420" s="95">
        <v>40829</v>
      </c>
      <c r="D420" s="82">
        <v>5680000</v>
      </c>
      <c r="E420" s="82">
        <v>5680000</v>
      </c>
      <c r="F420" s="82">
        <v>5680000</v>
      </c>
      <c r="G420" s="82">
        <v>5680000</v>
      </c>
      <c r="I420" s="97">
        <v>0</v>
      </c>
      <c r="J420" s="97">
        <v>0</v>
      </c>
      <c r="K420" s="97">
        <v>0</v>
      </c>
      <c r="M420" s="7">
        <f t="shared" si="67"/>
        <v>0</v>
      </c>
      <c r="N420" s="7">
        <f t="shared" si="76"/>
        <v>0</v>
      </c>
      <c r="O420" s="7">
        <f t="shared" si="75"/>
        <v>30000</v>
      </c>
      <c r="P420" s="99">
        <f t="shared" si="68"/>
        <v>5.3097345132743362E-3</v>
      </c>
      <c r="Q420" s="99">
        <f t="shared" si="77"/>
        <v>-8.5846530041918945E-3</v>
      </c>
      <c r="S420" s="7">
        <f t="shared" si="69"/>
        <v>6248000.0000000009</v>
      </c>
      <c r="T420" s="7">
        <f t="shared" si="70"/>
        <v>1893333.3333333333</v>
      </c>
      <c r="U420" s="7">
        <f t="shared" si="71"/>
        <v>9420000</v>
      </c>
      <c r="V420" s="7">
        <f t="shared" si="72"/>
        <v>0</v>
      </c>
      <c r="W420" s="7">
        <f t="shared" si="73"/>
        <v>0</v>
      </c>
      <c r="X420" s="7">
        <f t="shared" si="74"/>
        <v>0</v>
      </c>
    </row>
    <row r="421" spans="1:24">
      <c r="A421">
        <v>420</v>
      </c>
      <c r="B421" s="96" t="s">
        <v>3183</v>
      </c>
      <c r="C421" s="95">
        <v>40831</v>
      </c>
      <c r="D421" s="82">
        <v>5620000</v>
      </c>
      <c r="E421" s="82">
        <v>5620000</v>
      </c>
      <c r="F421" s="82">
        <v>5620000</v>
      </c>
      <c r="G421" s="82">
        <v>5620000</v>
      </c>
      <c r="I421" s="98">
        <v>0</v>
      </c>
      <c r="J421" s="98">
        <v>0</v>
      </c>
      <c r="K421" s="98">
        <v>0</v>
      </c>
      <c r="M421" s="7">
        <f t="shared" si="67"/>
        <v>0</v>
      </c>
      <c r="N421" s="7">
        <f t="shared" si="76"/>
        <v>0</v>
      </c>
      <c r="O421" s="7">
        <f t="shared" si="75"/>
        <v>-60000</v>
      </c>
      <c r="P421" s="99">
        <f t="shared" si="68"/>
        <v>-1.0563380281690141E-2</v>
      </c>
      <c r="Q421" s="99">
        <f t="shared" si="77"/>
        <v>-1.3801234280391241E-2</v>
      </c>
      <c r="S421" s="7">
        <f t="shared" si="69"/>
        <v>6182000.0000000009</v>
      </c>
      <c r="T421" s="7">
        <f t="shared" si="70"/>
        <v>1873333.3333333333</v>
      </c>
      <c r="U421" s="7">
        <f t="shared" si="71"/>
        <v>9540000</v>
      </c>
      <c r="V421" s="7">
        <f t="shared" si="72"/>
        <v>0</v>
      </c>
      <c r="W421" s="7">
        <f t="shared" si="73"/>
        <v>0</v>
      </c>
      <c r="X421" s="7">
        <f t="shared" si="74"/>
        <v>0</v>
      </c>
    </row>
    <row r="422" spans="1:24">
      <c r="A422">
        <v>421</v>
      </c>
      <c r="B422" s="96" t="s">
        <v>3182</v>
      </c>
      <c r="C422" s="95">
        <v>40832</v>
      </c>
      <c r="D422" s="82">
        <v>5650000</v>
      </c>
      <c r="E422" s="82">
        <v>5650000</v>
      </c>
      <c r="F422" s="82">
        <v>5650000</v>
      </c>
      <c r="G422" s="82">
        <v>5650000</v>
      </c>
      <c r="I422" s="82">
        <f>G422*1.1</f>
        <v>6215000.0000000009</v>
      </c>
      <c r="J422" s="82">
        <f>G422/3</f>
        <v>1883333.3333333333</v>
      </c>
      <c r="K422" s="7">
        <f>G690</f>
        <v>9340000</v>
      </c>
      <c r="L422" s="7">
        <f>K422-I422</f>
        <v>3124999.9999999991</v>
      </c>
      <c r="M422" s="7">
        <f t="shared" si="67"/>
        <v>235416.66666666663</v>
      </c>
      <c r="N422" s="7">
        <f t="shared" si="76"/>
        <v>3360416.6666666656</v>
      </c>
      <c r="O422" s="7">
        <f t="shared" si="75"/>
        <v>30000</v>
      </c>
      <c r="P422" s="99">
        <f t="shared" si="68"/>
        <v>5.3380782918149468E-3</v>
      </c>
      <c r="Q422" s="99">
        <f t="shared" si="77"/>
        <v>-1.3947947895414717E-2</v>
      </c>
      <c r="R422">
        <v>1</v>
      </c>
      <c r="S422" s="7">
        <f t="shared" si="69"/>
        <v>6215000.0000000009</v>
      </c>
      <c r="T422" s="7">
        <f t="shared" si="70"/>
        <v>1883333.3333333333</v>
      </c>
      <c r="U422" s="7">
        <f t="shared" si="71"/>
        <v>9340000</v>
      </c>
      <c r="V422" s="7">
        <f t="shared" si="72"/>
        <v>3124999.9999999991</v>
      </c>
      <c r="W422" s="7">
        <f t="shared" si="73"/>
        <v>235416.66666666663</v>
      </c>
      <c r="X422" s="7">
        <f t="shared" si="74"/>
        <v>3360416.6666666656</v>
      </c>
    </row>
    <row r="423" spans="1:24">
      <c r="A423">
        <v>422</v>
      </c>
      <c r="B423" s="96" t="s">
        <v>3181</v>
      </c>
      <c r="C423" s="95">
        <v>40833</v>
      </c>
      <c r="D423" s="82">
        <v>5630000</v>
      </c>
      <c r="E423" s="82">
        <v>5630000</v>
      </c>
      <c r="F423" s="82">
        <v>5630000</v>
      </c>
      <c r="G423" s="82">
        <v>5630000</v>
      </c>
      <c r="I423" s="97">
        <v>0</v>
      </c>
      <c r="J423" s="97">
        <v>0</v>
      </c>
      <c r="K423" s="97">
        <v>0</v>
      </c>
      <c r="M423" s="7">
        <f t="shared" si="67"/>
        <v>0</v>
      </c>
      <c r="N423" s="7">
        <f t="shared" si="76"/>
        <v>0</v>
      </c>
      <c r="O423" s="7">
        <f t="shared" si="75"/>
        <v>-20000</v>
      </c>
      <c r="P423" s="99">
        <f t="shared" si="68"/>
        <v>-3.5398230088495575E-3</v>
      </c>
      <c r="Q423" s="99">
        <f t="shared" si="77"/>
        <v>1.62060220961633E-4</v>
      </c>
      <c r="S423" s="7">
        <f t="shared" si="69"/>
        <v>6193000.0000000009</v>
      </c>
      <c r="T423" s="7">
        <f t="shared" si="70"/>
        <v>1876666.6666666667</v>
      </c>
      <c r="U423" s="7">
        <f t="shared" si="71"/>
        <v>9490000</v>
      </c>
      <c r="V423" s="7">
        <f t="shared" si="72"/>
        <v>0</v>
      </c>
      <c r="W423" s="7">
        <f t="shared" si="73"/>
        <v>0</v>
      </c>
      <c r="X423" s="7">
        <f t="shared" si="74"/>
        <v>0</v>
      </c>
    </row>
    <row r="424" spans="1:24">
      <c r="A424">
        <v>423</v>
      </c>
      <c r="B424" s="96" t="s">
        <v>3180</v>
      </c>
      <c r="C424" s="95">
        <v>40834</v>
      </c>
      <c r="D424" s="82">
        <v>5700000</v>
      </c>
      <c r="E424" s="82">
        <v>5700000</v>
      </c>
      <c r="F424" s="82">
        <v>5700000</v>
      </c>
      <c r="G424" s="82">
        <v>5700000</v>
      </c>
      <c r="I424" s="97">
        <v>0</v>
      </c>
      <c r="J424" s="97">
        <v>0</v>
      </c>
      <c r="K424" s="97">
        <v>0</v>
      </c>
      <c r="M424" s="7">
        <f t="shared" si="67"/>
        <v>0</v>
      </c>
      <c r="N424" s="7">
        <f t="shared" si="76"/>
        <v>0</v>
      </c>
      <c r="O424" s="7">
        <f t="shared" si="75"/>
        <v>70000</v>
      </c>
      <c r="P424" s="99">
        <f t="shared" si="68"/>
        <v>1.2433392539964476E-2</v>
      </c>
      <c r="Q424" s="99">
        <f t="shared" si="77"/>
        <v>-1.2227320310011818E-2</v>
      </c>
      <c r="S424" s="7">
        <f t="shared" si="69"/>
        <v>6270000.0000000009</v>
      </c>
      <c r="T424" s="7">
        <f t="shared" si="70"/>
        <v>1900000</v>
      </c>
      <c r="U424" s="7">
        <f t="shared" si="71"/>
        <v>9500000</v>
      </c>
      <c r="V424" s="7">
        <f t="shared" si="72"/>
        <v>0</v>
      </c>
      <c r="W424" s="7">
        <f t="shared" si="73"/>
        <v>0</v>
      </c>
      <c r="X424" s="7">
        <f t="shared" si="74"/>
        <v>0</v>
      </c>
    </row>
    <row r="425" spans="1:24">
      <c r="A425">
        <v>424</v>
      </c>
      <c r="B425" s="96" t="s">
        <v>3179</v>
      </c>
      <c r="C425" s="95">
        <v>40835</v>
      </c>
      <c r="D425" s="82">
        <v>5700000</v>
      </c>
      <c r="E425" s="82">
        <v>5700000</v>
      </c>
      <c r="F425" s="82">
        <v>5700000</v>
      </c>
      <c r="G425" s="82">
        <v>5700000</v>
      </c>
      <c r="I425" s="97">
        <v>0</v>
      </c>
      <c r="J425" s="97">
        <v>0</v>
      </c>
      <c r="K425" s="97">
        <v>0</v>
      </c>
      <c r="M425" s="7">
        <f t="shared" si="67"/>
        <v>0</v>
      </c>
      <c r="N425" s="7">
        <f t="shared" si="76"/>
        <v>0</v>
      </c>
      <c r="O425" s="7">
        <f t="shared" si="75"/>
        <v>0</v>
      </c>
      <c r="P425" s="99">
        <f t="shared" si="68"/>
        <v>0</v>
      </c>
      <c r="Q425" s="99">
        <f t="shared" si="77"/>
        <v>8.9780020545140605E-3</v>
      </c>
      <c r="S425" s="7">
        <f t="shared" si="69"/>
        <v>6270000.0000000009</v>
      </c>
      <c r="T425" s="7">
        <f t="shared" si="70"/>
        <v>1900000</v>
      </c>
      <c r="U425" s="7">
        <f t="shared" si="71"/>
        <v>9700000</v>
      </c>
      <c r="V425" s="7">
        <f t="shared" si="72"/>
        <v>0</v>
      </c>
      <c r="W425" s="7">
        <f t="shared" si="73"/>
        <v>0</v>
      </c>
      <c r="X425" s="7">
        <f t="shared" si="74"/>
        <v>0</v>
      </c>
    </row>
    <row r="426" spans="1:24">
      <c r="A426">
        <v>425</v>
      </c>
      <c r="B426" s="96" t="s">
        <v>3178</v>
      </c>
      <c r="C426" s="95">
        <v>40836</v>
      </c>
      <c r="D426" s="82">
        <v>5650000</v>
      </c>
      <c r="E426" s="82">
        <v>5650000</v>
      </c>
      <c r="F426" s="82">
        <v>5650000</v>
      </c>
      <c r="G426" s="82">
        <v>5650000</v>
      </c>
      <c r="I426" s="98">
        <v>0</v>
      </c>
      <c r="J426" s="98">
        <v>0</v>
      </c>
      <c r="K426" s="98">
        <v>0</v>
      </c>
      <c r="M426" s="7">
        <f t="shared" si="67"/>
        <v>0</v>
      </c>
      <c r="N426" s="7">
        <f t="shared" si="76"/>
        <v>0</v>
      </c>
      <c r="O426" s="7">
        <f t="shared" si="75"/>
        <v>-50000</v>
      </c>
      <c r="P426" s="99">
        <f t="shared" si="68"/>
        <v>-8.771929824561403E-3</v>
      </c>
      <c r="Q426" s="99">
        <f t="shared" si="77"/>
        <v>3.6682675412397243E-3</v>
      </c>
      <c r="S426" s="7">
        <f t="shared" si="69"/>
        <v>6215000.0000000009</v>
      </c>
      <c r="T426" s="7">
        <f t="shared" si="70"/>
        <v>1883333.3333333333</v>
      </c>
      <c r="U426" s="7">
        <f t="shared" si="71"/>
        <v>9780000</v>
      </c>
      <c r="V426" s="7">
        <f t="shared" si="72"/>
        <v>0</v>
      </c>
      <c r="W426" s="7">
        <f t="shared" si="73"/>
        <v>0</v>
      </c>
      <c r="X426" s="7">
        <f t="shared" si="74"/>
        <v>0</v>
      </c>
    </row>
    <row r="427" spans="1:24">
      <c r="A427">
        <v>426</v>
      </c>
      <c r="B427" s="96" t="s">
        <v>3177</v>
      </c>
      <c r="C427" s="95">
        <v>40838</v>
      </c>
      <c r="D427" s="82">
        <v>5610000</v>
      </c>
      <c r="E427" s="82">
        <v>5610000</v>
      </c>
      <c r="F427" s="82">
        <v>5610000</v>
      </c>
      <c r="G427" s="82">
        <v>5610000</v>
      </c>
      <c r="I427" s="82">
        <f>G427*1.1</f>
        <v>6171000.0000000009</v>
      </c>
      <c r="J427" s="82">
        <f>G427/3</f>
        <v>1870000</v>
      </c>
      <c r="K427" s="7">
        <f>G695</f>
        <v>10110000</v>
      </c>
      <c r="L427" s="7">
        <f>K427-I427</f>
        <v>3938999.9999999991</v>
      </c>
      <c r="M427" s="7">
        <f t="shared" si="67"/>
        <v>233750</v>
      </c>
      <c r="N427" s="7">
        <f t="shared" si="76"/>
        <v>4172749.9999999991</v>
      </c>
      <c r="O427" s="7">
        <f t="shared" si="75"/>
        <v>-40000</v>
      </c>
      <c r="P427" s="99">
        <f t="shared" si="68"/>
        <v>-7.0796460176991149E-3</v>
      </c>
      <c r="Q427" s="99">
        <f t="shared" si="77"/>
        <v>5.4597179983684619E-3</v>
      </c>
      <c r="R427">
        <v>1</v>
      </c>
      <c r="S427" s="7">
        <f t="shared" si="69"/>
        <v>6171000.0000000009</v>
      </c>
      <c r="T427" s="7">
        <f t="shared" si="70"/>
        <v>1870000</v>
      </c>
      <c r="U427" s="7">
        <f t="shared" si="71"/>
        <v>10110000</v>
      </c>
      <c r="V427" s="7">
        <f t="shared" si="72"/>
        <v>3938999.9999999991</v>
      </c>
      <c r="W427" s="7">
        <f t="shared" si="73"/>
        <v>233750</v>
      </c>
      <c r="X427" s="7">
        <f t="shared" si="74"/>
        <v>4172749.9999999991</v>
      </c>
    </row>
    <row r="428" spans="1:24">
      <c r="A428">
        <v>427</v>
      </c>
      <c r="B428" s="96" t="s">
        <v>3176</v>
      </c>
      <c r="C428" s="95">
        <v>40839</v>
      </c>
      <c r="D428" s="82">
        <v>5640000</v>
      </c>
      <c r="E428" s="82">
        <v>5640000</v>
      </c>
      <c r="F428" s="82">
        <v>5640000</v>
      </c>
      <c r="G428" s="82">
        <v>5640000</v>
      </c>
      <c r="I428" s="97">
        <v>0</v>
      </c>
      <c r="J428" s="97">
        <v>0</v>
      </c>
      <c r="K428" s="97">
        <v>0</v>
      </c>
      <c r="M428" s="7">
        <f t="shared" si="67"/>
        <v>0</v>
      </c>
      <c r="N428" s="7">
        <f t="shared" si="76"/>
        <v>0</v>
      </c>
      <c r="O428" s="7">
        <f t="shared" si="75"/>
        <v>30000</v>
      </c>
      <c r="P428" s="99">
        <f t="shared" si="68"/>
        <v>5.3475935828877002E-3</v>
      </c>
      <c r="Q428" s="99">
        <f t="shared" si="77"/>
        <v>-6.9580063111455998E-3</v>
      </c>
      <c r="S428" s="7">
        <f t="shared" si="69"/>
        <v>6204000.0000000009</v>
      </c>
      <c r="T428" s="7">
        <f t="shared" si="70"/>
        <v>1880000</v>
      </c>
      <c r="U428" s="7">
        <f t="shared" si="71"/>
        <v>10290000</v>
      </c>
      <c r="V428" s="7">
        <f t="shared" si="72"/>
        <v>0</v>
      </c>
      <c r="W428" s="7">
        <f t="shared" si="73"/>
        <v>0</v>
      </c>
      <c r="X428" s="7">
        <f t="shared" si="74"/>
        <v>0</v>
      </c>
    </row>
    <row r="429" spans="1:24">
      <c r="A429">
        <v>428</v>
      </c>
      <c r="B429" s="96" t="s">
        <v>3175</v>
      </c>
      <c r="C429" s="95">
        <v>40840</v>
      </c>
      <c r="D429" s="82">
        <v>5700000</v>
      </c>
      <c r="E429" s="82">
        <v>5700000</v>
      </c>
      <c r="F429" s="82">
        <v>5700000</v>
      </c>
      <c r="G429" s="82">
        <v>5700000</v>
      </c>
      <c r="I429" s="97">
        <v>0</v>
      </c>
      <c r="J429" s="97">
        <v>0</v>
      </c>
      <c r="K429" s="97">
        <v>0</v>
      </c>
      <c r="M429" s="7">
        <f t="shared" si="67"/>
        <v>0</v>
      </c>
      <c r="N429" s="7">
        <f t="shared" si="76"/>
        <v>0</v>
      </c>
      <c r="O429" s="7">
        <f t="shared" si="75"/>
        <v>60000</v>
      </c>
      <c r="P429" s="99">
        <f t="shared" si="68"/>
        <v>1.0638297872340425E-2</v>
      </c>
      <c r="Q429" s="99">
        <f t="shared" si="77"/>
        <v>1.9294102805916579E-3</v>
      </c>
      <c r="S429" s="7">
        <f t="shared" si="69"/>
        <v>6270000.0000000009</v>
      </c>
      <c r="T429" s="7">
        <f t="shared" si="70"/>
        <v>1900000</v>
      </c>
      <c r="U429" s="7">
        <f t="shared" si="71"/>
        <v>10490000</v>
      </c>
      <c r="V429" s="7">
        <f t="shared" si="72"/>
        <v>0</v>
      </c>
      <c r="W429" s="7">
        <f t="shared" si="73"/>
        <v>0</v>
      </c>
      <c r="X429" s="7">
        <f t="shared" si="74"/>
        <v>0</v>
      </c>
    </row>
    <row r="430" spans="1:24">
      <c r="A430">
        <v>429</v>
      </c>
      <c r="B430" s="96" t="s">
        <v>3174</v>
      </c>
      <c r="C430" s="95">
        <v>40841</v>
      </c>
      <c r="D430" s="82">
        <v>5680000</v>
      </c>
      <c r="E430" s="82">
        <v>5680000</v>
      </c>
      <c r="F430" s="82">
        <v>5680000</v>
      </c>
      <c r="G430" s="82">
        <v>5680000</v>
      </c>
      <c r="I430" s="97">
        <v>0</v>
      </c>
      <c r="J430" s="97">
        <v>0</v>
      </c>
      <c r="K430" s="97">
        <v>0</v>
      </c>
      <c r="M430" s="7">
        <f t="shared" si="67"/>
        <v>0</v>
      </c>
      <c r="N430" s="7">
        <f t="shared" si="76"/>
        <v>0</v>
      </c>
      <c r="O430" s="7">
        <f t="shared" si="75"/>
        <v>-20000</v>
      </c>
      <c r="P430" s="99">
        <f t="shared" si="68"/>
        <v>-3.5087719298245615E-3</v>
      </c>
      <c r="Q430" s="99">
        <f t="shared" si="77"/>
        <v>1.343156129676084E-4</v>
      </c>
      <c r="S430" s="7">
        <f t="shared" si="69"/>
        <v>6248000.0000000009</v>
      </c>
      <c r="T430" s="7">
        <f t="shared" si="70"/>
        <v>1893333.3333333333</v>
      </c>
      <c r="U430" s="7">
        <f t="shared" si="71"/>
        <v>10700000</v>
      </c>
      <c r="V430" s="7">
        <f t="shared" si="72"/>
        <v>0</v>
      </c>
      <c r="W430" s="7">
        <f t="shared" si="73"/>
        <v>0</v>
      </c>
      <c r="X430" s="7">
        <f t="shared" si="74"/>
        <v>0</v>
      </c>
    </row>
    <row r="431" spans="1:24">
      <c r="A431">
        <v>430</v>
      </c>
      <c r="B431" s="96" t="s">
        <v>3173</v>
      </c>
      <c r="C431" s="95">
        <v>40842</v>
      </c>
      <c r="D431" s="82">
        <v>5670000</v>
      </c>
      <c r="E431" s="82">
        <v>5670000</v>
      </c>
      <c r="F431" s="82">
        <v>5670000</v>
      </c>
      <c r="G431" s="82">
        <v>5670000</v>
      </c>
      <c r="I431" s="98">
        <v>0</v>
      </c>
      <c r="J431" s="98">
        <v>0</v>
      </c>
      <c r="K431" s="98">
        <v>0</v>
      </c>
      <c r="M431" s="7">
        <f t="shared" si="67"/>
        <v>0</v>
      </c>
      <c r="N431" s="7">
        <f t="shared" si="76"/>
        <v>0</v>
      </c>
      <c r="O431" s="7">
        <f t="shared" si="75"/>
        <v>-10000</v>
      </c>
      <c r="P431" s="99">
        <f t="shared" si="68"/>
        <v>-1.7605633802816902E-3</v>
      </c>
      <c r="Q431" s="99">
        <f t="shared" si="77"/>
        <v>-3.3744563168569531E-3</v>
      </c>
      <c r="S431" s="7">
        <f t="shared" si="69"/>
        <v>6237000.0000000009</v>
      </c>
      <c r="T431" s="7">
        <f t="shared" si="70"/>
        <v>1890000</v>
      </c>
      <c r="U431" s="7">
        <f t="shared" si="71"/>
        <v>11320000</v>
      </c>
      <c r="V431" s="7">
        <f t="shared" si="72"/>
        <v>0</v>
      </c>
      <c r="W431" s="7">
        <f t="shared" si="73"/>
        <v>0</v>
      </c>
      <c r="X431" s="7">
        <f t="shared" si="74"/>
        <v>0</v>
      </c>
    </row>
    <row r="432" spans="1:24">
      <c r="A432">
        <v>431</v>
      </c>
      <c r="B432" s="96" t="s">
        <v>3172</v>
      </c>
      <c r="C432" s="95">
        <v>40843</v>
      </c>
      <c r="D432" s="82">
        <v>5770000</v>
      </c>
      <c r="E432" s="82">
        <v>5770000</v>
      </c>
      <c r="F432" s="82">
        <v>5770000</v>
      </c>
      <c r="G432" s="82">
        <v>5770000</v>
      </c>
      <c r="I432" s="82">
        <f>G432*1.1</f>
        <v>6347000.0000000009</v>
      </c>
      <c r="J432" s="82">
        <f>G432/3</f>
        <v>1923333.3333333333</v>
      </c>
      <c r="K432" s="7">
        <f>G700</f>
        <v>11670000</v>
      </c>
      <c r="L432" s="7">
        <f>K432-I432</f>
        <v>5322999.9999999991</v>
      </c>
      <c r="M432" s="7">
        <f t="shared" si="67"/>
        <v>240416.66666666663</v>
      </c>
      <c r="N432" s="7">
        <f t="shared" si="76"/>
        <v>5563416.666666666</v>
      </c>
      <c r="O432" s="7">
        <f t="shared" si="75"/>
        <v>100000</v>
      </c>
      <c r="P432" s="99">
        <f t="shared" si="68"/>
        <v>1.7636684303350969E-2</v>
      </c>
      <c r="Q432" s="99">
        <f t="shared" si="77"/>
        <v>3.6369101274227574E-3</v>
      </c>
      <c r="R432">
        <v>1</v>
      </c>
      <c r="S432" s="7">
        <f t="shared" si="69"/>
        <v>6347000.0000000009</v>
      </c>
      <c r="T432" s="7">
        <f t="shared" si="70"/>
        <v>1923333.3333333333</v>
      </c>
      <c r="U432" s="7">
        <f t="shared" si="71"/>
        <v>11670000</v>
      </c>
      <c r="V432" s="7">
        <f t="shared" si="72"/>
        <v>5322999.9999999991</v>
      </c>
      <c r="W432" s="7">
        <f t="shared" si="73"/>
        <v>240416.66666666663</v>
      </c>
      <c r="X432" s="7">
        <f t="shared" si="74"/>
        <v>5563416.666666666</v>
      </c>
    </row>
    <row r="433" spans="1:24">
      <c r="A433">
        <v>432</v>
      </c>
      <c r="B433" s="96" t="s">
        <v>3171</v>
      </c>
      <c r="C433" s="95">
        <v>40845</v>
      </c>
      <c r="D433" s="82">
        <v>5770000</v>
      </c>
      <c r="E433" s="82">
        <v>5770000</v>
      </c>
      <c r="F433" s="82">
        <v>5770000</v>
      </c>
      <c r="G433" s="82">
        <v>5770000</v>
      </c>
      <c r="I433" s="97">
        <v>0</v>
      </c>
      <c r="J433" s="97">
        <v>0</v>
      </c>
      <c r="K433" s="97">
        <v>0</v>
      </c>
      <c r="M433" s="7">
        <f t="shared" si="67"/>
        <v>0</v>
      </c>
      <c r="N433" s="7">
        <f t="shared" si="76"/>
        <v>0</v>
      </c>
      <c r="O433" s="7">
        <f t="shared" si="75"/>
        <v>0</v>
      </c>
      <c r="P433" s="99">
        <f t="shared" si="68"/>
        <v>0</v>
      </c>
      <c r="Q433" s="99">
        <f t="shared" si="77"/>
        <v>2.8353240448472844E-2</v>
      </c>
      <c r="S433" s="7">
        <f t="shared" si="69"/>
        <v>6347000.0000000009</v>
      </c>
      <c r="T433" s="7">
        <f t="shared" si="70"/>
        <v>1923333.3333333333</v>
      </c>
      <c r="U433" s="7">
        <f t="shared" si="71"/>
        <v>13450000</v>
      </c>
      <c r="V433" s="7">
        <f t="shared" si="72"/>
        <v>0</v>
      </c>
      <c r="W433" s="7">
        <f t="shared" si="73"/>
        <v>0</v>
      </c>
      <c r="X433" s="7">
        <f t="shared" si="74"/>
        <v>0</v>
      </c>
    </row>
    <row r="434" spans="1:24">
      <c r="A434">
        <v>433</v>
      </c>
      <c r="B434" s="96" t="s">
        <v>3170</v>
      </c>
      <c r="C434" s="95">
        <v>40846</v>
      </c>
      <c r="D434" s="82">
        <v>5880000</v>
      </c>
      <c r="E434" s="82">
        <v>5880000</v>
      </c>
      <c r="F434" s="82">
        <v>5880000</v>
      </c>
      <c r="G434" s="82">
        <v>5880000</v>
      </c>
      <c r="I434" s="97">
        <v>0</v>
      </c>
      <c r="J434" s="97">
        <v>0</v>
      </c>
      <c r="K434" s="97">
        <v>0</v>
      </c>
      <c r="M434" s="7">
        <f t="shared" si="67"/>
        <v>0</v>
      </c>
      <c r="N434" s="7">
        <f t="shared" si="76"/>
        <v>0</v>
      </c>
      <c r="O434" s="7">
        <f t="shared" si="75"/>
        <v>110000</v>
      </c>
      <c r="P434" s="99">
        <f t="shared" si="68"/>
        <v>1.9064124783362217E-2</v>
      </c>
      <c r="Q434" s="99">
        <f t="shared" si="77"/>
        <v>2.3005646865585143E-2</v>
      </c>
      <c r="S434" s="7">
        <f t="shared" si="69"/>
        <v>6468000.0000000009</v>
      </c>
      <c r="T434" s="7">
        <f t="shared" si="70"/>
        <v>1960000</v>
      </c>
      <c r="U434" s="7">
        <f t="shared" si="71"/>
        <v>13500000</v>
      </c>
      <c r="V434" s="7">
        <f t="shared" si="72"/>
        <v>0</v>
      </c>
      <c r="W434" s="7">
        <f t="shared" si="73"/>
        <v>0</v>
      </c>
      <c r="X434" s="7">
        <f t="shared" si="74"/>
        <v>0</v>
      </c>
    </row>
    <row r="435" spans="1:24">
      <c r="A435">
        <v>434</v>
      </c>
      <c r="B435" s="96" t="s">
        <v>3169</v>
      </c>
      <c r="C435" s="95">
        <v>40847</v>
      </c>
      <c r="D435" s="82">
        <v>5950000</v>
      </c>
      <c r="E435" s="82">
        <v>5950000</v>
      </c>
      <c r="F435" s="82">
        <v>5950000</v>
      </c>
      <c r="G435" s="82">
        <v>5950000</v>
      </c>
      <c r="I435" s="97">
        <v>0</v>
      </c>
      <c r="J435" s="97">
        <v>0</v>
      </c>
      <c r="K435" s="97">
        <v>0</v>
      </c>
      <c r="M435" s="7">
        <f t="shared" si="67"/>
        <v>0</v>
      </c>
      <c r="N435" s="7">
        <f t="shared" si="76"/>
        <v>0</v>
      </c>
      <c r="O435" s="7">
        <f t="shared" si="75"/>
        <v>70000</v>
      </c>
      <c r="P435" s="99">
        <f t="shared" si="68"/>
        <v>1.1904761904761904E-2</v>
      </c>
      <c r="Q435" s="99">
        <f t="shared" si="77"/>
        <v>3.1431473776606933E-2</v>
      </c>
      <c r="S435" s="7">
        <f t="shared" si="69"/>
        <v>6545000.0000000009</v>
      </c>
      <c r="T435" s="7">
        <f t="shared" si="70"/>
        <v>1983333.3333333333</v>
      </c>
      <c r="U435" s="7">
        <f t="shared" si="71"/>
        <v>12800000</v>
      </c>
      <c r="V435" s="7">
        <f t="shared" si="72"/>
        <v>0</v>
      </c>
      <c r="W435" s="7">
        <f t="shared" si="73"/>
        <v>0</v>
      </c>
      <c r="X435" s="7">
        <f t="shared" si="74"/>
        <v>0</v>
      </c>
    </row>
    <row r="436" spans="1:24">
      <c r="A436">
        <v>435</v>
      </c>
      <c r="B436" s="96" t="s">
        <v>3168</v>
      </c>
      <c r="C436" s="95">
        <v>40848</v>
      </c>
      <c r="D436" s="82">
        <v>5930000</v>
      </c>
      <c r="E436" s="82">
        <v>5930000</v>
      </c>
      <c r="F436" s="82">
        <v>5930000</v>
      </c>
      <c r="G436" s="82">
        <v>5930000</v>
      </c>
      <c r="I436" s="98">
        <v>0</v>
      </c>
      <c r="J436" s="98">
        <v>0</v>
      </c>
      <c r="K436" s="98">
        <v>0</v>
      </c>
      <c r="M436" s="7">
        <f t="shared" si="67"/>
        <v>0</v>
      </c>
      <c r="N436" s="7">
        <f t="shared" si="76"/>
        <v>0</v>
      </c>
      <c r="O436" s="7">
        <f t="shared" si="75"/>
        <v>-20000</v>
      </c>
      <c r="P436" s="99">
        <f t="shared" si="68"/>
        <v>-3.3613445378151263E-3</v>
      </c>
      <c r="Q436" s="99">
        <f t="shared" si="77"/>
        <v>4.6845007611193396E-2</v>
      </c>
      <c r="S436" s="7">
        <f t="shared" si="69"/>
        <v>6523000.0000000009</v>
      </c>
      <c r="T436" s="7">
        <f t="shared" si="70"/>
        <v>1976666.6666666667</v>
      </c>
      <c r="U436" s="7">
        <f t="shared" si="71"/>
        <v>12830000</v>
      </c>
      <c r="V436" s="7">
        <f t="shared" si="72"/>
        <v>0</v>
      </c>
      <c r="W436" s="7">
        <f t="shared" si="73"/>
        <v>0</v>
      </c>
      <c r="X436" s="7">
        <f t="shared" si="74"/>
        <v>0</v>
      </c>
    </row>
    <row r="437" spans="1:24">
      <c r="A437">
        <v>436</v>
      </c>
      <c r="B437" s="96" t="s">
        <v>3167</v>
      </c>
      <c r="C437" s="95">
        <v>40849</v>
      </c>
      <c r="D437" s="82">
        <v>5900000</v>
      </c>
      <c r="E437" s="82">
        <v>5900000</v>
      </c>
      <c r="F437" s="82">
        <v>5900000</v>
      </c>
      <c r="G437" s="82">
        <v>5900000</v>
      </c>
      <c r="I437" s="82">
        <f>G437*1.1</f>
        <v>6490000.0000000009</v>
      </c>
      <c r="J437" s="82">
        <f>G437/3</f>
        <v>1966666.6666666667</v>
      </c>
      <c r="K437" s="7">
        <f>G705</f>
        <v>13100000</v>
      </c>
      <c r="L437" s="7">
        <f>K437-I437</f>
        <v>6609999.9999999991</v>
      </c>
      <c r="M437" s="7">
        <f t="shared" si="67"/>
        <v>245833.33333333337</v>
      </c>
      <c r="N437" s="7">
        <f t="shared" si="76"/>
        <v>6855833.3333333321</v>
      </c>
      <c r="O437" s="7">
        <f t="shared" si="75"/>
        <v>-30000</v>
      </c>
      <c r="P437" s="99">
        <f t="shared" si="68"/>
        <v>-5.0590219224283303E-3</v>
      </c>
      <c r="Q437" s="99">
        <f t="shared" si="77"/>
        <v>4.5244226453659962E-2</v>
      </c>
      <c r="R437">
        <v>1</v>
      </c>
      <c r="S437" s="7">
        <f t="shared" si="69"/>
        <v>6490000.0000000009</v>
      </c>
      <c r="T437" s="7">
        <f t="shared" si="70"/>
        <v>1966666.6666666667</v>
      </c>
      <c r="U437" s="7">
        <f t="shared" si="71"/>
        <v>13100000</v>
      </c>
      <c r="V437" s="7">
        <f t="shared" si="72"/>
        <v>6609999.9999999991</v>
      </c>
      <c r="W437" s="7">
        <f t="shared" si="73"/>
        <v>245833.33333333337</v>
      </c>
      <c r="X437" s="7">
        <f t="shared" si="74"/>
        <v>6855833.3333333321</v>
      </c>
    </row>
    <row r="438" spans="1:24">
      <c r="A438">
        <v>437</v>
      </c>
      <c r="B438" s="96" t="s">
        <v>3166</v>
      </c>
      <c r="C438" s="95">
        <v>40850</v>
      </c>
      <c r="D438" s="82">
        <v>5920000</v>
      </c>
      <c r="E438" s="82">
        <v>5920000</v>
      </c>
      <c r="F438" s="82">
        <v>5920000</v>
      </c>
      <c r="G438" s="82">
        <v>5920000</v>
      </c>
      <c r="I438" s="97">
        <v>0</v>
      </c>
      <c r="J438" s="97">
        <v>0</v>
      </c>
      <c r="K438" s="97">
        <v>0</v>
      </c>
      <c r="M438" s="7">
        <f t="shared" si="67"/>
        <v>0</v>
      </c>
      <c r="N438" s="7">
        <f t="shared" si="76"/>
        <v>0</v>
      </c>
      <c r="O438" s="7">
        <f t="shared" si="75"/>
        <v>20000</v>
      </c>
      <c r="P438" s="99">
        <f t="shared" si="68"/>
        <v>3.3898305084745762E-3</v>
      </c>
      <c r="Q438" s="99">
        <f t="shared" si="77"/>
        <v>2.2548520227880661E-2</v>
      </c>
      <c r="S438" s="7">
        <f t="shared" si="69"/>
        <v>6512000.0000000009</v>
      </c>
      <c r="T438" s="7">
        <f t="shared" si="70"/>
        <v>1973333.3333333333</v>
      </c>
      <c r="U438" s="7">
        <f t="shared" si="71"/>
        <v>14200000</v>
      </c>
      <c r="V438" s="7">
        <f t="shared" si="72"/>
        <v>0</v>
      </c>
      <c r="W438" s="7">
        <f t="shared" si="73"/>
        <v>0</v>
      </c>
      <c r="X438" s="7">
        <f t="shared" si="74"/>
        <v>0</v>
      </c>
    </row>
    <row r="439" spans="1:24">
      <c r="A439">
        <v>438</v>
      </c>
      <c r="B439" s="96" t="s">
        <v>3165</v>
      </c>
      <c r="C439" s="95">
        <v>40852</v>
      </c>
      <c r="D439" s="82">
        <v>5930000</v>
      </c>
      <c r="E439" s="82">
        <v>5930000</v>
      </c>
      <c r="F439" s="82">
        <v>5930000</v>
      </c>
      <c r="G439" s="82">
        <v>5930000</v>
      </c>
      <c r="I439" s="97">
        <v>0</v>
      </c>
      <c r="J439" s="97">
        <v>0</v>
      </c>
      <c r="K439" s="97">
        <v>0</v>
      </c>
      <c r="M439" s="7">
        <f t="shared" si="67"/>
        <v>0</v>
      </c>
      <c r="N439" s="7">
        <f t="shared" si="76"/>
        <v>0</v>
      </c>
      <c r="O439" s="7">
        <f t="shared" si="75"/>
        <v>10000</v>
      </c>
      <c r="P439" s="99">
        <f t="shared" si="68"/>
        <v>1.6891891891891893E-3</v>
      </c>
      <c r="Q439" s="99">
        <f t="shared" si="77"/>
        <v>2.5938350736355236E-2</v>
      </c>
      <c r="S439" s="7">
        <f t="shared" si="69"/>
        <v>6523000.0000000009</v>
      </c>
      <c r="T439" s="7">
        <f t="shared" si="70"/>
        <v>1976666.6666666667</v>
      </c>
      <c r="U439" s="7">
        <f t="shared" si="71"/>
        <v>14980000</v>
      </c>
      <c r="V439" s="7">
        <f t="shared" si="72"/>
        <v>0</v>
      </c>
      <c r="W439" s="7">
        <f t="shared" si="73"/>
        <v>0</v>
      </c>
      <c r="X439" s="7">
        <f t="shared" si="74"/>
        <v>0</v>
      </c>
    </row>
    <row r="440" spans="1:24">
      <c r="A440">
        <v>439</v>
      </c>
      <c r="B440" s="96" t="s">
        <v>3164</v>
      </c>
      <c r="C440" s="95">
        <v>40853</v>
      </c>
      <c r="D440" s="82">
        <v>5910000</v>
      </c>
      <c r="E440" s="82">
        <v>5910000</v>
      </c>
      <c r="F440" s="82">
        <v>5910000</v>
      </c>
      <c r="G440" s="82">
        <v>5910000</v>
      </c>
      <c r="I440" s="97">
        <v>0</v>
      </c>
      <c r="J440" s="97">
        <v>0</v>
      </c>
      <c r="K440" s="97">
        <v>0</v>
      </c>
      <c r="M440" s="7">
        <f t="shared" si="67"/>
        <v>0</v>
      </c>
      <c r="N440" s="7">
        <f t="shared" si="76"/>
        <v>0</v>
      </c>
      <c r="O440" s="7">
        <f t="shared" si="75"/>
        <v>-20000</v>
      </c>
      <c r="P440" s="99">
        <f t="shared" si="68"/>
        <v>-3.3726812816188868E-3</v>
      </c>
      <c r="Q440" s="99">
        <f t="shared" si="77"/>
        <v>8.5634151421822135E-3</v>
      </c>
      <c r="S440" s="7">
        <f t="shared" si="69"/>
        <v>6501000.0000000009</v>
      </c>
      <c r="T440" s="7">
        <f t="shared" si="70"/>
        <v>1970000</v>
      </c>
      <c r="U440" s="7">
        <f t="shared" si="71"/>
        <v>13860000</v>
      </c>
      <c r="V440" s="7">
        <f t="shared" si="72"/>
        <v>0</v>
      </c>
      <c r="W440" s="7">
        <f t="shared" si="73"/>
        <v>0</v>
      </c>
      <c r="X440" s="7">
        <f t="shared" si="74"/>
        <v>0</v>
      </c>
    </row>
    <row r="441" spans="1:24">
      <c r="A441">
        <v>440</v>
      </c>
      <c r="B441" s="96" t="s">
        <v>3163</v>
      </c>
      <c r="C441" s="95">
        <v>40855</v>
      </c>
      <c r="D441" s="82">
        <v>5920000</v>
      </c>
      <c r="E441" s="82">
        <v>5920000</v>
      </c>
      <c r="F441" s="82">
        <v>5920000</v>
      </c>
      <c r="G441" s="82">
        <v>5920000</v>
      </c>
      <c r="I441" s="98">
        <v>0</v>
      </c>
      <c r="J441" s="98">
        <v>0</v>
      </c>
      <c r="K441" s="98">
        <v>0</v>
      </c>
      <c r="M441" s="7">
        <f t="shared" si="67"/>
        <v>0</v>
      </c>
      <c r="N441" s="7">
        <f t="shared" si="76"/>
        <v>0</v>
      </c>
      <c r="O441" s="7">
        <f t="shared" si="75"/>
        <v>10000</v>
      </c>
      <c r="P441" s="99">
        <f t="shared" si="68"/>
        <v>1.6920473773265651E-3</v>
      </c>
      <c r="Q441" s="99">
        <f t="shared" si="77"/>
        <v>-6.7140280441985774E-3</v>
      </c>
      <c r="S441" s="7">
        <f t="shared" si="69"/>
        <v>6512000.0000000009</v>
      </c>
      <c r="T441" s="7">
        <f t="shared" si="70"/>
        <v>1973333.3333333333</v>
      </c>
      <c r="U441" s="7">
        <f t="shared" si="71"/>
        <v>13200000</v>
      </c>
      <c r="V441" s="7">
        <f t="shared" si="72"/>
        <v>0</v>
      </c>
      <c r="W441" s="7">
        <f t="shared" si="73"/>
        <v>0</v>
      </c>
      <c r="X441" s="7">
        <f t="shared" si="74"/>
        <v>0</v>
      </c>
    </row>
    <row r="442" spans="1:24">
      <c r="A442">
        <v>441</v>
      </c>
      <c r="B442" s="96" t="s">
        <v>3162</v>
      </c>
      <c r="C442" s="95">
        <v>40856</v>
      </c>
      <c r="D442" s="82">
        <v>6060000</v>
      </c>
      <c r="E442" s="82">
        <v>6060000</v>
      </c>
      <c r="F442" s="82">
        <v>6060000</v>
      </c>
      <c r="G442" s="82">
        <v>6060000</v>
      </c>
      <c r="I442" s="82">
        <f>G442*1.1</f>
        <v>6666000.0000000009</v>
      </c>
      <c r="J442" s="82">
        <f>G442/3</f>
        <v>2020000</v>
      </c>
      <c r="K442" s="7">
        <f>G710</f>
        <v>12500000</v>
      </c>
      <c r="L442" s="7">
        <f>K442-I442</f>
        <v>5833999.9999999991</v>
      </c>
      <c r="M442" s="7">
        <f t="shared" si="67"/>
        <v>252500</v>
      </c>
      <c r="N442" s="7">
        <f t="shared" si="76"/>
        <v>6086499.9999999991</v>
      </c>
      <c r="O442" s="7">
        <f t="shared" si="75"/>
        <v>140000</v>
      </c>
      <c r="P442" s="99">
        <f t="shared" si="68"/>
        <v>2.364864864864865E-2</v>
      </c>
      <c r="Q442" s="99">
        <f t="shared" si="77"/>
        <v>-1.6606361290568865E-3</v>
      </c>
      <c r="R442">
        <v>1</v>
      </c>
      <c r="S442" s="7">
        <f t="shared" si="69"/>
        <v>6666000.0000000009</v>
      </c>
      <c r="T442" s="7">
        <f t="shared" si="70"/>
        <v>2020000</v>
      </c>
      <c r="U442" s="7">
        <f t="shared" si="71"/>
        <v>12500000</v>
      </c>
      <c r="V442" s="7">
        <f t="shared" si="72"/>
        <v>5833999.9999999991</v>
      </c>
      <c r="W442" s="7">
        <f t="shared" si="73"/>
        <v>252500</v>
      </c>
      <c r="X442" s="7">
        <f t="shared" si="74"/>
        <v>6086499.9999999991</v>
      </c>
    </row>
    <row r="443" spans="1:24">
      <c r="A443">
        <v>442</v>
      </c>
      <c r="B443" s="96" t="s">
        <v>3161</v>
      </c>
      <c r="C443" s="95">
        <v>40857</v>
      </c>
      <c r="D443" s="82">
        <v>6100000</v>
      </c>
      <c r="E443" s="82">
        <v>6100000</v>
      </c>
      <c r="F443" s="82">
        <v>6100000</v>
      </c>
      <c r="G443" s="82">
        <v>6100000</v>
      </c>
      <c r="I443" s="97">
        <v>0</v>
      </c>
      <c r="J443" s="97">
        <v>0</v>
      </c>
      <c r="K443" s="97">
        <v>0</v>
      </c>
      <c r="M443" s="7">
        <f t="shared" si="67"/>
        <v>0</v>
      </c>
      <c r="N443" s="7">
        <f t="shared" si="76"/>
        <v>0</v>
      </c>
      <c r="O443" s="7">
        <f t="shared" si="75"/>
        <v>40000</v>
      </c>
      <c r="P443" s="99">
        <f t="shared" si="68"/>
        <v>6.6006600660066007E-3</v>
      </c>
      <c r="Q443" s="99">
        <f t="shared" si="77"/>
        <v>2.7047034442020095E-2</v>
      </c>
      <c r="S443" s="7">
        <f t="shared" si="69"/>
        <v>6710000.0000000009</v>
      </c>
      <c r="T443" s="7">
        <f t="shared" si="70"/>
        <v>2033333.3333333333</v>
      </c>
      <c r="U443" s="7">
        <f t="shared" si="71"/>
        <v>13000000</v>
      </c>
      <c r="V443" s="7">
        <f t="shared" si="72"/>
        <v>0</v>
      </c>
      <c r="W443" s="7">
        <f t="shared" si="73"/>
        <v>0</v>
      </c>
      <c r="X443" s="7">
        <f t="shared" si="74"/>
        <v>0</v>
      </c>
    </row>
    <row r="444" spans="1:24">
      <c r="A444">
        <v>443</v>
      </c>
      <c r="B444" s="96" t="s">
        <v>3160</v>
      </c>
      <c r="C444" s="95">
        <v>40859</v>
      </c>
      <c r="D444" s="82">
        <v>6100000</v>
      </c>
      <c r="E444" s="82">
        <v>6100000</v>
      </c>
      <c r="F444" s="82">
        <v>6100000</v>
      </c>
      <c r="G444" s="82">
        <v>6100000</v>
      </c>
      <c r="I444" s="97">
        <v>0</v>
      </c>
      <c r="J444" s="97">
        <v>0</v>
      </c>
      <c r="K444" s="97">
        <v>0</v>
      </c>
      <c r="M444" s="7">
        <f t="shared" si="67"/>
        <v>0</v>
      </c>
      <c r="N444" s="7">
        <f t="shared" si="76"/>
        <v>0</v>
      </c>
      <c r="O444" s="7">
        <f t="shared" si="75"/>
        <v>0</v>
      </c>
      <c r="P444" s="99">
        <f t="shared" si="68"/>
        <v>0</v>
      </c>
      <c r="Q444" s="99">
        <f t="shared" si="77"/>
        <v>3.0257863999552118E-2</v>
      </c>
      <c r="S444" s="7">
        <f t="shared" si="69"/>
        <v>6710000.0000000009</v>
      </c>
      <c r="T444" s="7">
        <f t="shared" si="70"/>
        <v>2033333.3333333333</v>
      </c>
      <c r="U444" s="7">
        <f t="shared" si="71"/>
        <v>13050000</v>
      </c>
      <c r="V444" s="7">
        <f t="shared" si="72"/>
        <v>0</v>
      </c>
      <c r="W444" s="7">
        <f t="shared" si="73"/>
        <v>0</v>
      </c>
      <c r="X444" s="7">
        <f t="shared" si="74"/>
        <v>0</v>
      </c>
    </row>
    <row r="445" spans="1:24">
      <c r="A445">
        <v>444</v>
      </c>
      <c r="B445" s="96" t="s">
        <v>3159</v>
      </c>
      <c r="C445" s="95">
        <v>40860</v>
      </c>
      <c r="D445" s="82">
        <v>6170000</v>
      </c>
      <c r="E445" s="82">
        <v>6170000</v>
      </c>
      <c r="F445" s="82">
        <v>6170000</v>
      </c>
      <c r="G445" s="82">
        <v>6170000</v>
      </c>
      <c r="I445" s="97">
        <v>0</v>
      </c>
      <c r="J445" s="97">
        <v>0</v>
      </c>
      <c r="K445" s="97">
        <v>0</v>
      </c>
      <c r="M445" s="7">
        <f t="shared" si="67"/>
        <v>0</v>
      </c>
      <c r="N445" s="7">
        <f t="shared" si="76"/>
        <v>0</v>
      </c>
      <c r="O445" s="7">
        <f t="shared" si="75"/>
        <v>70000</v>
      </c>
      <c r="P445" s="99">
        <f t="shared" si="68"/>
        <v>1.1475409836065573E-2</v>
      </c>
      <c r="Q445" s="99">
        <f t="shared" si="77"/>
        <v>2.8568674810362928E-2</v>
      </c>
      <c r="S445" s="7">
        <f t="shared" si="69"/>
        <v>6787000.0000000009</v>
      </c>
      <c r="T445" s="7">
        <f t="shared" si="70"/>
        <v>2056666.6666666667</v>
      </c>
      <c r="U445" s="7">
        <f t="shared" si="71"/>
        <v>12730000</v>
      </c>
      <c r="V445" s="7">
        <f t="shared" si="72"/>
        <v>0</v>
      </c>
      <c r="W445" s="7">
        <f t="shared" si="73"/>
        <v>0</v>
      </c>
      <c r="X445" s="7">
        <f t="shared" si="74"/>
        <v>0</v>
      </c>
    </row>
    <row r="446" spans="1:24">
      <c r="A446">
        <v>445</v>
      </c>
      <c r="B446" s="96" t="s">
        <v>3158</v>
      </c>
      <c r="C446" s="95">
        <v>40861</v>
      </c>
      <c r="D446" s="82">
        <v>6180000</v>
      </c>
      <c r="E446" s="82">
        <v>6180000</v>
      </c>
      <c r="F446" s="82">
        <v>6180000</v>
      </c>
      <c r="G446" s="82">
        <v>6180000</v>
      </c>
      <c r="I446" s="98">
        <v>0</v>
      </c>
      <c r="J446" s="98">
        <v>0</v>
      </c>
      <c r="K446" s="98">
        <v>0</v>
      </c>
      <c r="M446" s="7">
        <f t="shared" si="67"/>
        <v>0</v>
      </c>
      <c r="N446" s="7">
        <f t="shared" si="76"/>
        <v>0</v>
      </c>
      <c r="O446" s="7">
        <f t="shared" si="75"/>
        <v>10000</v>
      </c>
      <c r="P446" s="99">
        <f t="shared" si="68"/>
        <v>1.6207455429497568E-3</v>
      </c>
      <c r="Q446" s="99">
        <f t="shared" si="77"/>
        <v>4.3416765928047385E-2</v>
      </c>
      <c r="S446" s="7">
        <f t="shared" si="69"/>
        <v>6798000.0000000009</v>
      </c>
      <c r="T446" s="7">
        <f t="shared" si="70"/>
        <v>2060000</v>
      </c>
      <c r="U446" s="7">
        <f t="shared" si="71"/>
        <v>12950000</v>
      </c>
      <c r="V446" s="7">
        <f t="shared" si="72"/>
        <v>0</v>
      </c>
      <c r="W446" s="7">
        <f t="shared" si="73"/>
        <v>0</v>
      </c>
      <c r="X446" s="7">
        <f t="shared" si="74"/>
        <v>0</v>
      </c>
    </row>
    <row r="447" spans="1:24">
      <c r="A447">
        <v>446</v>
      </c>
      <c r="B447" s="96" t="s">
        <v>3157</v>
      </c>
      <c r="C447" s="95">
        <v>40863</v>
      </c>
      <c r="D447" s="82">
        <v>6170000</v>
      </c>
      <c r="E447" s="82">
        <v>6170000</v>
      </c>
      <c r="F447" s="82">
        <v>6170000</v>
      </c>
      <c r="G447" s="82">
        <v>6170000</v>
      </c>
      <c r="I447" s="82">
        <f>G447*1.1</f>
        <v>6787000.0000000009</v>
      </c>
      <c r="J447" s="82">
        <f>G447/3</f>
        <v>2056666.6666666667</v>
      </c>
      <c r="K447" s="7">
        <f>G715</f>
        <v>13050000</v>
      </c>
      <c r="L447" s="7">
        <f>K447-I447</f>
        <v>6262999.9999999991</v>
      </c>
      <c r="M447" s="7">
        <f t="shared" si="67"/>
        <v>257083.33333333337</v>
      </c>
      <c r="N447" s="7">
        <f t="shared" si="76"/>
        <v>6520083.3333333321</v>
      </c>
      <c r="O447" s="7">
        <f t="shared" si="75"/>
        <v>-10000</v>
      </c>
      <c r="P447" s="99">
        <f t="shared" si="68"/>
        <v>-1.6181229773462784E-3</v>
      </c>
      <c r="Q447" s="99">
        <f t="shared" si="77"/>
        <v>4.3345464093670578E-2</v>
      </c>
      <c r="R447">
        <v>1</v>
      </c>
      <c r="S447" s="7">
        <f t="shared" si="69"/>
        <v>6787000.0000000009</v>
      </c>
      <c r="T447" s="7">
        <f t="shared" si="70"/>
        <v>2056666.6666666667</v>
      </c>
      <c r="U447" s="7">
        <f t="shared" si="71"/>
        <v>13050000</v>
      </c>
      <c r="V447" s="7">
        <f t="shared" si="72"/>
        <v>6262999.9999999991</v>
      </c>
      <c r="W447" s="7">
        <f t="shared" si="73"/>
        <v>257083.33333333337</v>
      </c>
      <c r="X447" s="7">
        <f t="shared" si="74"/>
        <v>6520083.3333333321</v>
      </c>
    </row>
    <row r="448" spans="1:24">
      <c r="A448">
        <v>447</v>
      </c>
      <c r="B448" s="96" t="s">
        <v>3156</v>
      </c>
      <c r="C448" s="95">
        <v>40864</v>
      </c>
      <c r="D448" s="82">
        <v>6180000</v>
      </c>
      <c r="E448" s="82">
        <v>6180000</v>
      </c>
      <c r="F448" s="82">
        <v>6180000</v>
      </c>
      <c r="G448" s="82">
        <v>6180000</v>
      </c>
      <c r="I448" s="97">
        <v>0</v>
      </c>
      <c r="J448" s="97">
        <v>0</v>
      </c>
      <c r="K448" s="97">
        <v>0</v>
      </c>
      <c r="M448" s="7">
        <f t="shared" si="67"/>
        <v>0</v>
      </c>
      <c r="N448" s="7">
        <f t="shared" si="76"/>
        <v>0</v>
      </c>
      <c r="O448" s="7">
        <f t="shared" si="75"/>
        <v>10000</v>
      </c>
      <c r="P448" s="99">
        <f t="shared" si="68"/>
        <v>1.6207455429497568E-3</v>
      </c>
      <c r="Q448" s="99">
        <f t="shared" si="77"/>
        <v>1.8078692467675652E-2</v>
      </c>
      <c r="S448" s="7">
        <f t="shared" si="69"/>
        <v>6798000.0000000009</v>
      </c>
      <c r="T448" s="7">
        <f t="shared" si="70"/>
        <v>2060000</v>
      </c>
      <c r="U448" s="7">
        <f t="shared" si="71"/>
        <v>12770000</v>
      </c>
      <c r="V448" s="7">
        <f t="shared" si="72"/>
        <v>0</v>
      </c>
      <c r="W448" s="7">
        <f t="shared" si="73"/>
        <v>0</v>
      </c>
      <c r="X448" s="7">
        <f t="shared" si="74"/>
        <v>0</v>
      </c>
    </row>
    <row r="449" spans="1:24">
      <c r="A449">
        <v>448</v>
      </c>
      <c r="B449" s="96" t="s">
        <v>3155</v>
      </c>
      <c r="C449" s="95">
        <v>40866</v>
      </c>
      <c r="D449" s="82">
        <v>6160000</v>
      </c>
      <c r="E449" s="82">
        <v>6160000</v>
      </c>
      <c r="F449" s="82">
        <v>6160000</v>
      </c>
      <c r="G449" s="82">
        <v>6160000</v>
      </c>
      <c r="I449" s="97">
        <v>0</v>
      </c>
      <c r="J449" s="97">
        <v>0</v>
      </c>
      <c r="K449" s="97">
        <v>0</v>
      </c>
      <c r="M449" s="7">
        <f t="shared" si="67"/>
        <v>0</v>
      </c>
      <c r="N449" s="7">
        <f t="shared" si="76"/>
        <v>0</v>
      </c>
      <c r="O449" s="7">
        <f t="shared" si="75"/>
        <v>-20000</v>
      </c>
      <c r="P449" s="99">
        <f t="shared" si="68"/>
        <v>-3.2362459546925568E-3</v>
      </c>
      <c r="Q449" s="99">
        <f t="shared" si="77"/>
        <v>1.3098777944618807E-2</v>
      </c>
      <c r="S449" s="7">
        <f t="shared" si="69"/>
        <v>6776000.0000000009</v>
      </c>
      <c r="T449" s="7">
        <f t="shared" si="70"/>
        <v>2053333.3333333333</v>
      </c>
      <c r="U449" s="7">
        <f t="shared" si="71"/>
        <v>12670000</v>
      </c>
      <c r="V449" s="7">
        <f t="shared" si="72"/>
        <v>0</v>
      </c>
      <c r="W449" s="7">
        <f t="shared" si="73"/>
        <v>0</v>
      </c>
      <c r="X449" s="7">
        <f t="shared" si="74"/>
        <v>0</v>
      </c>
    </row>
    <row r="450" spans="1:24">
      <c r="A450">
        <v>449</v>
      </c>
      <c r="B450" s="96" t="s">
        <v>3154</v>
      </c>
      <c r="C450" s="95">
        <v>40867</v>
      </c>
      <c r="D450" s="82">
        <v>6120000</v>
      </c>
      <c r="E450" s="82">
        <v>6120000</v>
      </c>
      <c r="F450" s="82">
        <v>6120000</v>
      </c>
      <c r="G450" s="82">
        <v>6120000</v>
      </c>
      <c r="I450" s="97">
        <v>0</v>
      </c>
      <c r="J450" s="97">
        <v>0</v>
      </c>
      <c r="K450" s="97">
        <v>0</v>
      </c>
      <c r="M450" s="7">
        <f t="shared" ref="M450:M513" si="78">J450*$AI$6/200</f>
        <v>0</v>
      </c>
      <c r="N450" s="7">
        <f t="shared" si="76"/>
        <v>0</v>
      </c>
      <c r="O450" s="7">
        <f t="shared" si="75"/>
        <v>-40000</v>
      </c>
      <c r="P450" s="99">
        <f t="shared" si="68"/>
        <v>-6.4935064935064939E-3</v>
      </c>
      <c r="Q450" s="99">
        <f t="shared" si="77"/>
        <v>9.8625319899262511E-3</v>
      </c>
      <c r="S450" s="7">
        <f t="shared" si="69"/>
        <v>6732000.0000000009</v>
      </c>
      <c r="T450" s="7">
        <f t="shared" si="70"/>
        <v>2040000</v>
      </c>
      <c r="U450" s="7">
        <f t="shared" si="71"/>
        <v>12650000</v>
      </c>
      <c r="V450" s="7">
        <f t="shared" si="72"/>
        <v>0</v>
      </c>
      <c r="W450" s="7">
        <f t="shared" si="73"/>
        <v>0</v>
      </c>
      <c r="X450" s="7">
        <f t="shared" si="74"/>
        <v>0</v>
      </c>
    </row>
    <row r="451" spans="1:24">
      <c r="A451">
        <v>450</v>
      </c>
      <c r="B451" s="96" t="s">
        <v>3153</v>
      </c>
      <c r="C451" s="95">
        <v>40868</v>
      </c>
      <c r="D451" s="82">
        <v>6050000</v>
      </c>
      <c r="E451" s="82">
        <v>6050000</v>
      </c>
      <c r="F451" s="82">
        <v>6050000</v>
      </c>
      <c r="G451" s="82">
        <v>6050000</v>
      </c>
      <c r="I451" s="98">
        <v>0</v>
      </c>
      <c r="J451" s="98">
        <v>0</v>
      </c>
      <c r="K451" s="98">
        <v>0</v>
      </c>
      <c r="M451" s="7">
        <f t="shared" si="78"/>
        <v>0</v>
      </c>
      <c r="N451" s="7">
        <f t="shared" si="76"/>
        <v>0</v>
      </c>
      <c r="O451" s="7">
        <f t="shared" si="75"/>
        <v>-70000</v>
      </c>
      <c r="P451" s="99">
        <f t="shared" ref="P451:P514" si="79">O451/G450</f>
        <v>-1.1437908496732025E-2</v>
      </c>
      <c r="Q451" s="99">
        <f t="shared" si="77"/>
        <v>-8.1063843396458161E-3</v>
      </c>
      <c r="S451" s="7">
        <f t="shared" ref="S451:S514" si="80">G451*1.1</f>
        <v>6655000.0000000009</v>
      </c>
      <c r="T451" s="7">
        <f t="shared" ref="T451:T514" si="81">G451/3</f>
        <v>2016666.6666666667</v>
      </c>
      <c r="U451" s="7">
        <f t="shared" ref="U451:U514" si="82">G719</f>
        <v>11450000</v>
      </c>
      <c r="V451" s="7">
        <f t="shared" ref="V451:V514" si="83">(U451-S451)*R451</f>
        <v>0</v>
      </c>
      <c r="W451" s="7">
        <f t="shared" ref="W451:W514" si="84">(T451*$AI$6/200)*R451</f>
        <v>0</v>
      </c>
      <c r="X451" s="7">
        <f t="shared" ref="X451:X514" si="85">V451+W451</f>
        <v>0</v>
      </c>
    </row>
    <row r="452" spans="1:24">
      <c r="A452">
        <v>451</v>
      </c>
      <c r="B452" s="96" t="s">
        <v>3152</v>
      </c>
      <c r="C452" s="95">
        <v>40869</v>
      </c>
      <c r="D452" s="82">
        <v>6000000</v>
      </c>
      <c r="E452" s="82">
        <v>6000000</v>
      </c>
      <c r="F452" s="82">
        <v>6000000</v>
      </c>
      <c r="G452" s="82">
        <v>6000000</v>
      </c>
      <c r="I452" s="82">
        <f>G452*1.1</f>
        <v>6600000.0000000009</v>
      </c>
      <c r="J452" s="82">
        <f>G452/3</f>
        <v>2000000</v>
      </c>
      <c r="K452" s="7">
        <f>G720</f>
        <v>11930000</v>
      </c>
      <c r="L452" s="7">
        <f>K452-I452</f>
        <v>5329999.9999999991</v>
      </c>
      <c r="M452" s="7">
        <f t="shared" si="78"/>
        <v>250000</v>
      </c>
      <c r="N452" s="7">
        <f t="shared" si="76"/>
        <v>5579999.9999999991</v>
      </c>
      <c r="O452" s="7">
        <f t="shared" ref="O452:O515" si="86">G452-G451</f>
        <v>-50000</v>
      </c>
      <c r="P452" s="99">
        <f t="shared" si="79"/>
        <v>-8.2644628099173556E-3</v>
      </c>
      <c r="Q452" s="99">
        <f t="shared" si="77"/>
        <v>-2.1165038379327598E-2</v>
      </c>
      <c r="R452">
        <v>1</v>
      </c>
      <c r="S452" s="7">
        <f t="shared" si="80"/>
        <v>6600000.0000000009</v>
      </c>
      <c r="T452" s="7">
        <f t="shared" si="81"/>
        <v>2000000</v>
      </c>
      <c r="U452" s="7">
        <f t="shared" si="82"/>
        <v>11930000</v>
      </c>
      <c r="V452" s="7">
        <f t="shared" si="83"/>
        <v>5329999.9999999991</v>
      </c>
      <c r="W452" s="7">
        <f t="shared" si="84"/>
        <v>250000</v>
      </c>
      <c r="X452" s="7">
        <f t="shared" si="85"/>
        <v>5579999.9999999991</v>
      </c>
    </row>
    <row r="453" spans="1:24">
      <c r="A453">
        <v>452</v>
      </c>
      <c r="B453" s="96" t="s">
        <v>3151</v>
      </c>
      <c r="C453" s="95">
        <v>40870</v>
      </c>
      <c r="D453" s="82">
        <v>6100000</v>
      </c>
      <c r="E453" s="82">
        <v>6100000</v>
      </c>
      <c r="F453" s="82">
        <v>6100000</v>
      </c>
      <c r="G453" s="82">
        <v>6100000</v>
      </c>
      <c r="I453" s="97">
        <v>0</v>
      </c>
      <c r="J453" s="97">
        <v>0</v>
      </c>
      <c r="K453" s="97">
        <v>0</v>
      </c>
      <c r="M453" s="7">
        <f t="shared" si="78"/>
        <v>0</v>
      </c>
      <c r="N453" s="7">
        <f t="shared" si="76"/>
        <v>0</v>
      </c>
      <c r="O453" s="7">
        <f t="shared" si="86"/>
        <v>100000</v>
      </c>
      <c r="P453" s="99">
        <f t="shared" si="79"/>
        <v>1.6666666666666666E-2</v>
      </c>
      <c r="Q453" s="99">
        <f t="shared" si="77"/>
        <v>-2.7811378211898677E-2</v>
      </c>
      <c r="S453" s="7">
        <f t="shared" si="80"/>
        <v>6710000.0000000009</v>
      </c>
      <c r="T453" s="7">
        <f t="shared" si="81"/>
        <v>2033333.3333333333</v>
      </c>
      <c r="U453" s="7">
        <f t="shared" si="82"/>
        <v>12450000</v>
      </c>
      <c r="V453" s="7">
        <f t="shared" si="83"/>
        <v>0</v>
      </c>
      <c r="W453" s="7">
        <f t="shared" si="84"/>
        <v>0</v>
      </c>
      <c r="X453" s="7">
        <f t="shared" si="85"/>
        <v>0</v>
      </c>
    </row>
    <row r="454" spans="1:24">
      <c r="A454">
        <v>453</v>
      </c>
      <c r="B454" s="96" t="s">
        <v>3150</v>
      </c>
      <c r="C454" s="95">
        <v>40871</v>
      </c>
      <c r="D454" s="82">
        <v>6150000</v>
      </c>
      <c r="E454" s="82">
        <v>6150000</v>
      </c>
      <c r="F454" s="82">
        <v>6150000</v>
      </c>
      <c r="G454" s="82">
        <v>6150000</v>
      </c>
      <c r="I454" s="97">
        <v>0</v>
      </c>
      <c r="J454" s="97">
        <v>0</v>
      </c>
      <c r="K454" s="97">
        <v>0</v>
      </c>
      <c r="M454" s="7">
        <f t="shared" si="78"/>
        <v>0</v>
      </c>
      <c r="N454" s="7">
        <f t="shared" si="76"/>
        <v>0</v>
      </c>
      <c r="O454" s="7">
        <f t="shared" si="86"/>
        <v>50000</v>
      </c>
      <c r="P454" s="99">
        <f t="shared" si="79"/>
        <v>8.1967213114754103E-3</v>
      </c>
      <c r="Q454" s="99">
        <f t="shared" si="77"/>
        <v>-1.2765457088181765E-2</v>
      </c>
      <c r="S454" s="7">
        <f t="shared" si="80"/>
        <v>6765000.0000000009</v>
      </c>
      <c r="T454" s="7">
        <f t="shared" si="81"/>
        <v>2050000</v>
      </c>
      <c r="U454" s="7">
        <f t="shared" si="82"/>
        <v>12420000</v>
      </c>
      <c r="V454" s="7">
        <f t="shared" si="83"/>
        <v>0</v>
      </c>
      <c r="W454" s="7">
        <f t="shared" si="84"/>
        <v>0</v>
      </c>
      <c r="X454" s="7">
        <f t="shared" si="85"/>
        <v>0</v>
      </c>
    </row>
    <row r="455" spans="1:24">
      <c r="A455">
        <v>454</v>
      </c>
      <c r="B455" s="96" t="s">
        <v>3149</v>
      </c>
      <c r="C455" s="95">
        <v>40873</v>
      </c>
      <c r="D455" s="82">
        <v>6200000</v>
      </c>
      <c r="E455" s="82">
        <v>6200000</v>
      </c>
      <c r="F455" s="82">
        <v>6200000</v>
      </c>
      <c r="G455" s="82">
        <v>6200000</v>
      </c>
      <c r="I455" s="97">
        <v>0</v>
      </c>
      <c r="J455" s="97">
        <v>0</v>
      </c>
      <c r="K455" s="97">
        <v>0</v>
      </c>
      <c r="M455" s="7">
        <f t="shared" si="78"/>
        <v>0</v>
      </c>
      <c r="N455" s="7">
        <f t="shared" si="76"/>
        <v>0</v>
      </c>
      <c r="O455" s="7">
        <f t="shared" si="86"/>
        <v>50000</v>
      </c>
      <c r="P455" s="99">
        <f t="shared" si="79"/>
        <v>8.130081300813009E-3</v>
      </c>
      <c r="Q455" s="99">
        <f t="shared" si="77"/>
        <v>-1.3324898220137982E-3</v>
      </c>
      <c r="S455" s="7">
        <f t="shared" si="80"/>
        <v>6820000.0000000009</v>
      </c>
      <c r="T455" s="7">
        <f t="shared" si="81"/>
        <v>2066666.6666666667</v>
      </c>
      <c r="U455" s="7">
        <f t="shared" si="82"/>
        <v>12170000</v>
      </c>
      <c r="V455" s="7">
        <f t="shared" si="83"/>
        <v>0</v>
      </c>
      <c r="W455" s="7">
        <f t="shared" si="84"/>
        <v>0</v>
      </c>
      <c r="X455" s="7">
        <f t="shared" si="85"/>
        <v>0</v>
      </c>
    </row>
    <row r="456" spans="1:24">
      <c r="A456">
        <v>455</v>
      </c>
      <c r="B456" s="96" t="s">
        <v>3148</v>
      </c>
      <c r="C456" s="95">
        <v>40874</v>
      </c>
      <c r="D456" s="82">
        <v>6250000</v>
      </c>
      <c r="E456" s="82">
        <v>6250000</v>
      </c>
      <c r="F456" s="82">
        <v>6250000</v>
      </c>
      <c r="G456" s="82">
        <v>6250000</v>
      </c>
      <c r="I456" s="98">
        <v>0</v>
      </c>
      <c r="J456" s="98">
        <v>0</v>
      </c>
      <c r="K456" s="98">
        <v>0</v>
      </c>
      <c r="M456" s="7">
        <f t="shared" si="78"/>
        <v>0</v>
      </c>
      <c r="N456" s="7">
        <f t="shared" ref="N456:N519" si="87">L456+M456</f>
        <v>0</v>
      </c>
      <c r="O456" s="7">
        <f t="shared" si="86"/>
        <v>50000</v>
      </c>
      <c r="P456" s="99">
        <f t="shared" si="79"/>
        <v>8.0645161290322578E-3</v>
      </c>
      <c r="Q456" s="99">
        <f t="shared" ref="Q456:Q519" si="88">SUM(P451:P455)</f>
        <v>1.3291097972305703E-2</v>
      </c>
      <c r="S456" s="7">
        <f t="shared" si="80"/>
        <v>6875000.0000000009</v>
      </c>
      <c r="T456" s="7">
        <f t="shared" si="81"/>
        <v>2083333.3333333333</v>
      </c>
      <c r="U456" s="7">
        <f t="shared" si="82"/>
        <v>12320000</v>
      </c>
      <c r="V456" s="7">
        <f t="shared" si="83"/>
        <v>0</v>
      </c>
      <c r="W456" s="7">
        <f t="shared" si="84"/>
        <v>0</v>
      </c>
      <c r="X456" s="7">
        <f t="shared" si="85"/>
        <v>0</v>
      </c>
    </row>
    <row r="457" spans="1:24">
      <c r="A457">
        <v>456</v>
      </c>
      <c r="B457" s="96" t="s">
        <v>3147</v>
      </c>
      <c r="C457" s="95">
        <v>40875</v>
      </c>
      <c r="D457" s="82">
        <v>6270000</v>
      </c>
      <c r="E457" s="82">
        <v>6270000</v>
      </c>
      <c r="F457" s="82">
        <v>6270000</v>
      </c>
      <c r="G457" s="82">
        <v>6270000</v>
      </c>
      <c r="I457" s="82">
        <f>G457*1.1</f>
        <v>6897000.0000000009</v>
      </c>
      <c r="J457" s="82">
        <f>G457/3</f>
        <v>2090000</v>
      </c>
      <c r="K457" s="7">
        <f>G725</f>
        <v>12210000</v>
      </c>
      <c r="L457" s="7">
        <f>K457-I457</f>
        <v>5312999.9999999991</v>
      </c>
      <c r="M457" s="7">
        <f t="shared" si="78"/>
        <v>261250</v>
      </c>
      <c r="N457" s="7">
        <f t="shared" si="87"/>
        <v>5574249.9999999991</v>
      </c>
      <c r="O457" s="7">
        <f t="shared" si="86"/>
        <v>20000</v>
      </c>
      <c r="P457" s="99">
        <f t="shared" si="79"/>
        <v>3.2000000000000002E-3</v>
      </c>
      <c r="Q457" s="99">
        <f t="shared" si="88"/>
        <v>3.2793522598069988E-2</v>
      </c>
      <c r="R457">
        <v>1</v>
      </c>
      <c r="S457" s="7">
        <f t="shared" si="80"/>
        <v>6897000.0000000009</v>
      </c>
      <c r="T457" s="7">
        <f t="shared" si="81"/>
        <v>2090000</v>
      </c>
      <c r="U457" s="7">
        <f t="shared" si="82"/>
        <v>12210000</v>
      </c>
      <c r="V457" s="7">
        <f t="shared" si="83"/>
        <v>5312999.9999999991</v>
      </c>
      <c r="W457" s="7">
        <f t="shared" si="84"/>
        <v>261250</v>
      </c>
      <c r="X457" s="7">
        <f t="shared" si="85"/>
        <v>5574249.9999999991</v>
      </c>
    </row>
    <row r="458" spans="1:24">
      <c r="A458">
        <v>457</v>
      </c>
      <c r="B458" s="96" t="s">
        <v>3146</v>
      </c>
      <c r="C458" s="95">
        <v>40876</v>
      </c>
      <c r="D458" s="82">
        <v>6050000</v>
      </c>
      <c r="E458" s="82">
        <v>6050000</v>
      </c>
      <c r="F458" s="82">
        <v>6050000</v>
      </c>
      <c r="G458" s="82">
        <v>6050000</v>
      </c>
      <c r="I458" s="97">
        <v>0</v>
      </c>
      <c r="J458" s="97">
        <v>0</v>
      </c>
      <c r="K458" s="97">
        <v>0</v>
      </c>
      <c r="M458" s="7">
        <f t="shared" si="78"/>
        <v>0</v>
      </c>
      <c r="N458" s="7">
        <f t="shared" si="87"/>
        <v>0</v>
      </c>
      <c r="O458" s="7">
        <f t="shared" si="86"/>
        <v>-220000</v>
      </c>
      <c r="P458" s="99">
        <f t="shared" si="79"/>
        <v>-3.5087719298245612E-2</v>
      </c>
      <c r="Q458" s="99">
        <f t="shared" si="88"/>
        <v>4.4257985407987345E-2</v>
      </c>
      <c r="S458" s="7">
        <f t="shared" si="80"/>
        <v>6655000.0000000009</v>
      </c>
      <c r="T458" s="7">
        <f t="shared" si="81"/>
        <v>2016666.6666666667</v>
      </c>
      <c r="U458" s="7">
        <f t="shared" si="82"/>
        <v>12100000</v>
      </c>
      <c r="V458" s="7">
        <f t="shared" si="83"/>
        <v>0</v>
      </c>
      <c r="W458" s="7">
        <f t="shared" si="84"/>
        <v>0</v>
      </c>
      <c r="X458" s="7">
        <f t="shared" si="85"/>
        <v>0</v>
      </c>
    </row>
    <row r="459" spans="1:24">
      <c r="A459">
        <v>458</v>
      </c>
      <c r="B459" s="96" t="s">
        <v>3145</v>
      </c>
      <c r="C459" s="95">
        <v>40877</v>
      </c>
      <c r="D459" s="82">
        <v>5900000</v>
      </c>
      <c r="E459" s="82">
        <v>5900000</v>
      </c>
      <c r="F459" s="82">
        <v>5900000</v>
      </c>
      <c r="G459" s="82">
        <v>5900000</v>
      </c>
      <c r="I459" s="97">
        <v>0</v>
      </c>
      <c r="J459" s="97">
        <v>0</v>
      </c>
      <c r="K459" s="97">
        <v>0</v>
      </c>
      <c r="M459" s="7">
        <f t="shared" si="78"/>
        <v>0</v>
      </c>
      <c r="N459" s="7">
        <f t="shared" si="87"/>
        <v>0</v>
      </c>
      <c r="O459" s="7">
        <f t="shared" si="86"/>
        <v>-150000</v>
      </c>
      <c r="P459" s="99">
        <f t="shared" si="79"/>
        <v>-2.4793388429752067E-2</v>
      </c>
      <c r="Q459" s="99">
        <f t="shared" si="88"/>
        <v>-7.4964005569249335E-3</v>
      </c>
      <c r="S459" s="7">
        <f t="shared" si="80"/>
        <v>6490000.0000000009</v>
      </c>
      <c r="T459" s="7">
        <f t="shared" si="81"/>
        <v>1966666.6666666667</v>
      </c>
      <c r="U459" s="7">
        <f t="shared" si="82"/>
        <v>11600000</v>
      </c>
      <c r="V459" s="7">
        <f t="shared" si="83"/>
        <v>0</v>
      </c>
      <c r="W459" s="7">
        <f t="shared" si="84"/>
        <v>0</v>
      </c>
      <c r="X459" s="7">
        <f t="shared" si="85"/>
        <v>0</v>
      </c>
    </row>
    <row r="460" spans="1:24">
      <c r="A460">
        <v>459</v>
      </c>
      <c r="B460" s="96" t="s">
        <v>3144</v>
      </c>
      <c r="C460" s="95">
        <v>40878</v>
      </c>
      <c r="D460" s="82">
        <v>6000000</v>
      </c>
      <c r="E460" s="82">
        <v>6000000</v>
      </c>
      <c r="F460" s="82">
        <v>6000000</v>
      </c>
      <c r="G460" s="82">
        <v>6000000</v>
      </c>
      <c r="I460" s="97">
        <v>0</v>
      </c>
      <c r="J460" s="97">
        <v>0</v>
      </c>
      <c r="K460" s="97">
        <v>0</v>
      </c>
      <c r="M460" s="7">
        <f t="shared" si="78"/>
        <v>0</v>
      </c>
      <c r="N460" s="7">
        <f t="shared" si="87"/>
        <v>0</v>
      </c>
      <c r="O460" s="7">
        <f t="shared" si="86"/>
        <v>100000</v>
      </c>
      <c r="P460" s="99">
        <f t="shared" si="79"/>
        <v>1.6949152542372881E-2</v>
      </c>
      <c r="Q460" s="99">
        <f t="shared" si="88"/>
        <v>-4.0486510298152409E-2</v>
      </c>
      <c r="S460" s="7">
        <f t="shared" si="80"/>
        <v>6600000.0000000009</v>
      </c>
      <c r="T460" s="7">
        <f t="shared" si="81"/>
        <v>2000000</v>
      </c>
      <c r="U460" s="7">
        <f t="shared" si="82"/>
        <v>11720000</v>
      </c>
      <c r="V460" s="7">
        <f t="shared" si="83"/>
        <v>0</v>
      </c>
      <c r="W460" s="7">
        <f t="shared" si="84"/>
        <v>0</v>
      </c>
      <c r="X460" s="7">
        <f t="shared" si="85"/>
        <v>0</v>
      </c>
    </row>
    <row r="461" spans="1:24">
      <c r="A461">
        <v>460</v>
      </c>
      <c r="B461" s="96" t="s">
        <v>3143</v>
      </c>
      <c r="C461" s="95">
        <v>40880</v>
      </c>
      <c r="D461" s="82">
        <v>6250000</v>
      </c>
      <c r="E461" s="82">
        <v>6250000</v>
      </c>
      <c r="F461" s="82">
        <v>6250000</v>
      </c>
      <c r="G461" s="82">
        <v>6250000</v>
      </c>
      <c r="I461" s="98">
        <v>0</v>
      </c>
      <c r="J461" s="98">
        <v>0</v>
      </c>
      <c r="K461" s="98">
        <v>0</v>
      </c>
      <c r="M461" s="7">
        <f t="shared" si="78"/>
        <v>0</v>
      </c>
      <c r="N461" s="7">
        <f t="shared" si="87"/>
        <v>0</v>
      </c>
      <c r="O461" s="7">
        <f t="shared" si="86"/>
        <v>250000</v>
      </c>
      <c r="P461" s="99">
        <f t="shared" si="79"/>
        <v>4.1666666666666664E-2</v>
      </c>
      <c r="Q461" s="99">
        <f t="shared" si="88"/>
        <v>-3.1667439056592542E-2</v>
      </c>
      <c r="S461" s="7">
        <f t="shared" si="80"/>
        <v>6875000.0000000009</v>
      </c>
      <c r="T461" s="7">
        <f t="shared" si="81"/>
        <v>2083333.3333333333</v>
      </c>
      <c r="U461" s="7">
        <f t="shared" si="82"/>
        <v>11630000</v>
      </c>
      <c r="V461" s="7">
        <f t="shared" si="83"/>
        <v>0</v>
      </c>
      <c r="W461" s="7">
        <f t="shared" si="84"/>
        <v>0</v>
      </c>
      <c r="X461" s="7">
        <f t="shared" si="85"/>
        <v>0</v>
      </c>
    </row>
    <row r="462" spans="1:24">
      <c r="A462">
        <v>461</v>
      </c>
      <c r="B462" s="96" t="s">
        <v>3142</v>
      </c>
      <c r="C462" s="95">
        <v>40881</v>
      </c>
      <c r="D462" s="82">
        <v>6200000</v>
      </c>
      <c r="E462" s="82">
        <v>6200000</v>
      </c>
      <c r="F462" s="82">
        <v>6200000</v>
      </c>
      <c r="G462" s="82">
        <v>6200000</v>
      </c>
      <c r="I462" s="82">
        <f>G462*1.1</f>
        <v>6820000.0000000009</v>
      </c>
      <c r="J462" s="82">
        <f>G462/3</f>
        <v>2066666.6666666667</v>
      </c>
      <c r="K462" s="7">
        <f>G730</f>
        <v>11300000</v>
      </c>
      <c r="L462" s="7">
        <f>K462-I462</f>
        <v>4479999.9999999991</v>
      </c>
      <c r="M462" s="7">
        <f t="shared" si="78"/>
        <v>258333.33333333337</v>
      </c>
      <c r="N462" s="7">
        <f t="shared" si="87"/>
        <v>4738333.3333333321</v>
      </c>
      <c r="O462" s="7">
        <f t="shared" si="86"/>
        <v>-50000</v>
      </c>
      <c r="P462" s="99">
        <f t="shared" si="79"/>
        <v>-8.0000000000000002E-3</v>
      </c>
      <c r="Q462" s="99">
        <f t="shared" si="88"/>
        <v>1.9347114810418717E-3</v>
      </c>
      <c r="R462">
        <v>1</v>
      </c>
      <c r="S462" s="7">
        <f t="shared" si="80"/>
        <v>6820000.0000000009</v>
      </c>
      <c r="T462" s="7">
        <f t="shared" si="81"/>
        <v>2066666.6666666667</v>
      </c>
      <c r="U462" s="7">
        <f t="shared" si="82"/>
        <v>11300000</v>
      </c>
      <c r="V462" s="7">
        <f t="shared" si="83"/>
        <v>4479999.9999999991</v>
      </c>
      <c r="W462" s="7">
        <f t="shared" si="84"/>
        <v>258333.33333333337</v>
      </c>
      <c r="X462" s="7">
        <f t="shared" si="85"/>
        <v>4738333.3333333321</v>
      </c>
    </row>
    <row r="463" spans="1:24">
      <c r="A463">
        <v>462</v>
      </c>
      <c r="B463" s="96" t="s">
        <v>3141</v>
      </c>
      <c r="C463" s="95">
        <v>40884</v>
      </c>
      <c r="D463" s="82">
        <v>6090000</v>
      </c>
      <c r="E463" s="82">
        <v>6090000</v>
      </c>
      <c r="F463" s="82">
        <v>6090000</v>
      </c>
      <c r="G463" s="82">
        <v>6090000</v>
      </c>
      <c r="I463" s="97">
        <v>0</v>
      </c>
      <c r="J463" s="97">
        <v>0</v>
      </c>
      <c r="K463" s="97">
        <v>0</v>
      </c>
      <c r="M463" s="7">
        <f t="shared" si="78"/>
        <v>0</v>
      </c>
      <c r="N463" s="7">
        <f t="shared" si="87"/>
        <v>0</v>
      </c>
      <c r="O463" s="7">
        <f t="shared" si="86"/>
        <v>-110000</v>
      </c>
      <c r="P463" s="99">
        <f t="shared" si="79"/>
        <v>-1.7741935483870968E-2</v>
      </c>
      <c r="Q463" s="99">
        <f t="shared" si="88"/>
        <v>-9.2652885189581369E-3</v>
      </c>
      <c r="S463" s="7">
        <f t="shared" si="80"/>
        <v>6699000.0000000009</v>
      </c>
      <c r="T463" s="7">
        <f t="shared" si="81"/>
        <v>2030000</v>
      </c>
      <c r="U463" s="7">
        <f t="shared" si="82"/>
        <v>11080000</v>
      </c>
      <c r="V463" s="7">
        <f t="shared" si="83"/>
        <v>0</v>
      </c>
      <c r="W463" s="7">
        <f t="shared" si="84"/>
        <v>0</v>
      </c>
      <c r="X463" s="7">
        <f t="shared" si="85"/>
        <v>0</v>
      </c>
    </row>
    <row r="464" spans="1:24">
      <c r="A464">
        <v>463</v>
      </c>
      <c r="B464" s="96" t="s">
        <v>3140</v>
      </c>
      <c r="C464" s="95">
        <v>40885</v>
      </c>
      <c r="D464" s="82">
        <v>6000000</v>
      </c>
      <c r="E464" s="82">
        <v>6000000</v>
      </c>
      <c r="F464" s="82">
        <v>6000000</v>
      </c>
      <c r="G464" s="82">
        <v>6000000</v>
      </c>
      <c r="I464" s="97">
        <v>0</v>
      </c>
      <c r="J464" s="97">
        <v>0</v>
      </c>
      <c r="K464" s="97">
        <v>0</v>
      </c>
      <c r="M464" s="7">
        <f t="shared" si="78"/>
        <v>0</v>
      </c>
      <c r="N464" s="7">
        <f t="shared" si="87"/>
        <v>0</v>
      </c>
      <c r="O464" s="7">
        <f t="shared" si="86"/>
        <v>-90000</v>
      </c>
      <c r="P464" s="99">
        <f t="shared" si="79"/>
        <v>-1.4778325123152709E-2</v>
      </c>
      <c r="Q464" s="99">
        <f t="shared" si="88"/>
        <v>8.0804952954165142E-3</v>
      </c>
      <c r="S464" s="7">
        <f t="shared" si="80"/>
        <v>6600000.0000000009</v>
      </c>
      <c r="T464" s="7">
        <f t="shared" si="81"/>
        <v>2000000</v>
      </c>
      <c r="U464" s="7">
        <f t="shared" si="82"/>
        <v>10940000</v>
      </c>
      <c r="V464" s="7">
        <f t="shared" si="83"/>
        <v>0</v>
      </c>
      <c r="W464" s="7">
        <f t="shared" si="84"/>
        <v>0</v>
      </c>
      <c r="X464" s="7">
        <f t="shared" si="85"/>
        <v>0</v>
      </c>
    </row>
    <row r="465" spans="1:24">
      <c r="A465">
        <v>464</v>
      </c>
      <c r="B465" s="96" t="s">
        <v>3139</v>
      </c>
      <c r="C465" s="95">
        <v>40887</v>
      </c>
      <c r="D465" s="82">
        <v>5900000</v>
      </c>
      <c r="E465" s="82">
        <v>5900000</v>
      </c>
      <c r="F465" s="82">
        <v>5900000</v>
      </c>
      <c r="G465" s="82">
        <v>5900000</v>
      </c>
      <c r="I465" s="97">
        <v>0</v>
      </c>
      <c r="J465" s="97">
        <v>0</v>
      </c>
      <c r="K465" s="97">
        <v>0</v>
      </c>
      <c r="M465" s="7">
        <f t="shared" si="78"/>
        <v>0</v>
      </c>
      <c r="N465" s="7">
        <f t="shared" si="87"/>
        <v>0</v>
      </c>
      <c r="O465" s="7">
        <f t="shared" si="86"/>
        <v>-100000</v>
      </c>
      <c r="P465" s="99">
        <f t="shared" si="79"/>
        <v>-1.6666666666666666E-2</v>
      </c>
      <c r="Q465" s="99">
        <f t="shared" si="88"/>
        <v>1.8095558602015876E-2</v>
      </c>
      <c r="S465" s="7">
        <f t="shared" si="80"/>
        <v>6490000.0000000009</v>
      </c>
      <c r="T465" s="7">
        <f t="shared" si="81"/>
        <v>1966666.6666666667</v>
      </c>
      <c r="U465" s="7">
        <f t="shared" si="82"/>
        <v>10770000</v>
      </c>
      <c r="V465" s="7">
        <f t="shared" si="83"/>
        <v>0</v>
      </c>
      <c r="W465" s="7">
        <f t="shared" si="84"/>
        <v>0</v>
      </c>
      <c r="X465" s="7">
        <f t="shared" si="85"/>
        <v>0</v>
      </c>
    </row>
    <row r="466" spans="1:24">
      <c r="A466">
        <v>465</v>
      </c>
      <c r="B466" s="96" t="s">
        <v>3138</v>
      </c>
      <c r="C466" s="95">
        <v>40888</v>
      </c>
      <c r="D466" s="82">
        <v>5890000</v>
      </c>
      <c r="E466" s="82">
        <v>5890000</v>
      </c>
      <c r="F466" s="82">
        <v>5890000</v>
      </c>
      <c r="G466" s="82">
        <v>5890000</v>
      </c>
      <c r="I466" s="98">
        <v>0</v>
      </c>
      <c r="J466" s="98">
        <v>0</v>
      </c>
      <c r="K466" s="98">
        <v>0</v>
      </c>
      <c r="M466" s="7">
        <f t="shared" si="78"/>
        <v>0</v>
      </c>
      <c r="N466" s="7">
        <f t="shared" si="87"/>
        <v>0</v>
      </c>
      <c r="O466" s="7">
        <f t="shared" si="86"/>
        <v>-10000</v>
      </c>
      <c r="P466" s="99">
        <f t="shared" si="79"/>
        <v>-1.6949152542372881E-3</v>
      </c>
      <c r="Q466" s="99">
        <f t="shared" si="88"/>
        <v>-1.5520260607023679E-2</v>
      </c>
      <c r="S466" s="7">
        <f t="shared" si="80"/>
        <v>6479000.0000000009</v>
      </c>
      <c r="T466" s="7">
        <f t="shared" si="81"/>
        <v>1963333.3333333333</v>
      </c>
      <c r="U466" s="7">
        <f t="shared" si="82"/>
        <v>11280000</v>
      </c>
      <c r="V466" s="7">
        <f t="shared" si="83"/>
        <v>0</v>
      </c>
      <c r="W466" s="7">
        <f t="shared" si="84"/>
        <v>0</v>
      </c>
      <c r="X466" s="7">
        <f t="shared" si="85"/>
        <v>0</v>
      </c>
    </row>
    <row r="467" spans="1:24">
      <c r="A467">
        <v>466</v>
      </c>
      <c r="B467" s="96" t="s">
        <v>3137</v>
      </c>
      <c r="C467" s="95">
        <v>40889</v>
      </c>
      <c r="D467" s="82">
        <v>5800000</v>
      </c>
      <c r="E467" s="82">
        <v>5800000</v>
      </c>
      <c r="F467" s="82">
        <v>5800000</v>
      </c>
      <c r="G467" s="82">
        <v>5800000</v>
      </c>
      <c r="I467" s="82">
        <f>G467*1.1</f>
        <v>6380000.0000000009</v>
      </c>
      <c r="J467" s="82">
        <f>G467/3</f>
        <v>1933333.3333333333</v>
      </c>
      <c r="K467" s="7">
        <f>G735</f>
        <v>11550000</v>
      </c>
      <c r="L467" s="7">
        <f>K467-I467</f>
        <v>5169999.9999999991</v>
      </c>
      <c r="M467" s="7">
        <f t="shared" si="78"/>
        <v>241666.66666666663</v>
      </c>
      <c r="N467" s="7">
        <f t="shared" si="87"/>
        <v>5411666.666666666</v>
      </c>
      <c r="O467" s="7">
        <f t="shared" si="86"/>
        <v>-90000</v>
      </c>
      <c r="P467" s="99">
        <f t="shared" si="79"/>
        <v>-1.5280135823429542E-2</v>
      </c>
      <c r="Q467" s="99">
        <f>SUM(P462:P466)</f>
        <v>-5.8881842527927636E-2</v>
      </c>
      <c r="R467">
        <v>4</v>
      </c>
      <c r="S467" s="7">
        <f t="shared" si="80"/>
        <v>6380000.0000000009</v>
      </c>
      <c r="T467" s="7">
        <f t="shared" si="81"/>
        <v>1933333.3333333333</v>
      </c>
      <c r="U467" s="7">
        <f t="shared" si="82"/>
        <v>11550000</v>
      </c>
      <c r="V467" s="7">
        <f t="shared" si="83"/>
        <v>20679999.999999996</v>
      </c>
      <c r="W467" s="7">
        <f t="shared" si="84"/>
        <v>966666.66666666651</v>
      </c>
      <c r="X467" s="7">
        <f t="shared" si="85"/>
        <v>21646666.666666664</v>
      </c>
    </row>
    <row r="468" spans="1:24">
      <c r="A468">
        <v>467</v>
      </c>
      <c r="B468" s="96" t="s">
        <v>3136</v>
      </c>
      <c r="C468" s="95">
        <v>40890</v>
      </c>
      <c r="D468" s="82">
        <v>5870000</v>
      </c>
      <c r="E468" s="82">
        <v>5870000</v>
      </c>
      <c r="F468" s="82">
        <v>5870000</v>
      </c>
      <c r="G468" s="82">
        <v>5870000</v>
      </c>
      <c r="I468" s="97">
        <v>0</v>
      </c>
      <c r="J468" s="97">
        <v>0</v>
      </c>
      <c r="K468" s="97">
        <v>0</v>
      </c>
      <c r="M468" s="7">
        <f t="shared" si="78"/>
        <v>0</v>
      </c>
      <c r="N468" s="7">
        <f t="shared" si="87"/>
        <v>0</v>
      </c>
      <c r="O468" s="7">
        <f t="shared" si="86"/>
        <v>70000</v>
      </c>
      <c r="P468" s="99">
        <f t="shared" si="79"/>
        <v>1.2068965517241379E-2</v>
      </c>
      <c r="Q468" s="99">
        <f t="shared" si="88"/>
        <v>-6.6161978351357176E-2</v>
      </c>
      <c r="S468" s="7">
        <f t="shared" si="80"/>
        <v>6457000.0000000009</v>
      </c>
      <c r="T468" s="7">
        <f t="shared" si="81"/>
        <v>1956666.6666666667</v>
      </c>
      <c r="U468" s="7">
        <f t="shared" si="82"/>
        <v>11600000</v>
      </c>
      <c r="V468" s="7">
        <f t="shared" si="83"/>
        <v>0</v>
      </c>
      <c r="W468" s="7">
        <f t="shared" si="84"/>
        <v>0</v>
      </c>
      <c r="X468" s="7">
        <f t="shared" si="85"/>
        <v>0</v>
      </c>
    </row>
    <row r="469" spans="1:24">
      <c r="A469">
        <v>468</v>
      </c>
      <c r="B469" s="96" t="s">
        <v>3135</v>
      </c>
      <c r="C469" s="95">
        <v>40891</v>
      </c>
      <c r="D469" s="82">
        <v>5930000</v>
      </c>
      <c r="E469" s="82">
        <v>5930000</v>
      </c>
      <c r="F469" s="82">
        <v>5930000</v>
      </c>
      <c r="G469" s="82">
        <v>5930000</v>
      </c>
      <c r="I469" s="97">
        <v>0</v>
      </c>
      <c r="J469" s="97">
        <v>0</v>
      </c>
      <c r="K469" s="97">
        <v>0</v>
      </c>
      <c r="M469" s="7">
        <f t="shared" si="78"/>
        <v>0</v>
      </c>
      <c r="N469" s="7">
        <f t="shared" si="87"/>
        <v>0</v>
      </c>
      <c r="O469" s="7">
        <f t="shared" si="86"/>
        <v>60000</v>
      </c>
      <c r="P469" s="99">
        <f t="shared" si="79"/>
        <v>1.0221465076660987E-2</v>
      </c>
      <c r="Q469" s="99">
        <f t="shared" si="88"/>
        <v>-3.6351077350244829E-2</v>
      </c>
      <c r="S469" s="7">
        <f t="shared" si="80"/>
        <v>6523000.0000000009</v>
      </c>
      <c r="T469" s="7">
        <f t="shared" si="81"/>
        <v>1976666.6666666667</v>
      </c>
      <c r="U469" s="7">
        <f t="shared" si="82"/>
        <v>11430000</v>
      </c>
      <c r="V469" s="7">
        <f t="shared" si="83"/>
        <v>0</v>
      </c>
      <c r="W469" s="7">
        <f t="shared" si="84"/>
        <v>0</v>
      </c>
      <c r="X469" s="7">
        <f t="shared" si="85"/>
        <v>0</v>
      </c>
    </row>
    <row r="470" spans="1:24">
      <c r="A470">
        <v>469</v>
      </c>
      <c r="B470" s="96" t="s">
        <v>3134</v>
      </c>
      <c r="C470" s="95">
        <v>40892</v>
      </c>
      <c r="D470" s="82">
        <v>5850000</v>
      </c>
      <c r="E470" s="82">
        <v>5850000</v>
      </c>
      <c r="F470" s="82">
        <v>5850000</v>
      </c>
      <c r="G470" s="82">
        <v>5850000</v>
      </c>
      <c r="I470" s="97">
        <v>0</v>
      </c>
      <c r="J470" s="97">
        <v>0</v>
      </c>
      <c r="K470" s="97">
        <v>0</v>
      </c>
      <c r="M470" s="7">
        <f t="shared" si="78"/>
        <v>0</v>
      </c>
      <c r="N470" s="7">
        <f t="shared" si="87"/>
        <v>0</v>
      </c>
      <c r="O470" s="7">
        <f t="shared" si="86"/>
        <v>-80000</v>
      </c>
      <c r="P470" s="99">
        <f t="shared" si="79"/>
        <v>-1.3490725126475547E-2</v>
      </c>
      <c r="Q470" s="99">
        <f t="shared" si="88"/>
        <v>-1.1351287150431133E-2</v>
      </c>
      <c r="S470" s="7">
        <f t="shared" si="80"/>
        <v>6435000.0000000009</v>
      </c>
      <c r="T470" s="7">
        <f t="shared" si="81"/>
        <v>1950000</v>
      </c>
      <c r="U470" s="7">
        <f t="shared" si="82"/>
        <v>11410000</v>
      </c>
      <c r="V470" s="7">
        <f t="shared" si="83"/>
        <v>0</v>
      </c>
      <c r="W470" s="7">
        <f t="shared" si="84"/>
        <v>0</v>
      </c>
      <c r="X470" s="7">
        <f t="shared" si="85"/>
        <v>0</v>
      </c>
    </row>
    <row r="471" spans="1:24">
      <c r="A471">
        <v>470</v>
      </c>
      <c r="B471" s="96" t="s">
        <v>3133</v>
      </c>
      <c r="C471" s="95">
        <v>40894</v>
      </c>
      <c r="D471" s="82">
        <v>5960000</v>
      </c>
      <c r="E471" s="82">
        <v>5960000</v>
      </c>
      <c r="F471" s="82">
        <v>5960000</v>
      </c>
      <c r="G471" s="82">
        <v>5960000</v>
      </c>
      <c r="I471" s="98">
        <v>0</v>
      </c>
      <c r="J471" s="98">
        <v>0</v>
      </c>
      <c r="K471" s="98">
        <v>0</v>
      </c>
      <c r="M471" s="7">
        <f t="shared" si="78"/>
        <v>0</v>
      </c>
      <c r="N471" s="7">
        <f t="shared" si="87"/>
        <v>0</v>
      </c>
      <c r="O471" s="7">
        <f t="shared" si="86"/>
        <v>110000</v>
      </c>
      <c r="P471" s="99">
        <f t="shared" si="79"/>
        <v>1.8803418803418803E-2</v>
      </c>
      <c r="Q471" s="99">
        <f t="shared" si="88"/>
        <v>-8.1753456102400101E-3</v>
      </c>
      <c r="S471" s="7">
        <f t="shared" si="80"/>
        <v>6556000.0000000009</v>
      </c>
      <c r="T471" s="7">
        <f t="shared" si="81"/>
        <v>1986666.6666666667</v>
      </c>
      <c r="U471" s="7">
        <f t="shared" si="82"/>
        <v>11510000</v>
      </c>
      <c r="V471" s="7">
        <f t="shared" si="83"/>
        <v>0</v>
      </c>
      <c r="W471" s="7">
        <f t="shared" si="84"/>
        <v>0</v>
      </c>
      <c r="X471" s="7">
        <f t="shared" si="85"/>
        <v>0</v>
      </c>
    </row>
    <row r="472" spans="1:24">
      <c r="A472">
        <v>471</v>
      </c>
      <c r="B472" s="96" t="s">
        <v>3132</v>
      </c>
      <c r="C472" s="95">
        <v>40895</v>
      </c>
      <c r="D472" s="82">
        <v>6120000</v>
      </c>
      <c r="E472" s="82">
        <v>6120000</v>
      </c>
      <c r="F472" s="82">
        <v>6120000</v>
      </c>
      <c r="G472" s="82">
        <v>6120000</v>
      </c>
      <c r="I472" s="82">
        <f>G472*1.1</f>
        <v>6732000.0000000009</v>
      </c>
      <c r="J472" s="82">
        <f>G472/3</f>
        <v>2040000</v>
      </c>
      <c r="K472" s="7">
        <f>G740</f>
        <v>11950000</v>
      </c>
      <c r="L472" s="7">
        <f>K472-I472</f>
        <v>5217999.9999999991</v>
      </c>
      <c r="M472" s="7">
        <f t="shared" si="78"/>
        <v>255000</v>
      </c>
      <c r="N472" s="7">
        <f t="shared" si="87"/>
        <v>5472999.9999999991</v>
      </c>
      <c r="O472" s="7">
        <f t="shared" si="86"/>
        <v>160000</v>
      </c>
      <c r="P472" s="99">
        <f t="shared" si="79"/>
        <v>2.6845637583892617E-2</v>
      </c>
      <c r="Q472" s="99">
        <f t="shared" si="88"/>
        <v>1.232298844741608E-2</v>
      </c>
      <c r="R472">
        <v>1</v>
      </c>
      <c r="S472" s="7">
        <f t="shared" si="80"/>
        <v>6732000.0000000009</v>
      </c>
      <c r="T472" s="7">
        <f t="shared" si="81"/>
        <v>2040000</v>
      </c>
      <c r="U472" s="7">
        <f t="shared" si="82"/>
        <v>11950000</v>
      </c>
      <c r="V472" s="7">
        <f t="shared" si="83"/>
        <v>5217999.9999999991</v>
      </c>
      <c r="W472" s="7">
        <f t="shared" si="84"/>
        <v>255000</v>
      </c>
      <c r="X472" s="7">
        <f t="shared" si="85"/>
        <v>5472999.9999999991</v>
      </c>
    </row>
    <row r="473" spans="1:24">
      <c r="A473">
        <v>472</v>
      </c>
      <c r="B473" s="96" t="s">
        <v>3131</v>
      </c>
      <c r="C473" s="95">
        <v>40896</v>
      </c>
      <c r="D473" s="82">
        <v>6100000</v>
      </c>
      <c r="E473" s="82">
        <v>6100000</v>
      </c>
      <c r="F473" s="82">
        <v>6100000</v>
      </c>
      <c r="G473" s="82">
        <v>6100000</v>
      </c>
      <c r="I473" s="97">
        <v>0</v>
      </c>
      <c r="J473" s="97">
        <v>0</v>
      </c>
      <c r="K473" s="97">
        <v>0</v>
      </c>
      <c r="M473" s="7">
        <f t="shared" si="78"/>
        <v>0</v>
      </c>
      <c r="N473" s="7">
        <f t="shared" si="87"/>
        <v>0</v>
      </c>
      <c r="O473" s="7">
        <f t="shared" si="86"/>
        <v>-20000</v>
      </c>
      <c r="P473" s="99">
        <f t="shared" si="79"/>
        <v>-3.2679738562091504E-3</v>
      </c>
      <c r="Q473" s="99">
        <f t="shared" si="88"/>
        <v>5.4448761854738237E-2</v>
      </c>
      <c r="S473" s="7">
        <f t="shared" si="80"/>
        <v>6710000.0000000009</v>
      </c>
      <c r="T473" s="7">
        <f t="shared" si="81"/>
        <v>2033333.3333333333</v>
      </c>
      <c r="U473" s="7">
        <f t="shared" si="82"/>
        <v>11770000</v>
      </c>
      <c r="V473" s="7">
        <f t="shared" si="83"/>
        <v>0</v>
      </c>
      <c r="W473" s="7">
        <f t="shared" si="84"/>
        <v>0</v>
      </c>
      <c r="X473" s="7">
        <f t="shared" si="85"/>
        <v>0</v>
      </c>
    </row>
    <row r="474" spans="1:24">
      <c r="A474">
        <v>473</v>
      </c>
      <c r="B474" s="96" t="s">
        <v>3130</v>
      </c>
      <c r="C474" s="95">
        <v>40897</v>
      </c>
      <c r="D474" s="82">
        <v>6220000</v>
      </c>
      <c r="E474" s="82">
        <v>6220000</v>
      </c>
      <c r="F474" s="82">
        <v>6220000</v>
      </c>
      <c r="G474" s="82">
        <v>6220000</v>
      </c>
      <c r="I474" s="97">
        <v>0</v>
      </c>
      <c r="J474" s="97">
        <v>0</v>
      </c>
      <c r="K474" s="97">
        <v>0</v>
      </c>
      <c r="M474" s="7">
        <f t="shared" si="78"/>
        <v>0</v>
      </c>
      <c r="N474" s="7">
        <f t="shared" si="87"/>
        <v>0</v>
      </c>
      <c r="O474" s="7">
        <f t="shared" si="86"/>
        <v>120000</v>
      </c>
      <c r="P474" s="99">
        <f t="shared" si="79"/>
        <v>1.9672131147540985E-2</v>
      </c>
      <c r="Q474" s="99">
        <f t="shared" si="88"/>
        <v>3.9111822481287709E-2</v>
      </c>
      <c r="S474" s="7">
        <f t="shared" si="80"/>
        <v>6842000.0000000009</v>
      </c>
      <c r="T474" s="7">
        <f t="shared" si="81"/>
        <v>2073333.3333333333</v>
      </c>
      <c r="U474" s="7">
        <f t="shared" si="82"/>
        <v>11820000</v>
      </c>
      <c r="V474" s="7">
        <f t="shared" si="83"/>
        <v>0</v>
      </c>
      <c r="W474" s="7">
        <f t="shared" si="84"/>
        <v>0</v>
      </c>
      <c r="X474" s="7">
        <f t="shared" si="85"/>
        <v>0</v>
      </c>
    </row>
    <row r="475" spans="1:24">
      <c r="A475">
        <v>474</v>
      </c>
      <c r="B475" s="96" t="s">
        <v>3129</v>
      </c>
      <c r="C475" s="95">
        <v>40898</v>
      </c>
      <c r="D475" s="82">
        <v>6150000</v>
      </c>
      <c r="E475" s="82">
        <v>6150000</v>
      </c>
      <c r="F475" s="82">
        <v>6150000</v>
      </c>
      <c r="G475" s="82">
        <v>6150000</v>
      </c>
      <c r="I475" s="97">
        <v>0</v>
      </c>
      <c r="J475" s="97">
        <v>0</v>
      </c>
      <c r="K475" s="97">
        <v>0</v>
      </c>
      <c r="M475" s="7">
        <f t="shared" si="78"/>
        <v>0</v>
      </c>
      <c r="N475" s="7">
        <f t="shared" si="87"/>
        <v>0</v>
      </c>
      <c r="O475" s="7">
        <f t="shared" si="86"/>
        <v>-70000</v>
      </c>
      <c r="P475" s="99">
        <f t="shared" si="79"/>
        <v>-1.1254019292604502E-2</v>
      </c>
      <c r="Q475" s="99">
        <f t="shared" si="88"/>
        <v>4.8562488552167708E-2</v>
      </c>
      <c r="S475" s="7">
        <f t="shared" si="80"/>
        <v>6765000.0000000009</v>
      </c>
      <c r="T475" s="7">
        <f t="shared" si="81"/>
        <v>2050000</v>
      </c>
      <c r="U475" s="7">
        <f t="shared" si="82"/>
        <v>11720000</v>
      </c>
      <c r="V475" s="7">
        <f t="shared" si="83"/>
        <v>0</v>
      </c>
      <c r="W475" s="7">
        <f t="shared" si="84"/>
        <v>0</v>
      </c>
      <c r="X475" s="7">
        <f t="shared" si="85"/>
        <v>0</v>
      </c>
    </row>
    <row r="476" spans="1:24">
      <c r="A476">
        <v>475</v>
      </c>
      <c r="B476" s="96" t="s">
        <v>3128</v>
      </c>
      <c r="C476" s="95">
        <v>40899</v>
      </c>
      <c r="D476" s="82">
        <v>6020000</v>
      </c>
      <c r="E476" s="82">
        <v>6020000</v>
      </c>
      <c r="F476" s="82">
        <v>6020000</v>
      </c>
      <c r="G476" s="82">
        <v>6020000</v>
      </c>
      <c r="I476" s="98">
        <v>0</v>
      </c>
      <c r="J476" s="98">
        <v>0</v>
      </c>
      <c r="K476" s="98">
        <v>0</v>
      </c>
      <c r="M476" s="7">
        <f t="shared" si="78"/>
        <v>0</v>
      </c>
      <c r="N476" s="7">
        <f t="shared" si="87"/>
        <v>0</v>
      </c>
      <c r="O476" s="7">
        <f t="shared" si="86"/>
        <v>-130000</v>
      </c>
      <c r="P476" s="99">
        <f t="shared" si="79"/>
        <v>-2.113821138211382E-2</v>
      </c>
      <c r="Q476" s="99">
        <f t="shared" si="88"/>
        <v>5.0799194386038748E-2</v>
      </c>
      <c r="S476" s="7">
        <f t="shared" si="80"/>
        <v>6622000.0000000009</v>
      </c>
      <c r="T476" s="7">
        <f t="shared" si="81"/>
        <v>2006666.6666666667</v>
      </c>
      <c r="U476" s="7">
        <f t="shared" si="82"/>
        <v>11930000</v>
      </c>
      <c r="V476" s="7">
        <f t="shared" si="83"/>
        <v>0</v>
      </c>
      <c r="W476" s="7">
        <f t="shared" si="84"/>
        <v>0</v>
      </c>
      <c r="X476" s="7">
        <f t="shared" si="85"/>
        <v>0</v>
      </c>
    </row>
    <row r="477" spans="1:24">
      <c r="A477">
        <v>476</v>
      </c>
      <c r="B477" s="96" t="s">
        <v>3127</v>
      </c>
      <c r="C477" s="95">
        <v>40901</v>
      </c>
      <c r="D477" s="82">
        <v>6050000</v>
      </c>
      <c r="E477" s="82">
        <v>6050000</v>
      </c>
      <c r="F477" s="82">
        <v>6050000</v>
      </c>
      <c r="G477" s="82">
        <v>6050000</v>
      </c>
      <c r="I477" s="82">
        <f>G477*1.1</f>
        <v>6655000.0000000009</v>
      </c>
      <c r="J477" s="82">
        <f>G477/3</f>
        <v>2016666.6666666667</v>
      </c>
      <c r="K477" s="7">
        <f>G745</f>
        <v>12020000</v>
      </c>
      <c r="L477" s="7">
        <f>K477-I477</f>
        <v>5364999.9999999991</v>
      </c>
      <c r="M477" s="7">
        <f t="shared" si="78"/>
        <v>252083.33333333337</v>
      </c>
      <c r="N477" s="7">
        <f t="shared" si="87"/>
        <v>5617083.3333333321</v>
      </c>
      <c r="O477" s="7">
        <f t="shared" si="86"/>
        <v>30000</v>
      </c>
      <c r="P477" s="99">
        <f t="shared" si="79"/>
        <v>4.9833887043189366E-3</v>
      </c>
      <c r="Q477" s="99">
        <f t="shared" si="88"/>
        <v>1.0857564200506136E-2</v>
      </c>
      <c r="R477">
        <v>1</v>
      </c>
      <c r="S477" s="7">
        <f t="shared" si="80"/>
        <v>6655000.0000000009</v>
      </c>
      <c r="T477" s="7">
        <f t="shared" si="81"/>
        <v>2016666.6666666667</v>
      </c>
      <c r="U477" s="7">
        <f t="shared" si="82"/>
        <v>12020000</v>
      </c>
      <c r="V477" s="7">
        <f t="shared" si="83"/>
        <v>5364999.9999999991</v>
      </c>
      <c r="W477" s="7">
        <f t="shared" si="84"/>
        <v>252083.33333333337</v>
      </c>
      <c r="X477" s="7">
        <f t="shared" si="85"/>
        <v>5617083.3333333321</v>
      </c>
    </row>
    <row r="478" spans="1:24">
      <c r="A478">
        <v>477</v>
      </c>
      <c r="B478" s="96" t="s">
        <v>3126</v>
      </c>
      <c r="C478" s="95">
        <v>40902</v>
      </c>
      <c r="D478" s="82">
        <v>6120000</v>
      </c>
      <c r="E478" s="82">
        <v>6120000</v>
      </c>
      <c r="F478" s="82">
        <v>6120000</v>
      </c>
      <c r="G478" s="82">
        <v>6120000</v>
      </c>
      <c r="I478" s="97">
        <v>0</v>
      </c>
      <c r="J478" s="97">
        <v>0</v>
      </c>
      <c r="K478" s="97">
        <v>0</v>
      </c>
      <c r="M478" s="7">
        <f t="shared" si="78"/>
        <v>0</v>
      </c>
      <c r="N478" s="7">
        <f t="shared" si="87"/>
        <v>0</v>
      </c>
      <c r="O478" s="7">
        <f t="shared" si="86"/>
        <v>70000</v>
      </c>
      <c r="P478" s="99">
        <f t="shared" si="79"/>
        <v>1.1570247933884297E-2</v>
      </c>
      <c r="Q478" s="99">
        <f t="shared" si="88"/>
        <v>-1.1004684679067551E-2</v>
      </c>
      <c r="S478" s="7">
        <f t="shared" si="80"/>
        <v>6732000.0000000009</v>
      </c>
      <c r="T478" s="7">
        <f t="shared" si="81"/>
        <v>2040000</v>
      </c>
      <c r="U478" s="7">
        <f t="shared" si="82"/>
        <v>11800000</v>
      </c>
      <c r="V478" s="7">
        <f t="shared" si="83"/>
        <v>0</v>
      </c>
      <c r="W478" s="7">
        <f t="shared" si="84"/>
        <v>0</v>
      </c>
      <c r="X478" s="7">
        <f t="shared" si="85"/>
        <v>0</v>
      </c>
    </row>
    <row r="479" spans="1:24">
      <c r="A479">
        <v>478</v>
      </c>
      <c r="B479" s="96" t="s">
        <v>3125</v>
      </c>
      <c r="C479" s="95">
        <v>40903</v>
      </c>
      <c r="D479" s="82">
        <v>6150000</v>
      </c>
      <c r="E479" s="82">
        <v>6150000</v>
      </c>
      <c r="F479" s="82">
        <v>6150000</v>
      </c>
      <c r="G479" s="82">
        <v>6150000</v>
      </c>
      <c r="I479" s="97">
        <v>0</v>
      </c>
      <c r="J479" s="97">
        <v>0</v>
      </c>
      <c r="K479" s="97">
        <v>0</v>
      </c>
      <c r="M479" s="7">
        <f t="shared" si="78"/>
        <v>0</v>
      </c>
      <c r="N479" s="7">
        <f t="shared" si="87"/>
        <v>0</v>
      </c>
      <c r="O479" s="7">
        <f t="shared" si="86"/>
        <v>30000</v>
      </c>
      <c r="P479" s="99">
        <f t="shared" si="79"/>
        <v>4.9019607843137254E-3</v>
      </c>
      <c r="Q479" s="99">
        <f t="shared" si="88"/>
        <v>3.8335371110258965E-3</v>
      </c>
      <c r="S479" s="7">
        <f t="shared" si="80"/>
        <v>6765000.0000000009</v>
      </c>
      <c r="T479" s="7">
        <f t="shared" si="81"/>
        <v>2050000</v>
      </c>
      <c r="U479" s="7">
        <f t="shared" si="82"/>
        <v>11850000</v>
      </c>
      <c r="V479" s="7">
        <f t="shared" si="83"/>
        <v>0</v>
      </c>
      <c r="W479" s="7">
        <f t="shared" si="84"/>
        <v>0</v>
      </c>
      <c r="X479" s="7">
        <f t="shared" si="85"/>
        <v>0</v>
      </c>
    </row>
    <row r="480" spans="1:24">
      <c r="A480">
        <v>479</v>
      </c>
      <c r="B480" s="96" t="s">
        <v>3124</v>
      </c>
      <c r="C480" s="95">
        <v>40904</v>
      </c>
      <c r="D480" s="82">
        <v>6080000</v>
      </c>
      <c r="E480" s="82">
        <v>6080000</v>
      </c>
      <c r="F480" s="82">
        <v>6080000</v>
      </c>
      <c r="G480" s="82">
        <v>6080000</v>
      </c>
      <c r="I480" s="97">
        <v>0</v>
      </c>
      <c r="J480" s="97">
        <v>0</v>
      </c>
      <c r="K480" s="97">
        <v>0</v>
      </c>
      <c r="M480" s="7">
        <f t="shared" si="78"/>
        <v>0</v>
      </c>
      <c r="N480" s="7">
        <f t="shared" si="87"/>
        <v>0</v>
      </c>
      <c r="O480" s="7">
        <f t="shared" si="86"/>
        <v>-70000</v>
      </c>
      <c r="P480" s="99">
        <f t="shared" si="79"/>
        <v>-1.1382113821138212E-2</v>
      </c>
      <c r="Q480" s="99">
        <f t="shared" si="88"/>
        <v>-1.0936633252201369E-2</v>
      </c>
      <c r="S480" s="7">
        <f t="shared" si="80"/>
        <v>6688000.0000000009</v>
      </c>
      <c r="T480" s="7">
        <f t="shared" si="81"/>
        <v>2026666.6666666667</v>
      </c>
      <c r="U480" s="7">
        <f t="shared" si="82"/>
        <v>12050000</v>
      </c>
      <c r="V480" s="7">
        <f t="shared" si="83"/>
        <v>0</v>
      </c>
      <c r="W480" s="7">
        <f t="shared" si="84"/>
        <v>0</v>
      </c>
      <c r="X480" s="7">
        <f t="shared" si="85"/>
        <v>0</v>
      </c>
    </row>
    <row r="481" spans="1:24">
      <c r="A481">
        <v>480</v>
      </c>
      <c r="B481" s="96" t="s">
        <v>3123</v>
      </c>
      <c r="C481" s="95">
        <v>40905</v>
      </c>
      <c r="D481" s="82">
        <v>6060000</v>
      </c>
      <c r="E481" s="82">
        <v>6060000</v>
      </c>
      <c r="F481" s="82">
        <v>6060000</v>
      </c>
      <c r="G481" s="82">
        <v>6060000</v>
      </c>
      <c r="I481" s="98">
        <v>0</v>
      </c>
      <c r="J481" s="98">
        <v>0</v>
      </c>
      <c r="K481" s="98">
        <v>0</v>
      </c>
      <c r="M481" s="7">
        <f t="shared" si="78"/>
        <v>0</v>
      </c>
      <c r="N481" s="7">
        <f t="shared" si="87"/>
        <v>0</v>
      </c>
      <c r="O481" s="7">
        <f t="shared" si="86"/>
        <v>-20000</v>
      </c>
      <c r="P481" s="99">
        <f t="shared" si="79"/>
        <v>-3.2894736842105261E-3</v>
      </c>
      <c r="Q481" s="99">
        <f t="shared" si="88"/>
        <v>-1.1064727780735072E-2</v>
      </c>
      <c r="S481" s="7">
        <f t="shared" si="80"/>
        <v>6666000.0000000009</v>
      </c>
      <c r="T481" s="7">
        <f t="shared" si="81"/>
        <v>2020000</v>
      </c>
      <c r="U481" s="7">
        <f t="shared" si="82"/>
        <v>11980000</v>
      </c>
      <c r="V481" s="7">
        <f t="shared" si="83"/>
        <v>0</v>
      </c>
      <c r="W481" s="7">
        <f t="shared" si="84"/>
        <v>0</v>
      </c>
      <c r="X481" s="7">
        <f t="shared" si="85"/>
        <v>0</v>
      </c>
    </row>
    <row r="482" spans="1:24">
      <c r="A482">
        <v>481</v>
      </c>
      <c r="B482" s="96" t="s">
        <v>3122</v>
      </c>
      <c r="C482" s="95">
        <v>40906</v>
      </c>
      <c r="D482" s="82">
        <v>6020000</v>
      </c>
      <c r="E482" s="82">
        <v>6020000</v>
      </c>
      <c r="F482" s="82">
        <v>6020000</v>
      </c>
      <c r="G482" s="82">
        <v>6020000</v>
      </c>
      <c r="I482" s="82">
        <f>G482*1.1</f>
        <v>6622000.0000000009</v>
      </c>
      <c r="J482" s="82">
        <f>G482/3</f>
        <v>2006666.6666666667</v>
      </c>
      <c r="K482" s="7">
        <f>G750</f>
        <v>12140000</v>
      </c>
      <c r="L482" s="7">
        <f>K482-I482</f>
        <v>5517999.9999999991</v>
      </c>
      <c r="M482" s="7">
        <f t="shared" si="78"/>
        <v>250833.33333333337</v>
      </c>
      <c r="N482" s="7">
        <f t="shared" si="87"/>
        <v>5768833.3333333321</v>
      </c>
      <c r="O482" s="7">
        <f t="shared" si="86"/>
        <v>-40000</v>
      </c>
      <c r="P482" s="99">
        <f t="shared" si="79"/>
        <v>-6.6006600660066007E-3</v>
      </c>
      <c r="Q482" s="99">
        <f t="shared" si="88"/>
        <v>6.7840099171682204E-3</v>
      </c>
      <c r="R482">
        <v>1</v>
      </c>
      <c r="S482" s="7">
        <f t="shared" si="80"/>
        <v>6622000.0000000009</v>
      </c>
      <c r="T482" s="7">
        <f t="shared" si="81"/>
        <v>2006666.6666666667</v>
      </c>
      <c r="U482" s="7">
        <f t="shared" si="82"/>
        <v>12140000</v>
      </c>
      <c r="V482" s="7">
        <f t="shared" si="83"/>
        <v>5517999.9999999991</v>
      </c>
      <c r="W482" s="7">
        <f t="shared" si="84"/>
        <v>250833.33333333337</v>
      </c>
      <c r="X482" s="7">
        <f t="shared" si="85"/>
        <v>5768833.3333333321</v>
      </c>
    </row>
    <row r="483" spans="1:24">
      <c r="A483">
        <v>482</v>
      </c>
      <c r="B483" s="96" t="s">
        <v>3121</v>
      </c>
      <c r="C483" s="95">
        <v>40908</v>
      </c>
      <c r="D483" s="82">
        <v>6130000</v>
      </c>
      <c r="E483" s="82">
        <v>6130000</v>
      </c>
      <c r="F483" s="82">
        <v>6130000</v>
      </c>
      <c r="G483" s="82">
        <v>6130000</v>
      </c>
      <c r="I483" s="97">
        <v>0</v>
      </c>
      <c r="J483" s="97">
        <v>0</v>
      </c>
      <c r="K483" s="97">
        <v>0</v>
      </c>
      <c r="M483" s="7">
        <f t="shared" si="78"/>
        <v>0</v>
      </c>
      <c r="N483" s="7">
        <f t="shared" si="87"/>
        <v>0</v>
      </c>
      <c r="O483" s="7">
        <f t="shared" si="86"/>
        <v>110000</v>
      </c>
      <c r="P483" s="99">
        <f t="shared" si="79"/>
        <v>1.8272425249169437E-2</v>
      </c>
      <c r="Q483" s="99">
        <f t="shared" si="88"/>
        <v>-4.8000388531573152E-3</v>
      </c>
      <c r="S483" s="7">
        <f t="shared" si="80"/>
        <v>6743000.0000000009</v>
      </c>
      <c r="T483" s="7">
        <f t="shared" si="81"/>
        <v>2043333.3333333333</v>
      </c>
      <c r="U483" s="7">
        <f t="shared" si="82"/>
        <v>12080000</v>
      </c>
      <c r="V483" s="7">
        <f t="shared" si="83"/>
        <v>0</v>
      </c>
      <c r="W483" s="7">
        <f t="shared" si="84"/>
        <v>0</v>
      </c>
      <c r="X483" s="7">
        <f t="shared" si="85"/>
        <v>0</v>
      </c>
    </row>
    <row r="484" spans="1:24">
      <c r="A484">
        <v>483</v>
      </c>
      <c r="B484" s="96" t="s">
        <v>3120</v>
      </c>
      <c r="C484" s="95">
        <v>40909</v>
      </c>
      <c r="D484" s="82">
        <v>6130000</v>
      </c>
      <c r="E484" s="82">
        <v>6130000</v>
      </c>
      <c r="F484" s="82">
        <v>6130000</v>
      </c>
      <c r="G484" s="82">
        <v>6130000</v>
      </c>
      <c r="I484" s="97">
        <v>0</v>
      </c>
      <c r="J484" s="97">
        <v>0</v>
      </c>
      <c r="K484" s="97">
        <v>0</v>
      </c>
      <c r="M484" s="7">
        <f t="shared" si="78"/>
        <v>0</v>
      </c>
      <c r="N484" s="7">
        <f t="shared" si="87"/>
        <v>0</v>
      </c>
      <c r="O484" s="7">
        <f t="shared" si="86"/>
        <v>0</v>
      </c>
      <c r="P484" s="99">
        <f t="shared" si="79"/>
        <v>0</v>
      </c>
      <c r="Q484" s="99">
        <f t="shared" si="88"/>
        <v>1.9021384621278233E-3</v>
      </c>
      <c r="S484" s="7">
        <f t="shared" si="80"/>
        <v>6743000.0000000009</v>
      </c>
      <c r="T484" s="7">
        <f t="shared" si="81"/>
        <v>2043333.3333333333</v>
      </c>
      <c r="U484" s="7">
        <f t="shared" si="82"/>
        <v>11900000</v>
      </c>
      <c r="V484" s="7">
        <f t="shared" si="83"/>
        <v>0</v>
      </c>
      <c r="W484" s="7">
        <f t="shared" si="84"/>
        <v>0</v>
      </c>
      <c r="X484" s="7">
        <f t="shared" si="85"/>
        <v>0</v>
      </c>
    </row>
    <row r="485" spans="1:24">
      <c r="A485">
        <v>484</v>
      </c>
      <c r="B485" s="96" t="s">
        <v>3119</v>
      </c>
      <c r="C485" s="95">
        <v>40910</v>
      </c>
      <c r="D485" s="82">
        <v>6210000</v>
      </c>
      <c r="E485" s="82">
        <v>6210000</v>
      </c>
      <c r="F485" s="82">
        <v>6210000</v>
      </c>
      <c r="G485" s="82">
        <v>6210000</v>
      </c>
      <c r="I485" s="97">
        <v>0</v>
      </c>
      <c r="J485" s="97">
        <v>0</v>
      </c>
      <c r="K485" s="97">
        <v>0</v>
      </c>
      <c r="M485" s="7">
        <f t="shared" si="78"/>
        <v>0</v>
      </c>
      <c r="N485" s="7">
        <f t="shared" si="87"/>
        <v>0</v>
      </c>
      <c r="O485" s="7">
        <f t="shared" si="86"/>
        <v>80000</v>
      </c>
      <c r="P485" s="99">
        <f t="shared" si="79"/>
        <v>1.3050570962479609E-2</v>
      </c>
      <c r="Q485" s="99">
        <f t="shared" si="88"/>
        <v>-2.9998223221859022E-3</v>
      </c>
      <c r="S485" s="7">
        <f t="shared" si="80"/>
        <v>6831000.0000000009</v>
      </c>
      <c r="T485" s="7">
        <f t="shared" si="81"/>
        <v>2070000</v>
      </c>
      <c r="U485" s="7">
        <f t="shared" si="82"/>
        <v>11950000</v>
      </c>
      <c r="V485" s="7">
        <f t="shared" si="83"/>
        <v>0</v>
      </c>
      <c r="W485" s="7">
        <f t="shared" si="84"/>
        <v>0</v>
      </c>
      <c r="X485" s="7">
        <f t="shared" si="85"/>
        <v>0</v>
      </c>
    </row>
    <row r="486" spans="1:24">
      <c r="A486">
        <v>485</v>
      </c>
      <c r="B486" s="96" t="s">
        <v>3118</v>
      </c>
      <c r="C486" s="95">
        <v>40911</v>
      </c>
      <c r="D486" s="82">
        <v>6140000</v>
      </c>
      <c r="E486" s="82">
        <v>6140000</v>
      </c>
      <c r="F486" s="82">
        <v>6140000</v>
      </c>
      <c r="G486" s="82">
        <v>6140000</v>
      </c>
      <c r="I486" s="98">
        <v>0</v>
      </c>
      <c r="J486" s="98">
        <v>0</v>
      </c>
      <c r="K486" s="98">
        <v>0</v>
      </c>
      <c r="M486" s="7">
        <f t="shared" si="78"/>
        <v>0</v>
      </c>
      <c r="N486" s="7">
        <f t="shared" si="87"/>
        <v>0</v>
      </c>
      <c r="O486" s="7">
        <f t="shared" si="86"/>
        <v>-70000</v>
      </c>
      <c r="P486" s="99">
        <f t="shared" si="79"/>
        <v>-1.1272141706924315E-2</v>
      </c>
      <c r="Q486" s="99">
        <f t="shared" si="88"/>
        <v>2.1432862461431917E-2</v>
      </c>
      <c r="S486" s="7">
        <f t="shared" si="80"/>
        <v>6754000.0000000009</v>
      </c>
      <c r="T486" s="7">
        <f t="shared" si="81"/>
        <v>2046666.6666666667</v>
      </c>
      <c r="U486" s="7">
        <f t="shared" si="82"/>
        <v>12050000</v>
      </c>
      <c r="V486" s="7">
        <f t="shared" si="83"/>
        <v>0</v>
      </c>
      <c r="W486" s="7">
        <f t="shared" si="84"/>
        <v>0</v>
      </c>
      <c r="X486" s="7">
        <f t="shared" si="85"/>
        <v>0</v>
      </c>
    </row>
    <row r="487" spans="1:24">
      <c r="A487">
        <v>486</v>
      </c>
      <c r="B487" s="96" t="s">
        <v>3117</v>
      </c>
      <c r="C487" s="95">
        <v>40912</v>
      </c>
      <c r="D487" s="82">
        <v>6130000</v>
      </c>
      <c r="E487" s="82">
        <v>6130000</v>
      </c>
      <c r="F487" s="82">
        <v>6130000</v>
      </c>
      <c r="G487" s="82">
        <v>6130000</v>
      </c>
      <c r="I487" s="82">
        <f>G487*1.1</f>
        <v>6743000.0000000009</v>
      </c>
      <c r="J487" s="82">
        <f>G487/3</f>
        <v>2043333.3333333333</v>
      </c>
      <c r="K487" s="7">
        <f>G755</f>
        <v>12500000</v>
      </c>
      <c r="L487" s="7">
        <f>K487-I487</f>
        <v>5756999.9999999991</v>
      </c>
      <c r="M487" s="7">
        <f t="shared" si="78"/>
        <v>255416.66666666663</v>
      </c>
      <c r="N487" s="7">
        <f t="shared" si="87"/>
        <v>6012416.666666666</v>
      </c>
      <c r="O487" s="7">
        <f t="shared" si="86"/>
        <v>-10000</v>
      </c>
      <c r="P487" s="99">
        <f t="shared" si="79"/>
        <v>-1.6286644951140066E-3</v>
      </c>
      <c r="Q487" s="99">
        <f t="shared" si="88"/>
        <v>1.3450194438718132E-2</v>
      </c>
      <c r="R487">
        <v>1</v>
      </c>
      <c r="S487" s="7">
        <f t="shared" si="80"/>
        <v>6743000.0000000009</v>
      </c>
      <c r="T487" s="7">
        <f t="shared" si="81"/>
        <v>2043333.3333333333</v>
      </c>
      <c r="U487" s="7">
        <f t="shared" si="82"/>
        <v>12500000</v>
      </c>
      <c r="V487" s="7">
        <f t="shared" si="83"/>
        <v>5756999.9999999991</v>
      </c>
      <c r="W487" s="7">
        <f t="shared" si="84"/>
        <v>255416.66666666663</v>
      </c>
      <c r="X487" s="7">
        <f t="shared" si="85"/>
        <v>6012416.666666666</v>
      </c>
    </row>
    <row r="488" spans="1:24">
      <c r="A488">
        <v>487</v>
      </c>
      <c r="B488" s="96" t="s">
        <v>3116</v>
      </c>
      <c r="C488" s="95">
        <v>40913</v>
      </c>
      <c r="D488" s="82">
        <v>6170000</v>
      </c>
      <c r="E488" s="82">
        <v>6170000</v>
      </c>
      <c r="F488" s="82">
        <v>6170000</v>
      </c>
      <c r="G488" s="82">
        <v>6170000</v>
      </c>
      <c r="I488" s="97">
        <v>0</v>
      </c>
      <c r="J488" s="97">
        <v>0</v>
      </c>
      <c r="K488" s="97">
        <v>0</v>
      </c>
      <c r="M488" s="7">
        <f t="shared" si="78"/>
        <v>0</v>
      </c>
      <c r="N488" s="7">
        <f t="shared" si="87"/>
        <v>0</v>
      </c>
      <c r="O488" s="7">
        <f t="shared" si="86"/>
        <v>40000</v>
      </c>
      <c r="P488" s="99">
        <f t="shared" si="79"/>
        <v>6.5252854812398045E-3</v>
      </c>
      <c r="Q488" s="99">
        <f t="shared" si="88"/>
        <v>1.842219000961072E-2</v>
      </c>
      <c r="S488" s="7">
        <f t="shared" si="80"/>
        <v>6787000.0000000009</v>
      </c>
      <c r="T488" s="7">
        <f t="shared" si="81"/>
        <v>2056666.6666666667</v>
      </c>
      <c r="U488" s="7">
        <f t="shared" si="82"/>
        <v>12200000</v>
      </c>
      <c r="V488" s="7">
        <f t="shared" si="83"/>
        <v>0</v>
      </c>
      <c r="W488" s="7">
        <f t="shared" si="84"/>
        <v>0</v>
      </c>
      <c r="X488" s="7">
        <f t="shared" si="85"/>
        <v>0</v>
      </c>
    </row>
    <row r="489" spans="1:24">
      <c r="A489">
        <v>488</v>
      </c>
      <c r="B489" s="96" t="s">
        <v>3115</v>
      </c>
      <c r="C489" s="95">
        <v>40915</v>
      </c>
      <c r="D489" s="82">
        <v>6170000</v>
      </c>
      <c r="E489" s="82">
        <v>6170000</v>
      </c>
      <c r="F489" s="82">
        <v>6170000</v>
      </c>
      <c r="G489" s="82">
        <v>6170000</v>
      </c>
      <c r="I489" s="97">
        <v>0</v>
      </c>
      <c r="J489" s="97">
        <v>0</v>
      </c>
      <c r="K489" s="97">
        <v>0</v>
      </c>
      <c r="M489" s="7">
        <f t="shared" si="78"/>
        <v>0</v>
      </c>
      <c r="N489" s="7">
        <f t="shared" si="87"/>
        <v>0</v>
      </c>
      <c r="O489" s="7">
        <f t="shared" si="86"/>
        <v>0</v>
      </c>
      <c r="P489" s="99">
        <f t="shared" si="79"/>
        <v>0</v>
      </c>
      <c r="Q489" s="99">
        <f t="shared" si="88"/>
        <v>6.6750502416810919E-3</v>
      </c>
      <c r="S489" s="7">
        <f t="shared" si="80"/>
        <v>6787000.0000000009</v>
      </c>
      <c r="T489" s="7">
        <f t="shared" si="81"/>
        <v>2056666.6666666667</v>
      </c>
      <c r="U489" s="7">
        <f t="shared" si="82"/>
        <v>12290000</v>
      </c>
      <c r="V489" s="7">
        <f t="shared" si="83"/>
        <v>0</v>
      </c>
      <c r="W489" s="7">
        <f t="shared" si="84"/>
        <v>0</v>
      </c>
      <c r="X489" s="7">
        <f t="shared" si="85"/>
        <v>0</v>
      </c>
    </row>
    <row r="490" spans="1:24">
      <c r="A490">
        <v>489</v>
      </c>
      <c r="B490" s="96" t="s">
        <v>3114</v>
      </c>
      <c r="C490" s="95">
        <v>40916</v>
      </c>
      <c r="D490" s="82">
        <v>6210000</v>
      </c>
      <c r="E490" s="82">
        <v>6210000</v>
      </c>
      <c r="F490" s="82">
        <v>6210000</v>
      </c>
      <c r="G490" s="82">
        <v>6210000</v>
      </c>
      <c r="I490" s="97">
        <v>0</v>
      </c>
      <c r="J490" s="97">
        <v>0</v>
      </c>
      <c r="K490" s="97">
        <v>0</v>
      </c>
      <c r="M490" s="7">
        <f t="shared" si="78"/>
        <v>0</v>
      </c>
      <c r="N490" s="7">
        <f t="shared" si="87"/>
        <v>0</v>
      </c>
      <c r="O490" s="7">
        <f t="shared" si="86"/>
        <v>40000</v>
      </c>
      <c r="P490" s="99">
        <f t="shared" si="79"/>
        <v>6.4829821717990272E-3</v>
      </c>
      <c r="Q490" s="99">
        <f t="shared" si="88"/>
        <v>6.6750502416810919E-3</v>
      </c>
      <c r="S490" s="7">
        <f t="shared" si="80"/>
        <v>6831000.0000000009</v>
      </c>
      <c r="T490" s="7">
        <f t="shared" si="81"/>
        <v>2070000</v>
      </c>
      <c r="U490" s="7">
        <f t="shared" si="82"/>
        <v>12430000</v>
      </c>
      <c r="V490" s="7">
        <f t="shared" si="83"/>
        <v>0</v>
      </c>
      <c r="W490" s="7">
        <f t="shared" si="84"/>
        <v>0</v>
      </c>
      <c r="X490" s="7">
        <f t="shared" si="85"/>
        <v>0</v>
      </c>
    </row>
    <row r="491" spans="1:24">
      <c r="A491">
        <v>490</v>
      </c>
      <c r="B491" s="96" t="s">
        <v>3113</v>
      </c>
      <c r="C491" s="95">
        <v>40917</v>
      </c>
      <c r="D491" s="82">
        <v>6350000</v>
      </c>
      <c r="E491" s="82">
        <v>6350000</v>
      </c>
      <c r="F491" s="82">
        <v>6350000</v>
      </c>
      <c r="G491" s="82">
        <v>6350000</v>
      </c>
      <c r="I491" s="98">
        <v>0</v>
      </c>
      <c r="J491" s="98">
        <v>0</v>
      </c>
      <c r="K491" s="98">
        <v>0</v>
      </c>
      <c r="M491" s="7">
        <f t="shared" si="78"/>
        <v>0</v>
      </c>
      <c r="N491" s="7">
        <f t="shared" si="87"/>
        <v>0</v>
      </c>
      <c r="O491" s="7">
        <f t="shared" si="86"/>
        <v>140000</v>
      </c>
      <c r="P491" s="99">
        <f t="shared" si="79"/>
        <v>2.2544283413848631E-2</v>
      </c>
      <c r="Q491" s="99">
        <f t="shared" si="88"/>
        <v>1.0746145100050918E-4</v>
      </c>
      <c r="S491" s="7">
        <f t="shared" si="80"/>
        <v>6985000.0000000009</v>
      </c>
      <c r="T491" s="7">
        <f t="shared" si="81"/>
        <v>2116666.6666666665</v>
      </c>
      <c r="U491" s="7">
        <f t="shared" si="82"/>
        <v>12830000</v>
      </c>
      <c r="V491" s="7">
        <f t="shared" si="83"/>
        <v>0</v>
      </c>
      <c r="W491" s="7">
        <f t="shared" si="84"/>
        <v>0</v>
      </c>
      <c r="X491" s="7">
        <f t="shared" si="85"/>
        <v>0</v>
      </c>
    </row>
    <row r="492" spans="1:24">
      <c r="A492">
        <v>491</v>
      </c>
      <c r="B492" s="96" t="s">
        <v>3112</v>
      </c>
      <c r="C492" s="95">
        <v>40918</v>
      </c>
      <c r="D492" s="82">
        <v>6600000</v>
      </c>
      <c r="E492" s="82">
        <v>6600000</v>
      </c>
      <c r="F492" s="82">
        <v>6600000</v>
      </c>
      <c r="G492" s="82">
        <v>6600000</v>
      </c>
      <c r="I492" s="82">
        <f>G492*1.1</f>
        <v>7260000.0000000009</v>
      </c>
      <c r="J492" s="82">
        <f>G492/3</f>
        <v>2200000</v>
      </c>
      <c r="K492" s="7">
        <f>G760</f>
        <v>13460000</v>
      </c>
      <c r="L492" s="7">
        <f>K492-I492</f>
        <v>6199999.9999999991</v>
      </c>
      <c r="M492" s="7">
        <f t="shared" si="78"/>
        <v>275000</v>
      </c>
      <c r="N492" s="7">
        <f t="shared" si="87"/>
        <v>6474999.9999999991</v>
      </c>
      <c r="O492" s="7">
        <f t="shared" si="86"/>
        <v>250000</v>
      </c>
      <c r="P492" s="99">
        <f t="shared" si="79"/>
        <v>3.937007874015748E-2</v>
      </c>
      <c r="Q492" s="99">
        <f t="shared" si="88"/>
        <v>3.3923886571773455E-2</v>
      </c>
      <c r="R492">
        <v>1</v>
      </c>
      <c r="S492" s="7">
        <f t="shared" si="80"/>
        <v>7260000.0000000009</v>
      </c>
      <c r="T492" s="7">
        <f t="shared" si="81"/>
        <v>2200000</v>
      </c>
      <c r="U492" s="7">
        <f t="shared" si="82"/>
        <v>13460000</v>
      </c>
      <c r="V492" s="7">
        <f t="shared" si="83"/>
        <v>6199999.9999999991</v>
      </c>
      <c r="W492" s="7">
        <f t="shared" si="84"/>
        <v>275000</v>
      </c>
      <c r="X492" s="7">
        <f t="shared" si="85"/>
        <v>6474999.9999999991</v>
      </c>
    </row>
    <row r="493" spans="1:24">
      <c r="A493">
        <v>492</v>
      </c>
      <c r="B493" s="96" t="s">
        <v>3111</v>
      </c>
      <c r="C493" s="95">
        <v>40919</v>
      </c>
      <c r="D493" s="82">
        <v>6690000</v>
      </c>
      <c r="E493" s="82">
        <v>6690000</v>
      </c>
      <c r="F493" s="82">
        <v>6690000</v>
      </c>
      <c r="G493" s="82">
        <v>6690000</v>
      </c>
      <c r="I493" s="97">
        <v>0</v>
      </c>
      <c r="J493" s="97">
        <v>0</v>
      </c>
      <c r="K493" s="97">
        <v>0</v>
      </c>
      <c r="M493" s="7">
        <f t="shared" si="78"/>
        <v>0</v>
      </c>
      <c r="N493" s="7">
        <f t="shared" si="87"/>
        <v>0</v>
      </c>
      <c r="O493" s="7">
        <f t="shared" si="86"/>
        <v>90000</v>
      </c>
      <c r="P493" s="99">
        <f t="shared" si="79"/>
        <v>1.3636363636363636E-2</v>
      </c>
      <c r="Q493" s="99">
        <f t="shared" si="88"/>
        <v>7.4922629807044949E-2</v>
      </c>
      <c r="S493" s="7">
        <f t="shared" si="80"/>
        <v>7359000.0000000009</v>
      </c>
      <c r="T493" s="7">
        <f t="shared" si="81"/>
        <v>2230000</v>
      </c>
      <c r="U493" s="7">
        <f t="shared" si="82"/>
        <v>12930000</v>
      </c>
      <c r="V493" s="7">
        <f t="shared" si="83"/>
        <v>0</v>
      </c>
      <c r="W493" s="7">
        <f t="shared" si="84"/>
        <v>0</v>
      </c>
      <c r="X493" s="7">
        <f t="shared" si="85"/>
        <v>0</v>
      </c>
    </row>
    <row r="494" spans="1:24">
      <c r="A494">
        <v>493</v>
      </c>
      <c r="B494" s="96" t="s">
        <v>3110</v>
      </c>
      <c r="C494" s="95">
        <v>40920</v>
      </c>
      <c r="D494" s="82">
        <v>6670000</v>
      </c>
      <c r="E494" s="82">
        <v>6670000</v>
      </c>
      <c r="F494" s="82">
        <v>6670000</v>
      </c>
      <c r="G494" s="82">
        <v>6670000</v>
      </c>
      <c r="I494" s="97">
        <v>0</v>
      </c>
      <c r="J494" s="97">
        <v>0</v>
      </c>
      <c r="K494" s="97">
        <v>0</v>
      </c>
      <c r="M494" s="7">
        <f t="shared" si="78"/>
        <v>0</v>
      </c>
      <c r="N494" s="7">
        <f t="shared" si="87"/>
        <v>0</v>
      </c>
      <c r="O494" s="7">
        <f t="shared" si="86"/>
        <v>-20000</v>
      </c>
      <c r="P494" s="99">
        <f t="shared" si="79"/>
        <v>-2.9895366218236174E-3</v>
      </c>
      <c r="Q494" s="99">
        <f t="shared" si="88"/>
        <v>8.2033707962168773E-2</v>
      </c>
      <c r="S494" s="7">
        <f t="shared" si="80"/>
        <v>7337000.0000000009</v>
      </c>
      <c r="T494" s="7">
        <f t="shared" si="81"/>
        <v>2223333.3333333335</v>
      </c>
      <c r="U494" s="7">
        <f t="shared" si="82"/>
        <v>12800000</v>
      </c>
      <c r="V494" s="7">
        <f t="shared" si="83"/>
        <v>0</v>
      </c>
      <c r="W494" s="7">
        <f t="shared" si="84"/>
        <v>0</v>
      </c>
      <c r="X494" s="7">
        <f t="shared" si="85"/>
        <v>0</v>
      </c>
    </row>
    <row r="495" spans="1:24">
      <c r="A495">
        <v>494</v>
      </c>
      <c r="B495" s="96" t="s">
        <v>3109</v>
      </c>
      <c r="C495" s="95">
        <v>40923</v>
      </c>
      <c r="D495" s="82">
        <v>6700000</v>
      </c>
      <c r="E495" s="82">
        <v>6700000</v>
      </c>
      <c r="F495" s="82">
        <v>6700000</v>
      </c>
      <c r="G495" s="82">
        <v>6700000</v>
      </c>
      <c r="I495" s="97">
        <v>0</v>
      </c>
      <c r="J495" s="97">
        <v>0</v>
      </c>
      <c r="K495" s="97">
        <v>0</v>
      </c>
      <c r="M495" s="7">
        <f t="shared" si="78"/>
        <v>0</v>
      </c>
      <c r="N495" s="7">
        <f t="shared" si="87"/>
        <v>0</v>
      </c>
      <c r="O495" s="7">
        <f t="shared" si="86"/>
        <v>30000</v>
      </c>
      <c r="P495" s="99">
        <f t="shared" si="79"/>
        <v>4.4977511244377807E-3</v>
      </c>
      <c r="Q495" s="99">
        <f t="shared" si="88"/>
        <v>7.9044171340345151E-2</v>
      </c>
      <c r="S495" s="7">
        <f t="shared" si="80"/>
        <v>7370000.0000000009</v>
      </c>
      <c r="T495" s="7">
        <f t="shared" si="81"/>
        <v>2233333.3333333335</v>
      </c>
      <c r="U495" s="7">
        <f t="shared" si="82"/>
        <v>12870000</v>
      </c>
      <c r="V495" s="7">
        <f t="shared" si="83"/>
        <v>0</v>
      </c>
      <c r="W495" s="7">
        <f t="shared" si="84"/>
        <v>0</v>
      </c>
      <c r="X495" s="7">
        <f t="shared" si="85"/>
        <v>0</v>
      </c>
    </row>
    <row r="496" spans="1:24">
      <c r="A496">
        <v>495</v>
      </c>
      <c r="B496" s="96" t="s">
        <v>3108</v>
      </c>
      <c r="C496" s="95">
        <v>40924</v>
      </c>
      <c r="D496" s="82">
        <v>6950000</v>
      </c>
      <c r="E496" s="82">
        <v>6950000</v>
      </c>
      <c r="F496" s="82">
        <v>6950000</v>
      </c>
      <c r="G496" s="82">
        <v>6950000</v>
      </c>
      <c r="I496" s="98">
        <v>0</v>
      </c>
      <c r="J496" s="98">
        <v>0</v>
      </c>
      <c r="K496" s="98">
        <v>0</v>
      </c>
      <c r="M496" s="7">
        <f t="shared" si="78"/>
        <v>0</v>
      </c>
      <c r="N496" s="7">
        <f t="shared" si="87"/>
        <v>0</v>
      </c>
      <c r="O496" s="7">
        <f t="shared" si="86"/>
        <v>250000</v>
      </c>
      <c r="P496" s="99">
        <f t="shared" si="79"/>
        <v>3.7313432835820892E-2</v>
      </c>
      <c r="Q496" s="99">
        <f t="shared" si="88"/>
        <v>7.7058940292983907E-2</v>
      </c>
      <c r="S496" s="7">
        <f t="shared" si="80"/>
        <v>7645000.0000000009</v>
      </c>
      <c r="T496" s="7">
        <f t="shared" si="81"/>
        <v>2316666.6666666665</v>
      </c>
      <c r="U496" s="7">
        <f t="shared" si="82"/>
        <v>12460000</v>
      </c>
      <c r="V496" s="7">
        <f t="shared" si="83"/>
        <v>0</v>
      </c>
      <c r="W496" s="7">
        <f t="shared" si="84"/>
        <v>0</v>
      </c>
      <c r="X496" s="7">
        <f t="shared" si="85"/>
        <v>0</v>
      </c>
    </row>
    <row r="497" spans="1:24">
      <c r="A497">
        <v>496</v>
      </c>
      <c r="B497" s="96" t="s">
        <v>3107</v>
      </c>
      <c r="C497" s="95">
        <v>40925</v>
      </c>
      <c r="D497" s="82">
        <v>7530000</v>
      </c>
      <c r="E497" s="82">
        <v>7530000</v>
      </c>
      <c r="F497" s="82">
        <v>7530000</v>
      </c>
      <c r="G497" s="82">
        <v>7530000</v>
      </c>
      <c r="I497" s="82">
        <f>G497*1.1</f>
        <v>8283000.0000000009</v>
      </c>
      <c r="J497" s="82">
        <f>G497/3</f>
        <v>2510000</v>
      </c>
      <c r="K497" s="7">
        <f>G765</f>
        <v>12600000</v>
      </c>
      <c r="L497" s="7">
        <f>K497-I497</f>
        <v>4316999.9999999991</v>
      </c>
      <c r="M497" s="7">
        <f t="shared" si="78"/>
        <v>313750</v>
      </c>
      <c r="N497" s="7">
        <f t="shared" si="87"/>
        <v>4630749.9999999991</v>
      </c>
      <c r="O497" s="7">
        <f t="shared" si="86"/>
        <v>580000</v>
      </c>
      <c r="P497" s="99">
        <f t="shared" si="79"/>
        <v>8.3453237410071948E-2</v>
      </c>
      <c r="Q497" s="99">
        <f t="shared" si="88"/>
        <v>9.1828089714956179E-2</v>
      </c>
      <c r="R497">
        <v>1</v>
      </c>
      <c r="S497" s="7">
        <f t="shared" si="80"/>
        <v>8283000.0000000009</v>
      </c>
      <c r="T497" s="7">
        <f t="shared" si="81"/>
        <v>2510000</v>
      </c>
      <c r="U497" s="7">
        <f t="shared" si="82"/>
        <v>12600000</v>
      </c>
      <c r="V497" s="7">
        <f t="shared" si="83"/>
        <v>4316999.9999999991</v>
      </c>
      <c r="W497" s="7">
        <f t="shared" si="84"/>
        <v>313750</v>
      </c>
      <c r="X497" s="7">
        <f t="shared" si="85"/>
        <v>4630749.9999999991</v>
      </c>
    </row>
    <row r="498" spans="1:24">
      <c r="A498">
        <v>497</v>
      </c>
      <c r="B498" s="96" t="s">
        <v>3106</v>
      </c>
      <c r="C498" s="95">
        <v>40926</v>
      </c>
      <c r="D498" s="82">
        <v>7720000</v>
      </c>
      <c r="E498" s="82">
        <v>7720000</v>
      </c>
      <c r="F498" s="82">
        <v>7720000</v>
      </c>
      <c r="G498" s="82">
        <v>7720000</v>
      </c>
      <c r="I498" s="97">
        <v>0</v>
      </c>
      <c r="J498" s="97">
        <v>0</v>
      </c>
      <c r="K498" s="97">
        <v>0</v>
      </c>
      <c r="M498" s="7">
        <f t="shared" si="78"/>
        <v>0</v>
      </c>
      <c r="N498" s="7">
        <f t="shared" si="87"/>
        <v>0</v>
      </c>
      <c r="O498" s="7">
        <f t="shared" si="86"/>
        <v>190000</v>
      </c>
      <c r="P498" s="99">
        <f t="shared" si="79"/>
        <v>2.5232403718459494E-2</v>
      </c>
      <c r="Q498" s="99">
        <f t="shared" si="88"/>
        <v>0.13591124838487065</v>
      </c>
      <c r="S498" s="7">
        <f t="shared" si="80"/>
        <v>8492000</v>
      </c>
      <c r="T498" s="7">
        <f t="shared" si="81"/>
        <v>2573333.3333333335</v>
      </c>
      <c r="U498" s="7">
        <f t="shared" si="82"/>
        <v>12700000</v>
      </c>
      <c r="V498" s="7">
        <f t="shared" si="83"/>
        <v>0</v>
      </c>
      <c r="W498" s="7">
        <f t="shared" si="84"/>
        <v>0</v>
      </c>
      <c r="X498" s="7">
        <f t="shared" si="85"/>
        <v>0</v>
      </c>
    </row>
    <row r="499" spans="1:24">
      <c r="A499">
        <v>498</v>
      </c>
      <c r="B499" s="96" t="s">
        <v>3105</v>
      </c>
      <c r="C499" s="95">
        <v>40927</v>
      </c>
      <c r="D499" s="82">
        <v>7810000</v>
      </c>
      <c r="E499" s="82">
        <v>7810000</v>
      </c>
      <c r="F499" s="82">
        <v>7810000</v>
      </c>
      <c r="G499" s="82">
        <v>7810000</v>
      </c>
      <c r="I499" s="97">
        <v>0</v>
      </c>
      <c r="J499" s="97">
        <v>0</v>
      </c>
      <c r="K499" s="97">
        <v>0</v>
      </c>
      <c r="M499" s="7">
        <f t="shared" si="78"/>
        <v>0</v>
      </c>
      <c r="N499" s="7">
        <f t="shared" si="87"/>
        <v>0</v>
      </c>
      <c r="O499" s="7">
        <f t="shared" si="86"/>
        <v>90000</v>
      </c>
      <c r="P499" s="99">
        <f t="shared" si="79"/>
        <v>1.1658031088082901E-2</v>
      </c>
      <c r="Q499" s="99">
        <f t="shared" si="88"/>
        <v>0.14750728846696651</v>
      </c>
      <c r="S499" s="7">
        <f t="shared" si="80"/>
        <v>8591000</v>
      </c>
      <c r="T499" s="7">
        <f t="shared" si="81"/>
        <v>2603333.3333333335</v>
      </c>
      <c r="U499" s="7">
        <f t="shared" si="82"/>
        <v>12700000</v>
      </c>
      <c r="V499" s="7">
        <f t="shared" si="83"/>
        <v>0</v>
      </c>
      <c r="W499" s="7">
        <f t="shared" si="84"/>
        <v>0</v>
      </c>
      <c r="X499" s="7">
        <f t="shared" si="85"/>
        <v>0</v>
      </c>
    </row>
    <row r="500" spans="1:24">
      <c r="A500">
        <v>499</v>
      </c>
      <c r="B500" s="96" t="s">
        <v>3104</v>
      </c>
      <c r="C500" s="95">
        <v>40929</v>
      </c>
      <c r="D500" s="82">
        <v>9150000</v>
      </c>
      <c r="E500" s="82">
        <v>9150000</v>
      </c>
      <c r="F500" s="82">
        <v>9150000</v>
      </c>
      <c r="G500" s="82">
        <v>9150000</v>
      </c>
      <c r="I500" s="97">
        <v>0</v>
      </c>
      <c r="J500" s="97">
        <v>0</v>
      </c>
      <c r="K500" s="97">
        <v>0</v>
      </c>
      <c r="M500" s="7">
        <f t="shared" si="78"/>
        <v>0</v>
      </c>
      <c r="N500" s="7">
        <f t="shared" si="87"/>
        <v>0</v>
      </c>
      <c r="O500" s="7">
        <f t="shared" si="86"/>
        <v>1340000</v>
      </c>
      <c r="P500" s="99">
        <f t="shared" si="79"/>
        <v>0.17157490396927016</v>
      </c>
      <c r="Q500" s="99">
        <f t="shared" si="88"/>
        <v>0.16215485617687303</v>
      </c>
      <c r="S500" s="7">
        <f t="shared" si="80"/>
        <v>10065000</v>
      </c>
      <c r="T500" s="7">
        <f t="shared" si="81"/>
        <v>3050000</v>
      </c>
      <c r="U500" s="7">
        <f t="shared" si="82"/>
        <v>12900000</v>
      </c>
      <c r="V500" s="7">
        <f t="shared" si="83"/>
        <v>0</v>
      </c>
      <c r="W500" s="7">
        <f t="shared" si="84"/>
        <v>0</v>
      </c>
      <c r="X500" s="7">
        <f t="shared" si="85"/>
        <v>0</v>
      </c>
    </row>
    <row r="501" spans="1:24">
      <c r="A501">
        <v>500</v>
      </c>
      <c r="B501" s="96" t="s">
        <v>3103</v>
      </c>
      <c r="C501" s="95">
        <v>40931</v>
      </c>
      <c r="D501" s="82">
        <v>10100000</v>
      </c>
      <c r="E501" s="82">
        <v>10100000</v>
      </c>
      <c r="F501" s="82">
        <v>10100000</v>
      </c>
      <c r="G501" s="82">
        <v>10100000</v>
      </c>
      <c r="I501" s="98">
        <v>0</v>
      </c>
      <c r="J501" s="98">
        <v>0</v>
      </c>
      <c r="K501" s="98">
        <v>0</v>
      </c>
      <c r="M501" s="7">
        <f t="shared" si="78"/>
        <v>0</v>
      </c>
      <c r="N501" s="7">
        <f t="shared" si="87"/>
        <v>0</v>
      </c>
      <c r="O501" s="7">
        <f t="shared" si="86"/>
        <v>950000</v>
      </c>
      <c r="P501" s="99">
        <f t="shared" si="79"/>
        <v>0.10382513661202186</v>
      </c>
      <c r="Q501" s="99">
        <f t="shared" si="88"/>
        <v>0.32923200902170541</v>
      </c>
      <c r="S501" s="7">
        <f t="shared" si="80"/>
        <v>11110000</v>
      </c>
      <c r="T501" s="7">
        <f t="shared" si="81"/>
        <v>3366666.6666666665</v>
      </c>
      <c r="U501" s="7">
        <f t="shared" si="82"/>
        <v>12760000</v>
      </c>
      <c r="V501" s="7">
        <f t="shared" si="83"/>
        <v>0</v>
      </c>
      <c r="W501" s="7">
        <f t="shared" si="84"/>
        <v>0</v>
      </c>
      <c r="X501" s="7">
        <f t="shared" si="85"/>
        <v>0</v>
      </c>
    </row>
    <row r="502" spans="1:24">
      <c r="A502">
        <v>501</v>
      </c>
      <c r="B502" s="96" t="s">
        <v>3102</v>
      </c>
      <c r="C502" s="95">
        <v>40933</v>
      </c>
      <c r="D502" s="82">
        <v>8000000</v>
      </c>
      <c r="E502" s="82">
        <v>8000000</v>
      </c>
      <c r="F502" s="82">
        <v>8000000</v>
      </c>
      <c r="G502" s="82">
        <v>8000000</v>
      </c>
      <c r="I502" s="82">
        <f>G502*1.1</f>
        <v>8800000</v>
      </c>
      <c r="J502" s="82">
        <f>G502/3</f>
        <v>2666666.6666666665</v>
      </c>
      <c r="K502" s="7">
        <f>G770</f>
        <v>12750000</v>
      </c>
      <c r="L502" s="7">
        <f>K502-I502</f>
        <v>3950000</v>
      </c>
      <c r="M502" s="7">
        <f t="shared" si="78"/>
        <v>333333.33333333331</v>
      </c>
      <c r="N502" s="7">
        <f t="shared" si="87"/>
        <v>4283333.333333333</v>
      </c>
      <c r="O502" s="7">
        <f t="shared" si="86"/>
        <v>-2100000</v>
      </c>
      <c r="P502" s="99">
        <f t="shared" si="79"/>
        <v>-0.20792079207920791</v>
      </c>
      <c r="Q502" s="99">
        <f t="shared" si="88"/>
        <v>0.39574371279790638</v>
      </c>
      <c r="R502">
        <v>1</v>
      </c>
      <c r="S502" s="7">
        <f t="shared" si="80"/>
        <v>8800000</v>
      </c>
      <c r="T502" s="7">
        <f t="shared" si="81"/>
        <v>2666666.6666666665</v>
      </c>
      <c r="U502" s="7">
        <f t="shared" si="82"/>
        <v>12750000</v>
      </c>
      <c r="V502" s="7">
        <f t="shared" si="83"/>
        <v>3950000</v>
      </c>
      <c r="W502" s="7">
        <f t="shared" si="84"/>
        <v>333333.33333333331</v>
      </c>
      <c r="X502" s="7">
        <f t="shared" si="85"/>
        <v>4283333.333333333</v>
      </c>
    </row>
    <row r="503" spans="1:24">
      <c r="A503">
        <v>502</v>
      </c>
      <c r="B503" s="96" t="s">
        <v>3101</v>
      </c>
      <c r="C503" s="95">
        <v>40934</v>
      </c>
      <c r="D503" s="82">
        <v>7800000</v>
      </c>
      <c r="E503" s="82">
        <v>7800000</v>
      </c>
      <c r="F503" s="82">
        <v>7800000</v>
      </c>
      <c r="G503" s="82">
        <v>7800000</v>
      </c>
      <c r="I503" s="97">
        <v>0</v>
      </c>
      <c r="J503" s="97">
        <v>0</v>
      </c>
      <c r="K503" s="97">
        <v>0</v>
      </c>
      <c r="M503" s="7">
        <f t="shared" si="78"/>
        <v>0</v>
      </c>
      <c r="N503" s="7">
        <f t="shared" si="87"/>
        <v>0</v>
      </c>
      <c r="O503" s="7">
        <f t="shared" si="86"/>
        <v>-200000</v>
      </c>
      <c r="P503" s="99">
        <f t="shared" si="79"/>
        <v>-2.5000000000000001E-2</v>
      </c>
      <c r="Q503" s="99">
        <f t="shared" si="88"/>
        <v>0.10436968330862648</v>
      </c>
      <c r="S503" s="7">
        <f t="shared" si="80"/>
        <v>8580000</v>
      </c>
      <c r="T503" s="7">
        <f t="shared" si="81"/>
        <v>2600000</v>
      </c>
      <c r="U503" s="7">
        <f t="shared" si="82"/>
        <v>12740000</v>
      </c>
      <c r="V503" s="7">
        <f t="shared" si="83"/>
        <v>0</v>
      </c>
      <c r="W503" s="7">
        <f t="shared" si="84"/>
        <v>0</v>
      </c>
      <c r="X503" s="7">
        <f t="shared" si="85"/>
        <v>0</v>
      </c>
    </row>
    <row r="504" spans="1:24">
      <c r="A504">
        <v>503</v>
      </c>
      <c r="B504" s="96" t="s">
        <v>3100</v>
      </c>
      <c r="C504" s="95">
        <v>40936</v>
      </c>
      <c r="D504" s="82">
        <v>7950000</v>
      </c>
      <c r="E504" s="82">
        <v>7950000</v>
      </c>
      <c r="F504" s="82">
        <v>7950000</v>
      </c>
      <c r="G504" s="82">
        <v>7950000</v>
      </c>
      <c r="I504" s="97">
        <v>0</v>
      </c>
      <c r="J504" s="97">
        <v>0</v>
      </c>
      <c r="K504" s="97">
        <v>0</v>
      </c>
      <c r="M504" s="7">
        <f t="shared" si="78"/>
        <v>0</v>
      </c>
      <c r="N504" s="7">
        <f t="shared" si="87"/>
        <v>0</v>
      </c>
      <c r="O504" s="7">
        <f t="shared" si="86"/>
        <v>150000</v>
      </c>
      <c r="P504" s="99">
        <f t="shared" si="79"/>
        <v>1.9230769230769232E-2</v>
      </c>
      <c r="Q504" s="99">
        <f t="shared" si="88"/>
        <v>5.4137279590167002E-2</v>
      </c>
      <c r="S504" s="7">
        <f t="shared" si="80"/>
        <v>8745000</v>
      </c>
      <c r="T504" s="7">
        <f t="shared" si="81"/>
        <v>2650000</v>
      </c>
      <c r="U504" s="7">
        <f t="shared" si="82"/>
        <v>12900000</v>
      </c>
      <c r="V504" s="7">
        <f t="shared" si="83"/>
        <v>0</v>
      </c>
      <c r="W504" s="7">
        <f t="shared" si="84"/>
        <v>0</v>
      </c>
      <c r="X504" s="7">
        <f t="shared" si="85"/>
        <v>0</v>
      </c>
    </row>
    <row r="505" spans="1:24">
      <c r="A505">
        <v>504</v>
      </c>
      <c r="B505" s="96" t="s">
        <v>3099</v>
      </c>
      <c r="C505" s="95">
        <v>40937</v>
      </c>
      <c r="D505" s="82">
        <v>8400000</v>
      </c>
      <c r="E505" s="82">
        <v>8400000</v>
      </c>
      <c r="F505" s="82">
        <v>8400000</v>
      </c>
      <c r="G505" s="82">
        <v>8400000</v>
      </c>
      <c r="I505" s="97">
        <v>0</v>
      </c>
      <c r="J505" s="97">
        <v>0</v>
      </c>
      <c r="K505" s="97">
        <v>0</v>
      </c>
      <c r="M505" s="7">
        <f t="shared" si="78"/>
        <v>0</v>
      </c>
      <c r="N505" s="7">
        <f t="shared" si="87"/>
        <v>0</v>
      </c>
      <c r="O505" s="7">
        <f t="shared" si="86"/>
        <v>450000</v>
      </c>
      <c r="P505" s="99">
        <f t="shared" si="79"/>
        <v>5.6603773584905662E-2</v>
      </c>
      <c r="Q505" s="99">
        <f t="shared" si="88"/>
        <v>6.1710017732853346E-2</v>
      </c>
      <c r="S505" s="7">
        <f t="shared" si="80"/>
        <v>9240000</v>
      </c>
      <c r="T505" s="7">
        <f t="shared" si="81"/>
        <v>2800000</v>
      </c>
      <c r="U505" s="7">
        <f t="shared" si="82"/>
        <v>12920000</v>
      </c>
      <c r="V505" s="7">
        <f t="shared" si="83"/>
        <v>0</v>
      </c>
      <c r="W505" s="7">
        <f t="shared" si="84"/>
        <v>0</v>
      </c>
      <c r="X505" s="7">
        <f t="shared" si="85"/>
        <v>0</v>
      </c>
    </row>
    <row r="506" spans="1:24">
      <c r="A506">
        <v>505</v>
      </c>
      <c r="B506" s="96" t="s">
        <v>3098</v>
      </c>
      <c r="C506" s="95">
        <v>40938</v>
      </c>
      <c r="D506" s="82">
        <v>8400000</v>
      </c>
      <c r="E506" s="82">
        <v>8400000</v>
      </c>
      <c r="F506" s="82">
        <v>8400000</v>
      </c>
      <c r="G506" s="82">
        <v>8400000</v>
      </c>
      <c r="I506" s="98">
        <v>0</v>
      </c>
      <c r="J506" s="98">
        <v>0</v>
      </c>
      <c r="K506" s="98">
        <v>0</v>
      </c>
      <c r="M506" s="7">
        <f t="shared" si="78"/>
        <v>0</v>
      </c>
      <c r="N506" s="7">
        <f t="shared" si="87"/>
        <v>0</v>
      </c>
      <c r="O506" s="7">
        <f t="shared" si="86"/>
        <v>0</v>
      </c>
      <c r="P506" s="99">
        <f t="shared" si="79"/>
        <v>0</v>
      </c>
      <c r="Q506" s="99">
        <f t="shared" si="88"/>
        <v>-5.326111265151115E-2</v>
      </c>
      <c r="S506" s="7">
        <f t="shared" si="80"/>
        <v>9240000</v>
      </c>
      <c r="T506" s="7">
        <f t="shared" si="81"/>
        <v>2800000</v>
      </c>
      <c r="U506" s="7">
        <f t="shared" si="82"/>
        <v>12970000</v>
      </c>
      <c r="V506" s="7">
        <f t="shared" si="83"/>
        <v>0</v>
      </c>
      <c r="W506" s="7">
        <f t="shared" si="84"/>
        <v>0</v>
      </c>
      <c r="X506" s="7">
        <f t="shared" si="85"/>
        <v>0</v>
      </c>
    </row>
    <row r="507" spans="1:24">
      <c r="A507">
        <v>506</v>
      </c>
      <c r="B507" s="96" t="s">
        <v>3097</v>
      </c>
      <c r="C507" s="95">
        <v>40939</v>
      </c>
      <c r="D507" s="82">
        <v>7850000</v>
      </c>
      <c r="E507" s="82">
        <v>7850000</v>
      </c>
      <c r="F507" s="82">
        <v>7850000</v>
      </c>
      <c r="G507" s="82">
        <v>7850000</v>
      </c>
      <c r="I507" s="82">
        <f>G507*1.1</f>
        <v>8635000</v>
      </c>
      <c r="J507" s="82">
        <f>G507/3</f>
        <v>2616666.6666666665</v>
      </c>
      <c r="K507" s="7">
        <f>G775</f>
        <v>12980000</v>
      </c>
      <c r="L507" s="7">
        <f>K507-I507</f>
        <v>4345000</v>
      </c>
      <c r="M507" s="7">
        <f t="shared" si="78"/>
        <v>327083.33333333331</v>
      </c>
      <c r="N507" s="7">
        <f t="shared" si="87"/>
        <v>4672083.333333333</v>
      </c>
      <c r="O507" s="7">
        <f t="shared" si="86"/>
        <v>-550000</v>
      </c>
      <c r="P507" s="99">
        <f t="shared" si="79"/>
        <v>-6.5476190476190479E-2</v>
      </c>
      <c r="Q507" s="99">
        <f t="shared" si="88"/>
        <v>-0.15708624926353304</v>
      </c>
      <c r="R507">
        <v>4</v>
      </c>
      <c r="S507" s="7">
        <f t="shared" si="80"/>
        <v>8635000</v>
      </c>
      <c r="T507" s="7">
        <f t="shared" si="81"/>
        <v>2616666.6666666665</v>
      </c>
      <c r="U507" s="7">
        <f t="shared" si="82"/>
        <v>12980000</v>
      </c>
      <c r="V507" s="7">
        <f t="shared" si="83"/>
        <v>17380000</v>
      </c>
      <c r="W507" s="7">
        <f t="shared" si="84"/>
        <v>1308333.3333333333</v>
      </c>
      <c r="X507" s="7">
        <f t="shared" si="85"/>
        <v>18688333.333333332</v>
      </c>
    </row>
    <row r="508" spans="1:24">
      <c r="A508">
        <v>507</v>
      </c>
      <c r="B508" s="96" t="s">
        <v>3096</v>
      </c>
      <c r="C508" s="95">
        <v>40940</v>
      </c>
      <c r="D508" s="82">
        <v>7690000</v>
      </c>
      <c r="E508" s="82">
        <v>7690000</v>
      </c>
      <c r="F508" s="82">
        <v>7690000</v>
      </c>
      <c r="G508" s="82">
        <v>7690000</v>
      </c>
      <c r="I508" s="97">
        <v>0</v>
      </c>
      <c r="J508" s="97">
        <v>0</v>
      </c>
      <c r="K508" s="97">
        <v>0</v>
      </c>
      <c r="M508" s="7">
        <f t="shared" si="78"/>
        <v>0</v>
      </c>
      <c r="N508" s="7">
        <f t="shared" si="87"/>
        <v>0</v>
      </c>
      <c r="O508" s="7">
        <f t="shared" si="86"/>
        <v>-160000</v>
      </c>
      <c r="P508" s="99">
        <f t="shared" si="79"/>
        <v>-2.038216560509554E-2</v>
      </c>
      <c r="Q508" s="99">
        <f t="shared" si="88"/>
        <v>-1.4641647660515587E-2</v>
      </c>
      <c r="S508" s="7">
        <f t="shared" si="80"/>
        <v>8459000</v>
      </c>
      <c r="T508" s="7">
        <f t="shared" si="81"/>
        <v>2563333.3333333335</v>
      </c>
      <c r="U508" s="7">
        <f t="shared" si="82"/>
        <v>13040000</v>
      </c>
      <c r="V508" s="7">
        <f t="shared" si="83"/>
        <v>0</v>
      </c>
      <c r="W508" s="7">
        <f t="shared" si="84"/>
        <v>0</v>
      </c>
      <c r="X508" s="7">
        <f t="shared" si="85"/>
        <v>0</v>
      </c>
    </row>
    <row r="509" spans="1:24">
      <c r="A509">
        <v>508</v>
      </c>
      <c r="B509" s="96" t="s">
        <v>3095</v>
      </c>
      <c r="C509" s="95">
        <v>40941</v>
      </c>
      <c r="D509" s="82">
        <v>7550000</v>
      </c>
      <c r="E509" s="82">
        <v>7550000</v>
      </c>
      <c r="F509" s="82">
        <v>7550000</v>
      </c>
      <c r="G509" s="82">
        <v>7550000</v>
      </c>
      <c r="I509" s="97">
        <v>0</v>
      </c>
      <c r="J509" s="97">
        <v>0</v>
      </c>
      <c r="K509" s="97">
        <v>0</v>
      </c>
      <c r="M509" s="7">
        <f t="shared" si="78"/>
        <v>0</v>
      </c>
      <c r="N509" s="7">
        <f t="shared" si="87"/>
        <v>0</v>
      </c>
      <c r="O509" s="7">
        <f t="shared" si="86"/>
        <v>-140000</v>
      </c>
      <c r="P509" s="99">
        <f t="shared" si="79"/>
        <v>-1.8205461638491547E-2</v>
      </c>
      <c r="Q509" s="99">
        <f t="shared" si="88"/>
        <v>-1.0023813265611126E-2</v>
      </c>
      <c r="S509" s="7">
        <f t="shared" si="80"/>
        <v>8305000.0000000009</v>
      </c>
      <c r="T509" s="7">
        <f t="shared" si="81"/>
        <v>2516666.6666666665</v>
      </c>
      <c r="U509" s="7">
        <f t="shared" si="82"/>
        <v>13270000</v>
      </c>
      <c r="V509" s="7">
        <f t="shared" si="83"/>
        <v>0</v>
      </c>
      <c r="W509" s="7">
        <f t="shared" si="84"/>
        <v>0</v>
      </c>
      <c r="X509" s="7">
        <f t="shared" si="85"/>
        <v>0</v>
      </c>
    </row>
    <row r="510" spans="1:24">
      <c r="A510">
        <v>509</v>
      </c>
      <c r="B510" s="96" t="s">
        <v>3094</v>
      </c>
      <c r="C510" s="95">
        <v>40943</v>
      </c>
      <c r="D510" s="82">
        <v>8050000</v>
      </c>
      <c r="E510" s="82">
        <v>8050000</v>
      </c>
      <c r="F510" s="82">
        <v>8050000</v>
      </c>
      <c r="G510" s="82">
        <v>8050000</v>
      </c>
      <c r="I510" s="97">
        <v>0</v>
      </c>
      <c r="J510" s="97">
        <v>0</v>
      </c>
      <c r="K510" s="97">
        <v>0</v>
      </c>
      <c r="M510" s="7">
        <f t="shared" si="78"/>
        <v>0</v>
      </c>
      <c r="N510" s="7">
        <f t="shared" si="87"/>
        <v>0</v>
      </c>
      <c r="O510" s="7">
        <f t="shared" si="86"/>
        <v>500000</v>
      </c>
      <c r="P510" s="99">
        <f t="shared" si="79"/>
        <v>6.6225165562913912E-2</v>
      </c>
      <c r="Q510" s="99">
        <f t="shared" si="88"/>
        <v>-4.7460044134871905E-2</v>
      </c>
      <c r="S510" s="7">
        <f t="shared" si="80"/>
        <v>8855000</v>
      </c>
      <c r="T510" s="7">
        <f t="shared" si="81"/>
        <v>2683333.3333333335</v>
      </c>
      <c r="U510" s="7">
        <f t="shared" si="82"/>
        <v>13200000</v>
      </c>
      <c r="V510" s="7">
        <f t="shared" si="83"/>
        <v>0</v>
      </c>
      <c r="W510" s="7">
        <f t="shared" si="84"/>
        <v>0</v>
      </c>
      <c r="X510" s="7">
        <f t="shared" si="85"/>
        <v>0</v>
      </c>
    </row>
    <row r="511" spans="1:24">
      <c r="A511">
        <v>510</v>
      </c>
      <c r="B511" s="96" t="s">
        <v>3093</v>
      </c>
      <c r="C511" s="95">
        <v>40944</v>
      </c>
      <c r="D511" s="82">
        <v>8320000</v>
      </c>
      <c r="E511" s="82">
        <v>8320000</v>
      </c>
      <c r="F511" s="82">
        <v>8320000</v>
      </c>
      <c r="G511" s="82">
        <v>8320000</v>
      </c>
      <c r="I511" s="98">
        <v>0</v>
      </c>
      <c r="J511" s="98">
        <v>0</v>
      </c>
      <c r="K511" s="98">
        <v>0</v>
      </c>
      <c r="M511" s="7">
        <f t="shared" si="78"/>
        <v>0</v>
      </c>
      <c r="N511" s="7">
        <f t="shared" si="87"/>
        <v>0</v>
      </c>
      <c r="O511" s="7">
        <f t="shared" si="86"/>
        <v>270000</v>
      </c>
      <c r="P511" s="99">
        <f t="shared" si="79"/>
        <v>3.354037267080745E-2</v>
      </c>
      <c r="Q511" s="99">
        <f t="shared" si="88"/>
        <v>-3.7838652156863647E-2</v>
      </c>
      <c r="S511" s="7">
        <f t="shared" si="80"/>
        <v>9152000</v>
      </c>
      <c r="T511" s="7">
        <f t="shared" si="81"/>
        <v>2773333.3333333335</v>
      </c>
      <c r="U511" s="7">
        <f t="shared" si="82"/>
        <v>13190000</v>
      </c>
      <c r="V511" s="7">
        <f t="shared" si="83"/>
        <v>0</v>
      </c>
      <c r="W511" s="7">
        <f t="shared" si="84"/>
        <v>0</v>
      </c>
      <c r="X511" s="7">
        <f t="shared" si="85"/>
        <v>0</v>
      </c>
    </row>
    <row r="512" spans="1:24">
      <c r="A512">
        <v>511</v>
      </c>
      <c r="B512" s="96" t="s">
        <v>3092</v>
      </c>
      <c r="C512" s="95">
        <v>40945</v>
      </c>
      <c r="D512" s="82">
        <v>8150000</v>
      </c>
      <c r="E512" s="82">
        <v>8150000</v>
      </c>
      <c r="F512" s="82">
        <v>8150000</v>
      </c>
      <c r="G512" s="82">
        <v>8150000</v>
      </c>
      <c r="I512" s="82">
        <f>G512*1.1</f>
        <v>8965000</v>
      </c>
      <c r="J512" s="82">
        <f>G512/3</f>
        <v>2716666.6666666665</v>
      </c>
      <c r="K512" s="7">
        <f>G780</f>
        <v>13500000</v>
      </c>
      <c r="L512" s="7">
        <f>K512-I512</f>
        <v>4535000</v>
      </c>
      <c r="M512" s="7">
        <f t="shared" si="78"/>
        <v>339583.33333333326</v>
      </c>
      <c r="N512" s="7">
        <f t="shared" si="87"/>
        <v>4874583.333333333</v>
      </c>
      <c r="O512" s="7">
        <f t="shared" si="86"/>
        <v>-170000</v>
      </c>
      <c r="P512" s="99">
        <f t="shared" si="79"/>
        <v>-2.0432692307692308E-2</v>
      </c>
      <c r="Q512" s="99">
        <f t="shared" si="88"/>
        <v>-4.2982794860561974E-3</v>
      </c>
      <c r="R512">
        <v>1</v>
      </c>
      <c r="S512" s="7">
        <f t="shared" si="80"/>
        <v>8965000</v>
      </c>
      <c r="T512" s="7">
        <f t="shared" si="81"/>
        <v>2716666.6666666665</v>
      </c>
      <c r="U512" s="7">
        <f t="shared" si="82"/>
        <v>13500000</v>
      </c>
      <c r="V512" s="7">
        <f t="shared" si="83"/>
        <v>4535000</v>
      </c>
      <c r="W512" s="7">
        <f t="shared" si="84"/>
        <v>339583.33333333326</v>
      </c>
      <c r="X512" s="7">
        <f t="shared" si="85"/>
        <v>4874583.333333333</v>
      </c>
    </row>
    <row r="513" spans="1:24">
      <c r="A513">
        <v>512</v>
      </c>
      <c r="B513" s="96" t="s">
        <v>3091</v>
      </c>
      <c r="C513" s="95">
        <v>40946</v>
      </c>
      <c r="D513" s="82">
        <v>8190000</v>
      </c>
      <c r="E513" s="82">
        <v>8190000</v>
      </c>
      <c r="F513" s="82">
        <v>8190000</v>
      </c>
      <c r="G513" s="82">
        <v>8190000</v>
      </c>
      <c r="I513" s="97">
        <v>0</v>
      </c>
      <c r="J513" s="97">
        <v>0</v>
      </c>
      <c r="K513" s="97">
        <v>0</v>
      </c>
      <c r="M513" s="7">
        <f t="shared" si="78"/>
        <v>0</v>
      </c>
      <c r="N513" s="7">
        <f t="shared" si="87"/>
        <v>0</v>
      </c>
      <c r="O513" s="7">
        <f t="shared" si="86"/>
        <v>40000</v>
      </c>
      <c r="P513" s="99">
        <f t="shared" si="79"/>
        <v>4.9079754601226997E-3</v>
      </c>
      <c r="Q513" s="99">
        <f t="shared" si="88"/>
        <v>4.0745218682441964E-2</v>
      </c>
      <c r="S513" s="7">
        <f t="shared" si="80"/>
        <v>9009000</v>
      </c>
      <c r="T513" s="7">
        <f t="shared" si="81"/>
        <v>2730000</v>
      </c>
      <c r="U513" s="7">
        <f t="shared" si="82"/>
        <v>13860000</v>
      </c>
      <c r="V513" s="7">
        <f t="shared" si="83"/>
        <v>0</v>
      </c>
      <c r="W513" s="7">
        <f t="shared" si="84"/>
        <v>0</v>
      </c>
      <c r="X513" s="7">
        <f t="shared" si="85"/>
        <v>0</v>
      </c>
    </row>
    <row r="514" spans="1:24">
      <c r="A514">
        <v>513</v>
      </c>
      <c r="B514" s="96" t="s">
        <v>3090</v>
      </c>
      <c r="C514" s="95">
        <v>40947</v>
      </c>
      <c r="D514" s="82">
        <v>8350000</v>
      </c>
      <c r="E514" s="82">
        <v>8350000</v>
      </c>
      <c r="F514" s="82">
        <v>8350000</v>
      </c>
      <c r="G514" s="82">
        <v>8350000</v>
      </c>
      <c r="I514" s="97">
        <v>0</v>
      </c>
      <c r="J514" s="97">
        <v>0</v>
      </c>
      <c r="K514" s="97">
        <v>0</v>
      </c>
      <c r="M514" s="7">
        <f t="shared" ref="M514:M577" si="89">J514*$AI$6/200</f>
        <v>0</v>
      </c>
      <c r="N514" s="7">
        <f t="shared" si="87"/>
        <v>0</v>
      </c>
      <c r="O514" s="7">
        <f t="shared" si="86"/>
        <v>160000</v>
      </c>
      <c r="P514" s="99">
        <f t="shared" si="79"/>
        <v>1.9536019536019536E-2</v>
      </c>
      <c r="Q514" s="99">
        <f t="shared" si="88"/>
        <v>6.6035359747660213E-2</v>
      </c>
      <c r="S514" s="7">
        <f t="shared" si="80"/>
        <v>9185000</v>
      </c>
      <c r="T514" s="7">
        <f t="shared" si="81"/>
        <v>2783333.3333333335</v>
      </c>
      <c r="U514" s="7">
        <f t="shared" si="82"/>
        <v>14290000</v>
      </c>
      <c r="V514" s="7">
        <f t="shared" si="83"/>
        <v>0</v>
      </c>
      <c r="W514" s="7">
        <f t="shared" si="84"/>
        <v>0</v>
      </c>
      <c r="X514" s="7">
        <f t="shared" si="85"/>
        <v>0</v>
      </c>
    </row>
    <row r="515" spans="1:24">
      <c r="A515">
        <v>514</v>
      </c>
      <c r="B515" s="96" t="s">
        <v>3089</v>
      </c>
      <c r="C515" s="95">
        <v>40948</v>
      </c>
      <c r="D515" s="82">
        <v>8280000</v>
      </c>
      <c r="E515" s="82">
        <v>8280000</v>
      </c>
      <c r="F515" s="82">
        <v>8280000</v>
      </c>
      <c r="G515" s="82">
        <v>8280000</v>
      </c>
      <c r="I515" s="97">
        <v>0</v>
      </c>
      <c r="J515" s="97">
        <v>0</v>
      </c>
      <c r="K515" s="97">
        <v>0</v>
      </c>
      <c r="M515" s="7">
        <f t="shared" si="89"/>
        <v>0</v>
      </c>
      <c r="N515" s="7">
        <f t="shared" si="87"/>
        <v>0</v>
      </c>
      <c r="O515" s="7">
        <f t="shared" si="86"/>
        <v>-70000</v>
      </c>
      <c r="P515" s="99">
        <f t="shared" ref="P515:P578" si="90">O515/G514</f>
        <v>-8.3832335329341312E-3</v>
      </c>
      <c r="Q515" s="99">
        <f t="shared" si="88"/>
        <v>0.10377684092217129</v>
      </c>
      <c r="S515" s="7">
        <f t="shared" ref="S515:S578" si="91">G515*1.1</f>
        <v>9108000</v>
      </c>
      <c r="T515" s="7">
        <f t="shared" ref="T515:T578" si="92">G515/3</f>
        <v>2760000</v>
      </c>
      <c r="U515" s="7">
        <f t="shared" ref="U515:U578" si="93">G783</f>
        <v>14340000</v>
      </c>
      <c r="V515" s="7">
        <f t="shared" ref="V515:V578" si="94">(U515-S515)*R515</f>
        <v>0</v>
      </c>
      <c r="W515" s="7">
        <f t="shared" ref="W515:W578" si="95">(T515*$AI$6/200)*R515</f>
        <v>0</v>
      </c>
      <c r="X515" s="7">
        <f t="shared" ref="X515:X578" si="96">V515+W515</f>
        <v>0</v>
      </c>
    </row>
    <row r="516" spans="1:24">
      <c r="A516">
        <v>515</v>
      </c>
      <c r="B516" s="96" t="s">
        <v>3088</v>
      </c>
      <c r="C516" s="95">
        <v>40951</v>
      </c>
      <c r="D516" s="82">
        <v>8230000</v>
      </c>
      <c r="E516" s="82">
        <v>8230000</v>
      </c>
      <c r="F516" s="82">
        <v>8230000</v>
      </c>
      <c r="G516" s="82">
        <v>8230000</v>
      </c>
      <c r="I516" s="98">
        <v>0</v>
      </c>
      <c r="J516" s="98">
        <v>0</v>
      </c>
      <c r="K516" s="98">
        <v>0</v>
      </c>
      <c r="M516" s="7">
        <f t="shared" si="89"/>
        <v>0</v>
      </c>
      <c r="N516" s="7">
        <f t="shared" si="87"/>
        <v>0</v>
      </c>
      <c r="O516" s="7">
        <f t="shared" ref="O516:O579" si="97">G516-G515</f>
        <v>-50000</v>
      </c>
      <c r="P516" s="99">
        <f t="shared" si="90"/>
        <v>-6.038647342995169E-3</v>
      </c>
      <c r="Q516" s="99">
        <f t="shared" si="88"/>
        <v>2.9168441826323249E-2</v>
      </c>
      <c r="S516" s="7">
        <f t="shared" si="91"/>
        <v>9053000</v>
      </c>
      <c r="T516" s="7">
        <f t="shared" si="92"/>
        <v>2743333.3333333335</v>
      </c>
      <c r="U516" s="7">
        <f t="shared" si="93"/>
        <v>14180000</v>
      </c>
      <c r="V516" s="7">
        <f t="shared" si="94"/>
        <v>0</v>
      </c>
      <c r="W516" s="7">
        <f t="shared" si="95"/>
        <v>0</v>
      </c>
      <c r="X516" s="7">
        <f t="shared" si="96"/>
        <v>0</v>
      </c>
    </row>
    <row r="517" spans="1:24">
      <c r="A517">
        <v>516</v>
      </c>
      <c r="B517" s="96" t="s">
        <v>3087</v>
      </c>
      <c r="C517" s="95">
        <v>40952</v>
      </c>
      <c r="D517" s="82">
        <v>8150000</v>
      </c>
      <c r="E517" s="82">
        <v>8150000</v>
      </c>
      <c r="F517" s="82">
        <v>8150000</v>
      </c>
      <c r="G517" s="82">
        <v>8150000</v>
      </c>
      <c r="I517" s="82">
        <f>G517*1.1</f>
        <v>8965000</v>
      </c>
      <c r="J517" s="82">
        <f>G517/3</f>
        <v>2716666.6666666665</v>
      </c>
      <c r="K517" s="7">
        <f>G785</f>
        <v>13920000</v>
      </c>
      <c r="L517" s="7">
        <f>K517-I517</f>
        <v>4955000</v>
      </c>
      <c r="M517" s="7">
        <f t="shared" si="89"/>
        <v>339583.33333333326</v>
      </c>
      <c r="N517" s="7">
        <f t="shared" si="87"/>
        <v>5294583.333333333</v>
      </c>
      <c r="O517" s="7">
        <f t="shared" si="97"/>
        <v>-80000</v>
      </c>
      <c r="P517" s="99">
        <f t="shared" si="90"/>
        <v>-9.7205346294046164E-3</v>
      </c>
      <c r="Q517" s="99">
        <f t="shared" si="88"/>
        <v>-1.0410578187479372E-2</v>
      </c>
      <c r="R517">
        <v>1</v>
      </c>
      <c r="S517" s="7">
        <f t="shared" si="91"/>
        <v>8965000</v>
      </c>
      <c r="T517" s="7">
        <f t="shared" si="92"/>
        <v>2716666.6666666665</v>
      </c>
      <c r="U517" s="7">
        <f t="shared" si="93"/>
        <v>13920000</v>
      </c>
      <c r="V517" s="7">
        <f t="shared" si="94"/>
        <v>4955000</v>
      </c>
      <c r="W517" s="7">
        <f t="shared" si="95"/>
        <v>339583.33333333326</v>
      </c>
      <c r="X517" s="7">
        <f t="shared" si="96"/>
        <v>5294583.333333333</v>
      </c>
    </row>
    <row r="518" spans="1:24">
      <c r="A518">
        <v>517</v>
      </c>
      <c r="B518" s="96" t="s">
        <v>3086</v>
      </c>
      <c r="C518" s="95">
        <v>40953</v>
      </c>
      <c r="D518" s="82">
        <v>8100000</v>
      </c>
      <c r="E518" s="82">
        <v>8100000</v>
      </c>
      <c r="F518" s="82">
        <v>8100000</v>
      </c>
      <c r="G518" s="82">
        <v>8100000</v>
      </c>
      <c r="I518" s="97">
        <v>0</v>
      </c>
      <c r="J518" s="97">
        <v>0</v>
      </c>
      <c r="K518" s="97">
        <v>0</v>
      </c>
      <c r="M518" s="7">
        <f t="shared" si="89"/>
        <v>0</v>
      </c>
      <c r="N518" s="7">
        <f t="shared" si="87"/>
        <v>0</v>
      </c>
      <c r="O518" s="7">
        <f t="shared" si="97"/>
        <v>-50000</v>
      </c>
      <c r="P518" s="99">
        <f t="shared" si="90"/>
        <v>-6.1349693251533744E-3</v>
      </c>
      <c r="Q518" s="99">
        <f t="shared" si="88"/>
        <v>3.0157949080831907E-4</v>
      </c>
      <c r="S518" s="7">
        <f t="shared" si="91"/>
        <v>8910000</v>
      </c>
      <c r="T518" s="7">
        <f t="shared" si="92"/>
        <v>2700000</v>
      </c>
      <c r="U518" s="7">
        <f t="shared" si="93"/>
        <v>14340000</v>
      </c>
      <c r="V518" s="7">
        <f t="shared" si="94"/>
        <v>0</v>
      </c>
      <c r="W518" s="7">
        <f t="shared" si="95"/>
        <v>0</v>
      </c>
      <c r="X518" s="7">
        <f t="shared" si="96"/>
        <v>0</v>
      </c>
    </row>
    <row r="519" spans="1:24">
      <c r="A519">
        <v>518</v>
      </c>
      <c r="B519" s="96" t="s">
        <v>3085</v>
      </c>
      <c r="C519" s="95">
        <v>40954</v>
      </c>
      <c r="D519" s="82">
        <v>8240000</v>
      </c>
      <c r="E519" s="82">
        <v>8240000</v>
      </c>
      <c r="F519" s="82">
        <v>8240000</v>
      </c>
      <c r="G519" s="82">
        <v>8240000</v>
      </c>
      <c r="I519" s="97">
        <v>0</v>
      </c>
      <c r="J519" s="97">
        <v>0</v>
      </c>
      <c r="K519" s="97">
        <v>0</v>
      </c>
      <c r="M519" s="7">
        <f t="shared" si="89"/>
        <v>0</v>
      </c>
      <c r="N519" s="7">
        <f t="shared" si="87"/>
        <v>0</v>
      </c>
      <c r="O519" s="7">
        <f t="shared" si="97"/>
        <v>140000</v>
      </c>
      <c r="P519" s="99">
        <f t="shared" si="90"/>
        <v>1.7283950617283949E-2</v>
      </c>
      <c r="Q519" s="99">
        <f t="shared" si="88"/>
        <v>-1.0741365294467755E-2</v>
      </c>
      <c r="S519" s="7">
        <f t="shared" si="91"/>
        <v>9064000</v>
      </c>
      <c r="T519" s="7">
        <f t="shared" si="92"/>
        <v>2746666.6666666665</v>
      </c>
      <c r="U519" s="7">
        <f t="shared" si="93"/>
        <v>14470000</v>
      </c>
      <c r="V519" s="7">
        <f t="shared" si="94"/>
        <v>0</v>
      </c>
      <c r="W519" s="7">
        <f t="shared" si="95"/>
        <v>0</v>
      </c>
      <c r="X519" s="7">
        <f t="shared" si="96"/>
        <v>0</v>
      </c>
    </row>
    <row r="520" spans="1:24">
      <c r="A520">
        <v>519</v>
      </c>
      <c r="B520" s="96" t="s">
        <v>3084</v>
      </c>
      <c r="C520" s="95">
        <v>40955</v>
      </c>
      <c r="D520" s="82">
        <v>8140000</v>
      </c>
      <c r="E520" s="82">
        <v>8140000</v>
      </c>
      <c r="F520" s="82">
        <v>8140000</v>
      </c>
      <c r="G520" s="82">
        <v>8140000</v>
      </c>
      <c r="I520" s="97">
        <v>0</v>
      </c>
      <c r="J520" s="97">
        <v>0</v>
      </c>
      <c r="K520" s="97">
        <v>0</v>
      </c>
      <c r="M520" s="7">
        <f t="shared" si="89"/>
        <v>0</v>
      </c>
      <c r="N520" s="7">
        <f t="shared" ref="N520:N583" si="98">L520+M520</f>
        <v>0</v>
      </c>
      <c r="O520" s="7">
        <f t="shared" si="97"/>
        <v>-100000</v>
      </c>
      <c r="P520" s="99">
        <f t="shared" si="90"/>
        <v>-1.2135922330097087E-2</v>
      </c>
      <c r="Q520" s="99">
        <f t="shared" ref="Q520:Q583" si="99">SUM(P515:P519)</f>
        <v>-1.2993434213203339E-2</v>
      </c>
      <c r="S520" s="7">
        <f t="shared" si="91"/>
        <v>8954000</v>
      </c>
      <c r="T520" s="7">
        <f t="shared" si="92"/>
        <v>2713333.3333333335</v>
      </c>
      <c r="U520" s="7">
        <f t="shared" si="93"/>
        <v>14670000</v>
      </c>
      <c r="V520" s="7">
        <f t="shared" si="94"/>
        <v>0</v>
      </c>
      <c r="W520" s="7">
        <f t="shared" si="95"/>
        <v>0</v>
      </c>
      <c r="X520" s="7">
        <f t="shared" si="96"/>
        <v>0</v>
      </c>
    </row>
    <row r="521" spans="1:24">
      <c r="A521">
        <v>520</v>
      </c>
      <c r="B521" s="96" t="s">
        <v>3083</v>
      </c>
      <c r="C521" s="95">
        <v>40957</v>
      </c>
      <c r="D521" s="82">
        <v>8140000</v>
      </c>
      <c r="E521" s="82">
        <v>8140000</v>
      </c>
      <c r="F521" s="82">
        <v>8140000</v>
      </c>
      <c r="G521" s="82">
        <v>8140000</v>
      </c>
      <c r="I521" s="98">
        <v>0</v>
      </c>
      <c r="J521" s="98">
        <v>0</v>
      </c>
      <c r="K521" s="98">
        <v>0</v>
      </c>
      <c r="M521" s="7">
        <f t="shared" si="89"/>
        <v>0</v>
      </c>
      <c r="N521" s="7">
        <f t="shared" si="98"/>
        <v>0</v>
      </c>
      <c r="O521" s="7">
        <f t="shared" si="97"/>
        <v>0</v>
      </c>
      <c r="P521" s="99">
        <f t="shared" si="90"/>
        <v>0</v>
      </c>
      <c r="Q521" s="99">
        <f t="shared" si="99"/>
        <v>-1.67461230103663E-2</v>
      </c>
      <c r="S521" s="7">
        <f t="shared" si="91"/>
        <v>8954000</v>
      </c>
      <c r="T521" s="7">
        <f t="shared" si="92"/>
        <v>2713333.3333333335</v>
      </c>
      <c r="U521" s="7">
        <f t="shared" si="93"/>
        <v>14980000</v>
      </c>
      <c r="V521" s="7">
        <f t="shared" si="94"/>
        <v>0</v>
      </c>
      <c r="W521" s="7">
        <f t="shared" si="95"/>
        <v>0</v>
      </c>
      <c r="X521" s="7">
        <f t="shared" si="96"/>
        <v>0</v>
      </c>
    </row>
    <row r="522" spans="1:24">
      <c r="A522">
        <v>521</v>
      </c>
      <c r="B522" s="96" t="s">
        <v>3082</v>
      </c>
      <c r="C522" s="95">
        <v>40958</v>
      </c>
      <c r="D522" s="82">
        <v>8120000</v>
      </c>
      <c r="E522" s="82">
        <v>8120000</v>
      </c>
      <c r="F522" s="82">
        <v>8120000</v>
      </c>
      <c r="G522" s="82">
        <v>8120000</v>
      </c>
      <c r="I522" s="82">
        <f>G522*1.1</f>
        <v>8932000</v>
      </c>
      <c r="J522" s="82">
        <f>G522/3</f>
        <v>2706666.6666666665</v>
      </c>
      <c r="K522" s="7">
        <f>G790</f>
        <v>15600000</v>
      </c>
      <c r="L522" s="7">
        <f>K522-I522</f>
        <v>6668000</v>
      </c>
      <c r="M522" s="7">
        <f t="shared" si="89"/>
        <v>338333.33333333326</v>
      </c>
      <c r="N522" s="7">
        <f t="shared" si="98"/>
        <v>7006333.333333333</v>
      </c>
      <c r="O522" s="7">
        <f t="shared" si="97"/>
        <v>-20000</v>
      </c>
      <c r="P522" s="99">
        <f t="shared" si="90"/>
        <v>-2.4570024570024569E-3</v>
      </c>
      <c r="Q522" s="99">
        <f t="shared" si="99"/>
        <v>-1.070747566737113E-2</v>
      </c>
      <c r="R522">
        <v>1</v>
      </c>
      <c r="S522" s="7">
        <f t="shared" si="91"/>
        <v>8932000</v>
      </c>
      <c r="T522" s="7">
        <f t="shared" si="92"/>
        <v>2706666.6666666665</v>
      </c>
      <c r="U522" s="7">
        <f t="shared" si="93"/>
        <v>15600000</v>
      </c>
      <c r="V522" s="7">
        <f t="shared" si="94"/>
        <v>6668000</v>
      </c>
      <c r="W522" s="7">
        <f t="shared" si="95"/>
        <v>338333.33333333326</v>
      </c>
      <c r="X522" s="7">
        <f t="shared" si="96"/>
        <v>7006333.333333333</v>
      </c>
    </row>
    <row r="523" spans="1:24">
      <c r="A523">
        <v>522</v>
      </c>
      <c r="B523" s="96" t="s">
        <v>3081</v>
      </c>
      <c r="C523" s="95">
        <v>40959</v>
      </c>
      <c r="D523" s="82">
        <v>8160000</v>
      </c>
      <c r="E523" s="82">
        <v>8160000</v>
      </c>
      <c r="F523" s="82">
        <v>8160000</v>
      </c>
      <c r="G523" s="82">
        <v>8160000</v>
      </c>
      <c r="I523" s="97">
        <v>0</v>
      </c>
      <c r="J523" s="97">
        <v>0</v>
      </c>
      <c r="K523" s="97">
        <v>0</v>
      </c>
      <c r="M523" s="7">
        <f t="shared" si="89"/>
        <v>0</v>
      </c>
      <c r="N523" s="7">
        <f t="shared" si="98"/>
        <v>0</v>
      </c>
      <c r="O523" s="7">
        <f t="shared" si="97"/>
        <v>40000</v>
      </c>
      <c r="P523" s="99">
        <f t="shared" si="90"/>
        <v>4.9261083743842365E-3</v>
      </c>
      <c r="Q523" s="99">
        <f t="shared" si="99"/>
        <v>-3.4439434949689687E-3</v>
      </c>
      <c r="S523" s="7">
        <f t="shared" si="91"/>
        <v>8976000</v>
      </c>
      <c r="T523" s="7">
        <f t="shared" si="92"/>
        <v>2720000</v>
      </c>
      <c r="U523" s="7">
        <f t="shared" si="93"/>
        <v>15300000</v>
      </c>
      <c r="V523" s="7">
        <f t="shared" si="94"/>
        <v>0</v>
      </c>
      <c r="W523" s="7">
        <f t="shared" si="95"/>
        <v>0</v>
      </c>
      <c r="X523" s="7">
        <f t="shared" si="96"/>
        <v>0</v>
      </c>
    </row>
    <row r="524" spans="1:24">
      <c r="A524">
        <v>523</v>
      </c>
      <c r="B524" s="96" t="s">
        <v>3080</v>
      </c>
      <c r="C524" s="95">
        <v>40960</v>
      </c>
      <c r="D524" s="82">
        <v>8160000</v>
      </c>
      <c r="E524" s="82">
        <v>8160000</v>
      </c>
      <c r="F524" s="82">
        <v>8160000</v>
      </c>
      <c r="G524" s="82">
        <v>8160000</v>
      </c>
      <c r="I524" s="97">
        <v>0</v>
      </c>
      <c r="J524" s="97">
        <v>0</v>
      </c>
      <c r="K524" s="97">
        <v>0</v>
      </c>
      <c r="M524" s="7">
        <f t="shared" si="89"/>
        <v>0</v>
      </c>
      <c r="N524" s="7">
        <f t="shared" si="98"/>
        <v>0</v>
      </c>
      <c r="O524" s="7">
        <f t="shared" si="97"/>
        <v>0</v>
      </c>
      <c r="P524" s="99">
        <f t="shared" si="90"/>
        <v>0</v>
      </c>
      <c r="Q524" s="99">
        <f t="shared" si="99"/>
        <v>7.6171342045686409E-3</v>
      </c>
      <c r="S524" s="7">
        <f t="shared" si="91"/>
        <v>8976000</v>
      </c>
      <c r="T524" s="7">
        <f t="shared" si="92"/>
        <v>2720000</v>
      </c>
      <c r="U524" s="7">
        <f t="shared" si="93"/>
        <v>15300000</v>
      </c>
      <c r="V524" s="7">
        <f t="shared" si="94"/>
        <v>0</v>
      </c>
      <c r="W524" s="7">
        <f t="shared" si="95"/>
        <v>0</v>
      </c>
      <c r="X524" s="7">
        <f t="shared" si="96"/>
        <v>0</v>
      </c>
    </row>
    <row r="525" spans="1:24">
      <c r="A525">
        <v>524</v>
      </c>
      <c r="B525" s="96" t="s">
        <v>3079</v>
      </c>
      <c r="C525" s="95">
        <v>40961</v>
      </c>
      <c r="D525" s="82">
        <v>8080000</v>
      </c>
      <c r="E525" s="82">
        <v>8080000</v>
      </c>
      <c r="F525" s="82">
        <v>8080000</v>
      </c>
      <c r="G525" s="82">
        <v>8080000</v>
      </c>
      <c r="I525" s="97">
        <v>0</v>
      </c>
      <c r="J525" s="97">
        <v>0</v>
      </c>
      <c r="K525" s="97">
        <v>0</v>
      </c>
      <c r="M525" s="7">
        <f t="shared" si="89"/>
        <v>0</v>
      </c>
      <c r="N525" s="7">
        <f t="shared" si="98"/>
        <v>0</v>
      </c>
      <c r="O525" s="7">
        <f t="shared" si="97"/>
        <v>-80000</v>
      </c>
      <c r="P525" s="99">
        <f t="shared" si="90"/>
        <v>-9.8039215686274508E-3</v>
      </c>
      <c r="Q525" s="99">
        <f t="shared" si="99"/>
        <v>-9.6668164127153081E-3</v>
      </c>
      <c r="S525" s="7">
        <f t="shared" si="91"/>
        <v>8888000</v>
      </c>
      <c r="T525" s="7">
        <f t="shared" si="92"/>
        <v>2693333.3333333335</v>
      </c>
      <c r="U525" s="7">
        <f t="shared" si="93"/>
        <v>15450000</v>
      </c>
      <c r="V525" s="7">
        <f t="shared" si="94"/>
        <v>0</v>
      </c>
      <c r="W525" s="7">
        <f t="shared" si="95"/>
        <v>0</v>
      </c>
      <c r="X525" s="7">
        <f t="shared" si="96"/>
        <v>0</v>
      </c>
    </row>
    <row r="526" spans="1:24">
      <c r="A526">
        <v>525</v>
      </c>
      <c r="B526" s="96" t="s">
        <v>3078</v>
      </c>
      <c r="C526" s="95">
        <v>40962</v>
      </c>
      <c r="D526" s="82">
        <v>8120000</v>
      </c>
      <c r="E526" s="82">
        <v>8120000</v>
      </c>
      <c r="F526" s="82">
        <v>8120000</v>
      </c>
      <c r="G526" s="82">
        <v>8120000</v>
      </c>
      <c r="I526" s="98">
        <v>0</v>
      </c>
      <c r="J526" s="98">
        <v>0</v>
      </c>
      <c r="K526" s="98">
        <v>0</v>
      </c>
      <c r="M526" s="7">
        <f t="shared" si="89"/>
        <v>0</v>
      </c>
      <c r="N526" s="7">
        <f t="shared" si="98"/>
        <v>0</v>
      </c>
      <c r="O526" s="7">
        <f t="shared" si="97"/>
        <v>40000</v>
      </c>
      <c r="P526" s="99">
        <f t="shared" si="90"/>
        <v>4.9504950495049506E-3</v>
      </c>
      <c r="Q526" s="99">
        <f t="shared" si="99"/>
        <v>-7.3348156512456717E-3</v>
      </c>
      <c r="S526" s="7">
        <f t="shared" si="91"/>
        <v>8932000</v>
      </c>
      <c r="T526" s="7">
        <f t="shared" si="92"/>
        <v>2706666.6666666665</v>
      </c>
      <c r="U526" s="7">
        <f t="shared" si="93"/>
        <v>14900000</v>
      </c>
      <c r="V526" s="7">
        <f t="shared" si="94"/>
        <v>0</v>
      </c>
      <c r="W526" s="7">
        <f t="shared" si="95"/>
        <v>0</v>
      </c>
      <c r="X526" s="7">
        <f t="shared" si="96"/>
        <v>0</v>
      </c>
    </row>
    <row r="527" spans="1:24">
      <c r="A527">
        <v>526</v>
      </c>
      <c r="B527" s="96" t="s">
        <v>3077</v>
      </c>
      <c r="C527" s="95">
        <v>40964</v>
      </c>
      <c r="D527" s="82">
        <v>8250000</v>
      </c>
      <c r="E527" s="82">
        <v>8250000</v>
      </c>
      <c r="F527" s="82">
        <v>8250000</v>
      </c>
      <c r="G527" s="82">
        <v>8250000</v>
      </c>
      <c r="I527" s="82">
        <f>G527*1.1</f>
        <v>9075000</v>
      </c>
      <c r="J527" s="82">
        <f>G527/3</f>
        <v>2750000</v>
      </c>
      <c r="K527" s="7">
        <f>G795</f>
        <v>14730000</v>
      </c>
      <c r="L527" s="7">
        <f>K527-I527</f>
        <v>5655000</v>
      </c>
      <c r="M527" s="7">
        <f t="shared" si="89"/>
        <v>343750</v>
      </c>
      <c r="N527" s="7">
        <f t="shared" si="98"/>
        <v>5998750</v>
      </c>
      <c r="O527" s="7">
        <f t="shared" si="97"/>
        <v>130000</v>
      </c>
      <c r="P527" s="99">
        <f t="shared" si="90"/>
        <v>1.600985221674877E-2</v>
      </c>
      <c r="Q527" s="99">
        <f t="shared" si="99"/>
        <v>-2.3843206017407212E-3</v>
      </c>
      <c r="R527">
        <v>1</v>
      </c>
      <c r="S527" s="7">
        <f t="shared" si="91"/>
        <v>9075000</v>
      </c>
      <c r="T527" s="7">
        <f t="shared" si="92"/>
        <v>2750000</v>
      </c>
      <c r="U527" s="7">
        <f t="shared" si="93"/>
        <v>14730000</v>
      </c>
      <c r="V527" s="7">
        <f t="shared" si="94"/>
        <v>5655000</v>
      </c>
      <c r="W527" s="7">
        <f t="shared" si="95"/>
        <v>343750</v>
      </c>
      <c r="X527" s="7">
        <f t="shared" si="96"/>
        <v>5998750</v>
      </c>
    </row>
    <row r="528" spans="1:24">
      <c r="A528">
        <v>527</v>
      </c>
      <c r="B528" s="96" t="s">
        <v>3076</v>
      </c>
      <c r="C528" s="95">
        <v>40965</v>
      </c>
      <c r="D528" s="82">
        <v>8100000</v>
      </c>
      <c r="E528" s="82">
        <v>8100000</v>
      </c>
      <c r="F528" s="82">
        <v>8100000</v>
      </c>
      <c r="G528" s="82">
        <v>8100000</v>
      </c>
      <c r="I528" s="97">
        <v>0</v>
      </c>
      <c r="J528" s="97">
        <v>0</v>
      </c>
      <c r="K528" s="97">
        <v>0</v>
      </c>
      <c r="M528" s="7">
        <f t="shared" si="89"/>
        <v>0</v>
      </c>
      <c r="N528" s="7">
        <f t="shared" si="98"/>
        <v>0</v>
      </c>
      <c r="O528" s="7">
        <f t="shared" si="97"/>
        <v>-150000</v>
      </c>
      <c r="P528" s="99">
        <f t="shared" si="90"/>
        <v>-1.8181818181818181E-2</v>
      </c>
      <c r="Q528" s="99">
        <f t="shared" si="99"/>
        <v>1.6082534072010504E-2</v>
      </c>
      <c r="S528" s="7">
        <f t="shared" si="91"/>
        <v>8910000</v>
      </c>
      <c r="T528" s="7">
        <f t="shared" si="92"/>
        <v>2700000</v>
      </c>
      <c r="U528" s="7">
        <f t="shared" si="93"/>
        <v>14900000</v>
      </c>
      <c r="V528" s="7">
        <f t="shared" si="94"/>
        <v>0</v>
      </c>
      <c r="W528" s="7">
        <f t="shared" si="95"/>
        <v>0</v>
      </c>
      <c r="X528" s="7">
        <f t="shared" si="96"/>
        <v>0</v>
      </c>
    </row>
    <row r="529" spans="1:24">
      <c r="A529">
        <v>528</v>
      </c>
      <c r="B529" s="96" t="s">
        <v>3075</v>
      </c>
      <c r="C529" s="95">
        <v>40966</v>
      </c>
      <c r="D529" s="82">
        <v>7750000</v>
      </c>
      <c r="E529" s="82">
        <v>7750000</v>
      </c>
      <c r="F529" s="82">
        <v>7750000</v>
      </c>
      <c r="G529" s="82">
        <v>7750000</v>
      </c>
      <c r="I529" s="97">
        <v>0</v>
      </c>
      <c r="J529" s="97">
        <v>0</v>
      </c>
      <c r="K529" s="97">
        <v>0</v>
      </c>
      <c r="M529" s="7">
        <f t="shared" si="89"/>
        <v>0</v>
      </c>
      <c r="N529" s="7">
        <f t="shared" si="98"/>
        <v>0</v>
      </c>
      <c r="O529" s="7">
        <f t="shared" si="97"/>
        <v>-350000</v>
      </c>
      <c r="P529" s="99">
        <f t="shared" si="90"/>
        <v>-4.3209876543209874E-2</v>
      </c>
      <c r="Q529" s="99">
        <f t="shared" si="99"/>
        <v>-7.0253924841919106E-3</v>
      </c>
      <c r="S529" s="7">
        <f t="shared" si="91"/>
        <v>8525000</v>
      </c>
      <c r="T529" s="7">
        <f t="shared" si="92"/>
        <v>2583333.3333333335</v>
      </c>
      <c r="U529" s="7">
        <f t="shared" si="93"/>
        <v>14900000</v>
      </c>
      <c r="V529" s="7">
        <f t="shared" si="94"/>
        <v>0</v>
      </c>
      <c r="W529" s="7">
        <f t="shared" si="95"/>
        <v>0</v>
      </c>
      <c r="X529" s="7">
        <f t="shared" si="96"/>
        <v>0</v>
      </c>
    </row>
    <row r="530" spans="1:24">
      <c r="A530">
        <v>529</v>
      </c>
      <c r="B530" s="96" t="s">
        <v>3074</v>
      </c>
      <c r="C530" s="95">
        <v>40967</v>
      </c>
      <c r="D530" s="82">
        <v>8000000</v>
      </c>
      <c r="E530" s="82">
        <v>8000000</v>
      </c>
      <c r="F530" s="82">
        <v>8000000</v>
      </c>
      <c r="G530" s="82">
        <v>8000000</v>
      </c>
      <c r="I530" s="97">
        <v>0</v>
      </c>
      <c r="J530" s="97">
        <v>0</v>
      </c>
      <c r="K530" s="97">
        <v>0</v>
      </c>
      <c r="M530" s="7">
        <f t="shared" si="89"/>
        <v>0</v>
      </c>
      <c r="N530" s="7">
        <f t="shared" si="98"/>
        <v>0</v>
      </c>
      <c r="O530" s="7">
        <f t="shared" si="97"/>
        <v>250000</v>
      </c>
      <c r="P530" s="99">
        <f t="shared" si="90"/>
        <v>3.2258064516129031E-2</v>
      </c>
      <c r="Q530" s="99">
        <f t="shared" si="99"/>
        <v>-5.0235269027401788E-2</v>
      </c>
      <c r="R530">
        <v>4</v>
      </c>
      <c r="S530" s="7">
        <f t="shared" si="91"/>
        <v>8800000</v>
      </c>
      <c r="T530" s="7">
        <f t="shared" si="92"/>
        <v>2666666.6666666665</v>
      </c>
      <c r="U530" s="7">
        <f t="shared" si="93"/>
        <v>14350000</v>
      </c>
      <c r="V530" s="7">
        <f t="shared" si="94"/>
        <v>22200000</v>
      </c>
      <c r="W530" s="7">
        <f t="shared" si="95"/>
        <v>1333333.3333333333</v>
      </c>
      <c r="X530" s="7">
        <f t="shared" si="96"/>
        <v>23533333.333333332</v>
      </c>
    </row>
    <row r="531" spans="1:24">
      <c r="A531">
        <v>530</v>
      </c>
      <c r="B531" s="96" t="s">
        <v>3073</v>
      </c>
      <c r="C531" s="95">
        <v>40968</v>
      </c>
      <c r="D531" s="82">
        <v>8100000</v>
      </c>
      <c r="E531" s="82">
        <v>8100000</v>
      </c>
      <c r="F531" s="82">
        <v>8100000</v>
      </c>
      <c r="G531" s="82">
        <v>8100000</v>
      </c>
      <c r="I531" s="98">
        <v>0</v>
      </c>
      <c r="J531" s="98">
        <v>0</v>
      </c>
      <c r="K531" s="98">
        <v>0</v>
      </c>
      <c r="M531" s="7">
        <f t="shared" si="89"/>
        <v>0</v>
      </c>
      <c r="N531" s="7">
        <f t="shared" si="98"/>
        <v>0</v>
      </c>
      <c r="O531" s="7">
        <f t="shared" si="97"/>
        <v>100000</v>
      </c>
      <c r="P531" s="99">
        <f t="shared" si="90"/>
        <v>1.2500000000000001E-2</v>
      </c>
      <c r="Q531" s="99">
        <f t="shared" si="99"/>
        <v>-8.1732829426452991E-3</v>
      </c>
      <c r="S531" s="7">
        <f t="shared" si="91"/>
        <v>8910000</v>
      </c>
      <c r="T531" s="7">
        <f t="shared" si="92"/>
        <v>2700000</v>
      </c>
      <c r="U531" s="7">
        <f t="shared" si="93"/>
        <v>14100000</v>
      </c>
      <c r="V531" s="7">
        <f t="shared" si="94"/>
        <v>0</v>
      </c>
      <c r="W531" s="7">
        <f t="shared" si="95"/>
        <v>0</v>
      </c>
      <c r="X531" s="7">
        <f t="shared" si="96"/>
        <v>0</v>
      </c>
    </row>
    <row r="532" spans="1:24">
      <c r="A532">
        <v>531</v>
      </c>
      <c r="B532" s="96" t="s">
        <v>3072</v>
      </c>
      <c r="C532" s="95">
        <v>40969</v>
      </c>
      <c r="D532" s="82">
        <v>8120000</v>
      </c>
      <c r="E532" s="82">
        <v>8120000</v>
      </c>
      <c r="F532" s="82">
        <v>8120000</v>
      </c>
      <c r="G532" s="82">
        <v>8120000</v>
      </c>
      <c r="I532" s="82">
        <f>G532*1.1</f>
        <v>8932000</v>
      </c>
      <c r="J532" s="82">
        <f>G532/3</f>
        <v>2706666.6666666665</v>
      </c>
      <c r="K532" s="7">
        <f>G800</f>
        <v>14150000</v>
      </c>
      <c r="L532" s="7">
        <f>K532-I532</f>
        <v>5218000</v>
      </c>
      <c r="M532" s="7">
        <f t="shared" si="89"/>
        <v>338333.33333333326</v>
      </c>
      <c r="N532" s="7">
        <f t="shared" si="98"/>
        <v>5556333.333333333</v>
      </c>
      <c r="O532" s="7">
        <f t="shared" si="97"/>
        <v>20000</v>
      </c>
      <c r="P532" s="99">
        <f t="shared" si="90"/>
        <v>2.4691358024691358E-3</v>
      </c>
      <c r="Q532" s="99">
        <f t="shared" si="99"/>
        <v>-6.2377799215025329E-4</v>
      </c>
      <c r="R532">
        <v>1</v>
      </c>
      <c r="S532" s="7">
        <f t="shared" si="91"/>
        <v>8932000</v>
      </c>
      <c r="T532" s="7">
        <f t="shared" si="92"/>
        <v>2706666.6666666665</v>
      </c>
      <c r="U532" s="7">
        <f t="shared" si="93"/>
        <v>14150000</v>
      </c>
      <c r="V532" s="7">
        <f t="shared" si="94"/>
        <v>5218000</v>
      </c>
      <c r="W532" s="7">
        <f t="shared" si="95"/>
        <v>338333.33333333326</v>
      </c>
      <c r="X532" s="7">
        <f t="shared" si="96"/>
        <v>5556333.333333333</v>
      </c>
    </row>
    <row r="533" spans="1:24">
      <c r="A533">
        <v>532</v>
      </c>
      <c r="B533" s="96" t="s">
        <v>3071</v>
      </c>
      <c r="C533" s="95">
        <v>40971</v>
      </c>
      <c r="D533" s="82">
        <v>8100000</v>
      </c>
      <c r="E533" s="82">
        <v>8100000</v>
      </c>
      <c r="F533" s="82">
        <v>8100000</v>
      </c>
      <c r="G533" s="82">
        <v>8100000</v>
      </c>
      <c r="I533" s="97">
        <v>0</v>
      </c>
      <c r="J533" s="97">
        <v>0</v>
      </c>
      <c r="K533" s="97">
        <v>0</v>
      </c>
      <c r="M533" s="7">
        <f t="shared" si="89"/>
        <v>0</v>
      </c>
      <c r="N533" s="7">
        <f t="shared" si="98"/>
        <v>0</v>
      </c>
      <c r="O533" s="7">
        <f t="shared" si="97"/>
        <v>-20000</v>
      </c>
      <c r="P533" s="99">
        <f t="shared" si="90"/>
        <v>-2.4630541871921183E-3</v>
      </c>
      <c r="Q533" s="99">
        <f t="shared" si="99"/>
        <v>-1.4164494406429888E-2</v>
      </c>
      <c r="S533" s="7">
        <f t="shared" si="91"/>
        <v>8910000</v>
      </c>
      <c r="T533" s="7">
        <f t="shared" si="92"/>
        <v>2700000</v>
      </c>
      <c r="U533" s="7">
        <f t="shared" si="93"/>
        <v>14550000</v>
      </c>
      <c r="V533" s="7">
        <f t="shared" si="94"/>
        <v>0</v>
      </c>
      <c r="W533" s="7">
        <f t="shared" si="95"/>
        <v>0</v>
      </c>
      <c r="X533" s="7">
        <f t="shared" si="96"/>
        <v>0</v>
      </c>
    </row>
    <row r="534" spans="1:24">
      <c r="A534">
        <v>533</v>
      </c>
      <c r="B534" s="96" t="s">
        <v>3070</v>
      </c>
      <c r="C534" s="95">
        <v>40972</v>
      </c>
      <c r="D534" s="82">
        <v>8010000</v>
      </c>
      <c r="E534" s="82">
        <v>8010000</v>
      </c>
      <c r="F534" s="82">
        <v>8010000</v>
      </c>
      <c r="G534" s="82">
        <v>8010000</v>
      </c>
      <c r="I534" s="97">
        <v>0</v>
      </c>
      <c r="J534" s="97">
        <v>0</v>
      </c>
      <c r="K534" s="97">
        <v>0</v>
      </c>
      <c r="M534" s="7">
        <f t="shared" si="89"/>
        <v>0</v>
      </c>
      <c r="N534" s="7">
        <f t="shared" si="98"/>
        <v>0</v>
      </c>
      <c r="O534" s="7">
        <f t="shared" si="97"/>
        <v>-90000</v>
      </c>
      <c r="P534" s="99">
        <f t="shared" si="90"/>
        <v>-1.1111111111111112E-2</v>
      </c>
      <c r="Q534" s="99">
        <f t="shared" si="99"/>
        <v>1.554269588196175E-3</v>
      </c>
      <c r="S534" s="7">
        <f t="shared" si="91"/>
        <v>8811000</v>
      </c>
      <c r="T534" s="7">
        <f t="shared" si="92"/>
        <v>2670000</v>
      </c>
      <c r="U534" s="7">
        <f t="shared" si="93"/>
        <v>14370000</v>
      </c>
      <c r="V534" s="7">
        <f t="shared" si="94"/>
        <v>0</v>
      </c>
      <c r="W534" s="7">
        <f t="shared" si="95"/>
        <v>0</v>
      </c>
      <c r="X534" s="7">
        <f t="shared" si="96"/>
        <v>0</v>
      </c>
    </row>
    <row r="535" spans="1:24">
      <c r="A535">
        <v>534</v>
      </c>
      <c r="B535" s="96" t="s">
        <v>3069</v>
      </c>
      <c r="C535" s="95">
        <v>40973</v>
      </c>
      <c r="D535" s="82">
        <v>7980000</v>
      </c>
      <c r="E535" s="82">
        <v>7980000</v>
      </c>
      <c r="F535" s="82">
        <v>7980000</v>
      </c>
      <c r="G535" s="82">
        <v>7980000</v>
      </c>
      <c r="I535" s="97">
        <v>0</v>
      </c>
      <c r="J535" s="97">
        <v>0</v>
      </c>
      <c r="K535" s="97">
        <v>0</v>
      </c>
      <c r="M535" s="7">
        <f t="shared" si="89"/>
        <v>0</v>
      </c>
      <c r="N535" s="7">
        <f t="shared" si="98"/>
        <v>0</v>
      </c>
      <c r="O535" s="7">
        <f t="shared" si="97"/>
        <v>-30000</v>
      </c>
      <c r="P535" s="99">
        <f t="shared" si="90"/>
        <v>-3.7453183520599251E-3</v>
      </c>
      <c r="Q535" s="99">
        <f t="shared" si="99"/>
        <v>3.3653035020294937E-2</v>
      </c>
      <c r="S535" s="7">
        <f t="shared" si="91"/>
        <v>8778000</v>
      </c>
      <c r="T535" s="7">
        <f t="shared" si="92"/>
        <v>2660000</v>
      </c>
      <c r="U535" s="7">
        <f t="shared" si="93"/>
        <v>14110000</v>
      </c>
      <c r="V535" s="7">
        <f t="shared" si="94"/>
        <v>0</v>
      </c>
      <c r="W535" s="7">
        <f t="shared" si="95"/>
        <v>0</v>
      </c>
      <c r="X535" s="7">
        <f t="shared" si="96"/>
        <v>0</v>
      </c>
    </row>
    <row r="536" spans="1:24">
      <c r="A536">
        <v>535</v>
      </c>
      <c r="B536" s="96" t="s">
        <v>3068</v>
      </c>
      <c r="C536" s="95">
        <v>40974</v>
      </c>
      <c r="D536" s="82">
        <v>7900000</v>
      </c>
      <c r="E536" s="82">
        <v>7900000</v>
      </c>
      <c r="F536" s="82">
        <v>7900000</v>
      </c>
      <c r="G536" s="82">
        <v>7900000</v>
      </c>
      <c r="I536" s="98">
        <v>0</v>
      </c>
      <c r="J536" s="98">
        <v>0</v>
      </c>
      <c r="K536" s="98">
        <v>0</v>
      </c>
      <c r="M536" s="7">
        <f t="shared" si="89"/>
        <v>0</v>
      </c>
      <c r="N536" s="7">
        <f t="shared" si="98"/>
        <v>0</v>
      </c>
      <c r="O536" s="7">
        <f t="shared" si="97"/>
        <v>-80000</v>
      </c>
      <c r="P536" s="99">
        <f t="shared" si="90"/>
        <v>-1.0025062656641603E-2</v>
      </c>
      <c r="Q536" s="99">
        <f t="shared" si="99"/>
        <v>-2.3503478478940193E-3</v>
      </c>
      <c r="S536" s="7">
        <f t="shared" si="91"/>
        <v>8690000</v>
      </c>
      <c r="T536" s="7">
        <f t="shared" si="92"/>
        <v>2633333.3333333335</v>
      </c>
      <c r="U536" s="7">
        <f t="shared" si="93"/>
        <v>14260000</v>
      </c>
      <c r="V536" s="7">
        <f t="shared" si="94"/>
        <v>0</v>
      </c>
      <c r="W536" s="7">
        <f t="shared" si="95"/>
        <v>0</v>
      </c>
      <c r="X536" s="7">
        <f t="shared" si="96"/>
        <v>0</v>
      </c>
    </row>
    <row r="537" spans="1:24">
      <c r="A537">
        <v>536</v>
      </c>
      <c r="B537" s="96" t="s">
        <v>3067</v>
      </c>
      <c r="C537" s="95">
        <v>40975</v>
      </c>
      <c r="D537" s="82">
        <v>7850000</v>
      </c>
      <c r="E537" s="82">
        <v>7850000</v>
      </c>
      <c r="F537" s="82">
        <v>7850000</v>
      </c>
      <c r="G537" s="82">
        <v>7850000</v>
      </c>
      <c r="I537" s="82">
        <f>G537*1.1</f>
        <v>8635000</v>
      </c>
      <c r="J537" s="82">
        <f>G537/3</f>
        <v>2616666.6666666665</v>
      </c>
      <c r="K537" s="7">
        <f>G805</f>
        <v>14290000</v>
      </c>
      <c r="L537" s="7">
        <f>K537-I537</f>
        <v>5655000</v>
      </c>
      <c r="M537" s="7">
        <f t="shared" si="89"/>
        <v>327083.33333333331</v>
      </c>
      <c r="N537" s="7">
        <f t="shared" si="98"/>
        <v>5982083.333333333</v>
      </c>
      <c r="O537" s="7">
        <f t="shared" si="97"/>
        <v>-50000</v>
      </c>
      <c r="P537" s="99">
        <f t="shared" si="90"/>
        <v>-6.3291139240506328E-3</v>
      </c>
      <c r="Q537" s="99">
        <f t="shared" si="99"/>
        <v>-2.4875410504535622E-2</v>
      </c>
      <c r="R537">
        <v>1</v>
      </c>
      <c r="S537" s="7">
        <f t="shared" si="91"/>
        <v>8635000</v>
      </c>
      <c r="T537" s="7">
        <f t="shared" si="92"/>
        <v>2616666.6666666665</v>
      </c>
      <c r="U537" s="7">
        <f t="shared" si="93"/>
        <v>14290000</v>
      </c>
      <c r="V537" s="7">
        <f t="shared" si="94"/>
        <v>5655000</v>
      </c>
      <c r="W537" s="7">
        <f t="shared" si="95"/>
        <v>327083.33333333331</v>
      </c>
      <c r="X537" s="7">
        <f t="shared" si="96"/>
        <v>5982083.333333333</v>
      </c>
    </row>
    <row r="538" spans="1:24">
      <c r="A538">
        <v>537</v>
      </c>
      <c r="B538" s="96" t="s">
        <v>3066</v>
      </c>
      <c r="C538" s="95">
        <v>40976</v>
      </c>
      <c r="D538" s="82">
        <v>7900000</v>
      </c>
      <c r="E538" s="82">
        <v>7900000</v>
      </c>
      <c r="F538" s="82">
        <v>7900000</v>
      </c>
      <c r="G538" s="82">
        <v>7900000</v>
      </c>
      <c r="I538" s="97">
        <v>0</v>
      </c>
      <c r="J538" s="97">
        <v>0</v>
      </c>
      <c r="K538" s="97">
        <v>0</v>
      </c>
      <c r="M538" s="7">
        <f t="shared" si="89"/>
        <v>0</v>
      </c>
      <c r="N538" s="7">
        <f t="shared" si="98"/>
        <v>0</v>
      </c>
      <c r="O538" s="7">
        <f t="shared" si="97"/>
        <v>50000</v>
      </c>
      <c r="P538" s="99">
        <f t="shared" si="90"/>
        <v>6.369426751592357E-3</v>
      </c>
      <c r="Q538" s="99">
        <f t="shared" si="99"/>
        <v>-3.3673660231055391E-2</v>
      </c>
      <c r="S538" s="7">
        <f t="shared" si="91"/>
        <v>8690000</v>
      </c>
      <c r="T538" s="7">
        <f t="shared" si="92"/>
        <v>2633333.3333333335</v>
      </c>
      <c r="U538" s="7">
        <f t="shared" si="93"/>
        <v>14130000</v>
      </c>
      <c r="V538" s="7">
        <f t="shared" si="94"/>
        <v>0</v>
      </c>
      <c r="W538" s="7">
        <f t="shared" si="95"/>
        <v>0</v>
      </c>
      <c r="X538" s="7">
        <f t="shared" si="96"/>
        <v>0</v>
      </c>
    </row>
    <row r="539" spans="1:24">
      <c r="A539">
        <v>538</v>
      </c>
      <c r="B539" s="96" t="s">
        <v>3065</v>
      </c>
      <c r="C539" s="95">
        <v>40978</v>
      </c>
      <c r="D539" s="82">
        <v>7750000</v>
      </c>
      <c r="E539" s="82">
        <v>7750000</v>
      </c>
      <c r="F539" s="82">
        <v>7750000</v>
      </c>
      <c r="G539" s="82">
        <v>7750000</v>
      </c>
      <c r="I539" s="97">
        <v>0</v>
      </c>
      <c r="J539" s="97">
        <v>0</v>
      </c>
      <c r="K539" s="97">
        <v>0</v>
      </c>
      <c r="M539" s="7">
        <f t="shared" si="89"/>
        <v>0</v>
      </c>
      <c r="N539" s="7">
        <f t="shared" si="98"/>
        <v>0</v>
      </c>
      <c r="O539" s="7">
        <f t="shared" si="97"/>
        <v>-150000</v>
      </c>
      <c r="P539" s="99">
        <f t="shared" si="90"/>
        <v>-1.8987341772151899E-2</v>
      </c>
      <c r="Q539" s="99">
        <f t="shared" si="99"/>
        <v>-2.4841179292270914E-2</v>
      </c>
      <c r="S539" s="7">
        <f t="shared" si="91"/>
        <v>8525000</v>
      </c>
      <c r="T539" s="7">
        <f t="shared" si="92"/>
        <v>2583333.3333333335</v>
      </c>
      <c r="U539" s="7">
        <f t="shared" si="93"/>
        <v>13980000</v>
      </c>
      <c r="V539" s="7">
        <f t="shared" si="94"/>
        <v>0</v>
      </c>
      <c r="W539" s="7">
        <f t="shared" si="95"/>
        <v>0</v>
      </c>
      <c r="X539" s="7">
        <f t="shared" si="96"/>
        <v>0</v>
      </c>
    </row>
    <row r="540" spans="1:24">
      <c r="A540">
        <v>539</v>
      </c>
      <c r="B540" s="96" t="s">
        <v>3064</v>
      </c>
      <c r="C540" s="95">
        <v>40979</v>
      </c>
      <c r="D540" s="82">
        <v>7620000</v>
      </c>
      <c r="E540" s="82">
        <v>7620000</v>
      </c>
      <c r="F540" s="82">
        <v>7620000</v>
      </c>
      <c r="G540" s="82">
        <v>7620000</v>
      </c>
      <c r="I540" s="97">
        <v>0</v>
      </c>
      <c r="J540" s="97">
        <v>0</v>
      </c>
      <c r="K540" s="97">
        <v>0</v>
      </c>
      <c r="M540" s="7">
        <f t="shared" si="89"/>
        <v>0</v>
      </c>
      <c r="N540" s="7">
        <f t="shared" si="98"/>
        <v>0</v>
      </c>
      <c r="O540" s="7">
        <f t="shared" si="97"/>
        <v>-130000</v>
      </c>
      <c r="P540" s="99">
        <f t="shared" si="90"/>
        <v>-1.6774193548387096E-2</v>
      </c>
      <c r="Q540" s="99">
        <f t="shared" si="99"/>
        <v>-3.2717409953311703E-2</v>
      </c>
      <c r="S540" s="7">
        <f t="shared" si="91"/>
        <v>8382000.0000000009</v>
      </c>
      <c r="T540" s="7">
        <f t="shared" si="92"/>
        <v>2540000</v>
      </c>
      <c r="U540" s="7">
        <f t="shared" si="93"/>
        <v>13980000</v>
      </c>
      <c r="V540" s="7">
        <f t="shared" si="94"/>
        <v>0</v>
      </c>
      <c r="W540" s="7">
        <f t="shared" si="95"/>
        <v>0</v>
      </c>
      <c r="X540" s="7">
        <f t="shared" si="96"/>
        <v>0</v>
      </c>
    </row>
    <row r="541" spans="1:24">
      <c r="A541">
        <v>540</v>
      </c>
      <c r="B541" s="96" t="s">
        <v>3063</v>
      </c>
      <c r="C541" s="95">
        <v>40980</v>
      </c>
      <c r="D541" s="82">
        <v>7750000</v>
      </c>
      <c r="E541" s="82">
        <v>7750000</v>
      </c>
      <c r="F541" s="82">
        <v>7750000</v>
      </c>
      <c r="G541" s="82">
        <v>7750000</v>
      </c>
      <c r="I541" s="98">
        <v>0</v>
      </c>
      <c r="J541" s="98">
        <v>0</v>
      </c>
      <c r="K541" s="98">
        <v>0</v>
      </c>
      <c r="M541" s="7">
        <f t="shared" si="89"/>
        <v>0</v>
      </c>
      <c r="N541" s="7">
        <f t="shared" si="98"/>
        <v>0</v>
      </c>
      <c r="O541" s="7">
        <f t="shared" si="97"/>
        <v>130000</v>
      </c>
      <c r="P541" s="99">
        <f t="shared" si="90"/>
        <v>1.7060367454068241E-2</v>
      </c>
      <c r="Q541" s="99">
        <f t="shared" si="99"/>
        <v>-4.5746285149638868E-2</v>
      </c>
      <c r="S541" s="7">
        <f t="shared" si="91"/>
        <v>8525000</v>
      </c>
      <c r="T541" s="7">
        <f t="shared" si="92"/>
        <v>2583333.3333333335</v>
      </c>
      <c r="U541" s="7">
        <f t="shared" si="93"/>
        <v>14080000</v>
      </c>
      <c r="V541" s="7">
        <f t="shared" si="94"/>
        <v>0</v>
      </c>
      <c r="W541" s="7">
        <f t="shared" si="95"/>
        <v>0</v>
      </c>
      <c r="X541" s="7">
        <f t="shared" si="96"/>
        <v>0</v>
      </c>
    </row>
    <row r="542" spans="1:24">
      <c r="A542">
        <v>541</v>
      </c>
      <c r="B542" s="96" t="s">
        <v>3062</v>
      </c>
      <c r="C542" s="95">
        <v>40981</v>
      </c>
      <c r="D542" s="82">
        <v>7650000</v>
      </c>
      <c r="E542" s="82">
        <v>7650000</v>
      </c>
      <c r="F542" s="82">
        <v>7650000</v>
      </c>
      <c r="G542" s="82">
        <v>7650000</v>
      </c>
      <c r="I542" s="82">
        <f>G542*1.1</f>
        <v>8415000</v>
      </c>
      <c r="J542" s="82">
        <f>G542/3</f>
        <v>2550000</v>
      </c>
      <c r="K542" s="7">
        <f>G810</f>
        <v>14420000</v>
      </c>
      <c r="L542" s="7">
        <f>K542-I542</f>
        <v>6005000</v>
      </c>
      <c r="M542" s="7">
        <f t="shared" si="89"/>
        <v>318750</v>
      </c>
      <c r="N542" s="7">
        <f t="shared" si="98"/>
        <v>6323750</v>
      </c>
      <c r="O542" s="7">
        <f t="shared" si="97"/>
        <v>-100000</v>
      </c>
      <c r="P542" s="99">
        <f t="shared" si="90"/>
        <v>-1.2903225806451613E-2</v>
      </c>
      <c r="Q542" s="99">
        <f t="shared" si="99"/>
        <v>-1.8660855038929031E-2</v>
      </c>
      <c r="R542">
        <v>1</v>
      </c>
      <c r="S542" s="7">
        <f t="shared" si="91"/>
        <v>8415000</v>
      </c>
      <c r="T542" s="7">
        <f t="shared" si="92"/>
        <v>2550000</v>
      </c>
      <c r="U542" s="7">
        <f t="shared" si="93"/>
        <v>14420000</v>
      </c>
      <c r="V542" s="7">
        <f t="shared" si="94"/>
        <v>6005000</v>
      </c>
      <c r="W542" s="7">
        <f t="shared" si="95"/>
        <v>318750</v>
      </c>
      <c r="X542" s="7">
        <f t="shared" si="96"/>
        <v>6323750</v>
      </c>
    </row>
    <row r="543" spans="1:24">
      <c r="A543">
        <v>542</v>
      </c>
      <c r="B543" s="96" t="s">
        <v>3061</v>
      </c>
      <c r="C543" s="95">
        <v>40982</v>
      </c>
      <c r="D543" s="82">
        <v>7450000</v>
      </c>
      <c r="E543" s="82">
        <v>7450000</v>
      </c>
      <c r="F543" s="82">
        <v>7450000</v>
      </c>
      <c r="G543" s="82">
        <v>7450000</v>
      </c>
      <c r="I543" s="97">
        <v>0</v>
      </c>
      <c r="J543" s="97">
        <v>0</v>
      </c>
      <c r="K543" s="97">
        <v>0</v>
      </c>
      <c r="M543" s="7">
        <f t="shared" si="89"/>
        <v>0</v>
      </c>
      <c r="N543" s="7">
        <f t="shared" si="98"/>
        <v>0</v>
      </c>
      <c r="O543" s="7">
        <f t="shared" si="97"/>
        <v>-200000</v>
      </c>
      <c r="P543" s="99">
        <f t="shared" si="90"/>
        <v>-2.6143790849673203E-2</v>
      </c>
      <c r="Q543" s="99">
        <f t="shared" si="99"/>
        <v>-2.523496692133001E-2</v>
      </c>
      <c r="S543" s="7">
        <f t="shared" si="91"/>
        <v>8195000.0000000009</v>
      </c>
      <c r="T543" s="7">
        <f t="shared" si="92"/>
        <v>2483333.3333333335</v>
      </c>
      <c r="U543" s="7">
        <f t="shared" si="93"/>
        <v>14900000</v>
      </c>
      <c r="V543" s="7">
        <f t="shared" si="94"/>
        <v>0</v>
      </c>
      <c r="W543" s="7">
        <f t="shared" si="95"/>
        <v>0</v>
      </c>
      <c r="X543" s="7">
        <f t="shared" si="96"/>
        <v>0</v>
      </c>
    </row>
    <row r="544" spans="1:24">
      <c r="A544">
        <v>543</v>
      </c>
      <c r="B544" s="96" t="s">
        <v>3060</v>
      </c>
      <c r="C544" s="95">
        <v>40983</v>
      </c>
      <c r="D544" s="82">
        <v>7400000</v>
      </c>
      <c r="E544" s="82">
        <v>7400000</v>
      </c>
      <c r="F544" s="82">
        <v>7400000</v>
      </c>
      <c r="G544" s="82">
        <v>7400000</v>
      </c>
      <c r="I544" s="97">
        <v>0</v>
      </c>
      <c r="J544" s="97">
        <v>0</v>
      </c>
      <c r="K544" s="97">
        <v>0</v>
      </c>
      <c r="M544" s="7">
        <f t="shared" si="89"/>
        <v>0</v>
      </c>
      <c r="N544" s="7">
        <f t="shared" si="98"/>
        <v>0</v>
      </c>
      <c r="O544" s="7">
        <f t="shared" si="97"/>
        <v>-50000</v>
      </c>
      <c r="P544" s="99">
        <f t="shared" si="90"/>
        <v>-6.7114093959731542E-3</v>
      </c>
      <c r="Q544" s="99">
        <f t="shared" si="99"/>
        <v>-5.7748184522595572E-2</v>
      </c>
      <c r="R544">
        <v>4</v>
      </c>
      <c r="S544" s="7">
        <f t="shared" si="91"/>
        <v>8140000.0000000009</v>
      </c>
      <c r="T544" s="7">
        <f t="shared" si="92"/>
        <v>2466666.6666666665</v>
      </c>
      <c r="U544" s="7">
        <f t="shared" si="93"/>
        <v>14620000</v>
      </c>
      <c r="V544" s="7">
        <f t="shared" si="94"/>
        <v>25919999.999999996</v>
      </c>
      <c r="W544" s="7">
        <f t="shared" si="95"/>
        <v>1233333.3333333333</v>
      </c>
      <c r="X544" s="7">
        <f t="shared" si="96"/>
        <v>27153333.333333328</v>
      </c>
    </row>
    <row r="545" spans="1:24">
      <c r="A545">
        <v>544</v>
      </c>
      <c r="B545" s="96" t="s">
        <v>3059</v>
      </c>
      <c r="C545" s="95">
        <v>40985</v>
      </c>
      <c r="D545" s="82">
        <v>7760000</v>
      </c>
      <c r="E545" s="82">
        <v>7760000</v>
      </c>
      <c r="F545" s="82">
        <v>7760000</v>
      </c>
      <c r="G545" s="82">
        <v>7760000</v>
      </c>
      <c r="I545" s="97">
        <v>0</v>
      </c>
      <c r="J545" s="97">
        <v>0</v>
      </c>
      <c r="K545" s="97">
        <v>0</v>
      </c>
      <c r="M545" s="7">
        <f t="shared" si="89"/>
        <v>0</v>
      </c>
      <c r="N545" s="7">
        <f t="shared" si="98"/>
        <v>0</v>
      </c>
      <c r="O545" s="7">
        <f t="shared" si="97"/>
        <v>360000</v>
      </c>
      <c r="P545" s="99">
        <f t="shared" si="90"/>
        <v>4.8648648648648651E-2</v>
      </c>
      <c r="Q545" s="99">
        <f t="shared" si="99"/>
        <v>-4.5472252146416821E-2</v>
      </c>
      <c r="S545" s="7">
        <f t="shared" si="91"/>
        <v>8536000</v>
      </c>
      <c r="T545" s="7">
        <f t="shared" si="92"/>
        <v>2586666.6666666665</v>
      </c>
      <c r="U545" s="7">
        <f t="shared" si="93"/>
        <v>14450000</v>
      </c>
      <c r="V545" s="7">
        <f t="shared" si="94"/>
        <v>0</v>
      </c>
      <c r="W545" s="7">
        <f t="shared" si="95"/>
        <v>0</v>
      </c>
      <c r="X545" s="7">
        <f t="shared" si="96"/>
        <v>0</v>
      </c>
    </row>
    <row r="546" spans="1:24">
      <c r="A546">
        <v>545</v>
      </c>
      <c r="B546" s="96" t="s">
        <v>3058</v>
      </c>
      <c r="C546" s="95">
        <v>40986</v>
      </c>
      <c r="D546" s="82">
        <v>7650000</v>
      </c>
      <c r="E546" s="82">
        <v>7650000</v>
      </c>
      <c r="F546" s="82">
        <v>7650000</v>
      </c>
      <c r="G546" s="82">
        <v>7650000</v>
      </c>
      <c r="I546" s="98">
        <v>0</v>
      </c>
      <c r="J546" s="98">
        <v>0</v>
      </c>
      <c r="K546" s="98">
        <v>0</v>
      </c>
      <c r="M546" s="7">
        <f t="shared" si="89"/>
        <v>0</v>
      </c>
      <c r="N546" s="7">
        <f t="shared" si="98"/>
        <v>0</v>
      </c>
      <c r="O546" s="7">
        <f t="shared" si="97"/>
        <v>-110000</v>
      </c>
      <c r="P546" s="99">
        <f t="shared" si="90"/>
        <v>-1.4175257731958763E-2</v>
      </c>
      <c r="Q546" s="99">
        <f t="shared" si="99"/>
        <v>1.9950590050618919E-2</v>
      </c>
      <c r="S546" s="7">
        <f t="shared" si="91"/>
        <v>8415000</v>
      </c>
      <c r="T546" s="7">
        <f t="shared" si="92"/>
        <v>2550000</v>
      </c>
      <c r="U546" s="7">
        <f t="shared" si="93"/>
        <v>13950000</v>
      </c>
      <c r="V546" s="7">
        <f t="shared" si="94"/>
        <v>0</v>
      </c>
      <c r="W546" s="7">
        <f t="shared" si="95"/>
        <v>0</v>
      </c>
      <c r="X546" s="7">
        <f t="shared" si="96"/>
        <v>0</v>
      </c>
    </row>
    <row r="547" spans="1:24">
      <c r="A547">
        <v>546</v>
      </c>
      <c r="B547" s="96" t="s">
        <v>3057</v>
      </c>
      <c r="C547" s="95">
        <v>40992</v>
      </c>
      <c r="D547" s="82">
        <v>7680000</v>
      </c>
      <c r="E547" s="82">
        <v>7680000</v>
      </c>
      <c r="F547" s="82">
        <v>7680000</v>
      </c>
      <c r="G547" s="82">
        <v>7680000</v>
      </c>
      <c r="I547" s="82">
        <f>G547*1.1</f>
        <v>8448000</v>
      </c>
      <c r="J547" s="82">
        <f>G547/3</f>
        <v>2560000</v>
      </c>
      <c r="K547" s="7">
        <f>G815</f>
        <v>13800000</v>
      </c>
      <c r="L547" s="7">
        <f>K547-I547</f>
        <v>5352000</v>
      </c>
      <c r="M547" s="7">
        <f t="shared" si="89"/>
        <v>320000</v>
      </c>
      <c r="N547" s="7">
        <f t="shared" si="98"/>
        <v>5672000</v>
      </c>
      <c r="O547" s="7">
        <f t="shared" si="97"/>
        <v>30000</v>
      </c>
      <c r="P547" s="99">
        <f t="shared" si="90"/>
        <v>3.9215686274509803E-3</v>
      </c>
      <c r="Q547" s="99">
        <f t="shared" si="99"/>
        <v>-1.1285035135408081E-2</v>
      </c>
      <c r="R547">
        <v>1</v>
      </c>
      <c r="S547" s="7">
        <f t="shared" si="91"/>
        <v>8448000</v>
      </c>
      <c r="T547" s="7">
        <f t="shared" si="92"/>
        <v>2560000</v>
      </c>
      <c r="U547" s="7">
        <f t="shared" si="93"/>
        <v>13800000</v>
      </c>
      <c r="V547" s="7">
        <f t="shared" si="94"/>
        <v>5352000</v>
      </c>
      <c r="W547" s="7">
        <f t="shared" si="95"/>
        <v>320000</v>
      </c>
      <c r="X547" s="7">
        <f t="shared" si="96"/>
        <v>5672000</v>
      </c>
    </row>
    <row r="548" spans="1:24">
      <c r="A548">
        <v>547</v>
      </c>
      <c r="B548" s="96" t="s">
        <v>3056</v>
      </c>
      <c r="C548" s="95">
        <v>40993</v>
      </c>
      <c r="D548" s="82">
        <v>7640000</v>
      </c>
      <c r="E548" s="82">
        <v>7640000</v>
      </c>
      <c r="F548" s="82">
        <v>7640000</v>
      </c>
      <c r="G548" s="82">
        <v>7640000</v>
      </c>
      <c r="I548" s="97">
        <v>0</v>
      </c>
      <c r="J548" s="97">
        <v>0</v>
      </c>
      <c r="K548" s="97">
        <v>0</v>
      </c>
      <c r="M548" s="7">
        <f t="shared" si="89"/>
        <v>0</v>
      </c>
      <c r="N548" s="7">
        <f t="shared" si="98"/>
        <v>0</v>
      </c>
      <c r="O548" s="7">
        <f t="shared" si="97"/>
        <v>-40000</v>
      </c>
      <c r="P548" s="99">
        <f t="shared" si="90"/>
        <v>-5.208333333333333E-3</v>
      </c>
      <c r="Q548" s="99">
        <f t="shared" si="99"/>
        <v>5.5397592984945104E-3</v>
      </c>
      <c r="S548" s="7">
        <f t="shared" si="91"/>
        <v>8404000</v>
      </c>
      <c r="T548" s="7">
        <f t="shared" si="92"/>
        <v>2546666.6666666665</v>
      </c>
      <c r="U548" s="7">
        <f t="shared" si="93"/>
        <v>13160000</v>
      </c>
      <c r="V548" s="7">
        <f t="shared" si="94"/>
        <v>0</v>
      </c>
      <c r="W548" s="7">
        <f t="shared" si="95"/>
        <v>0</v>
      </c>
      <c r="X548" s="7">
        <f t="shared" si="96"/>
        <v>0</v>
      </c>
    </row>
    <row r="549" spans="1:24">
      <c r="A549">
        <v>548</v>
      </c>
      <c r="B549" s="96" t="s">
        <v>3055</v>
      </c>
      <c r="C549" s="95">
        <v>40994</v>
      </c>
      <c r="D549" s="82">
        <v>7670000</v>
      </c>
      <c r="E549" s="82">
        <v>7670000</v>
      </c>
      <c r="F549" s="82">
        <v>7670000</v>
      </c>
      <c r="G549" s="82">
        <v>7670000</v>
      </c>
      <c r="I549" s="97">
        <v>0</v>
      </c>
      <c r="J549" s="97">
        <v>0</v>
      </c>
      <c r="K549" s="97">
        <v>0</v>
      </c>
      <c r="M549" s="7">
        <f t="shared" si="89"/>
        <v>0</v>
      </c>
      <c r="N549" s="7">
        <f t="shared" si="98"/>
        <v>0</v>
      </c>
      <c r="O549" s="7">
        <f t="shared" si="97"/>
        <v>30000</v>
      </c>
      <c r="P549" s="99">
        <f t="shared" si="90"/>
        <v>3.9267015706806281E-3</v>
      </c>
      <c r="Q549" s="99">
        <f t="shared" si="99"/>
        <v>2.6475216814834387E-2</v>
      </c>
      <c r="S549" s="7">
        <f t="shared" si="91"/>
        <v>8437000</v>
      </c>
      <c r="T549" s="7">
        <f t="shared" si="92"/>
        <v>2556666.6666666665</v>
      </c>
      <c r="U549" s="7">
        <f t="shared" si="93"/>
        <v>13620000</v>
      </c>
      <c r="V549" s="7">
        <f t="shared" si="94"/>
        <v>0</v>
      </c>
      <c r="W549" s="7">
        <f t="shared" si="95"/>
        <v>0</v>
      </c>
      <c r="X549" s="7">
        <f t="shared" si="96"/>
        <v>0</v>
      </c>
    </row>
    <row r="550" spans="1:24">
      <c r="A550">
        <v>549</v>
      </c>
      <c r="B550" s="96" t="s">
        <v>3054</v>
      </c>
      <c r="C550" s="95">
        <v>40995</v>
      </c>
      <c r="D550" s="82">
        <v>7800000</v>
      </c>
      <c r="E550" s="82">
        <v>7800000</v>
      </c>
      <c r="F550" s="82">
        <v>7800000</v>
      </c>
      <c r="G550" s="82">
        <v>7800000</v>
      </c>
      <c r="I550" s="97">
        <v>0</v>
      </c>
      <c r="J550" s="97">
        <v>0</v>
      </c>
      <c r="K550" s="97">
        <v>0</v>
      </c>
      <c r="M550" s="7">
        <f t="shared" si="89"/>
        <v>0</v>
      </c>
      <c r="N550" s="7">
        <f t="shared" si="98"/>
        <v>0</v>
      </c>
      <c r="O550" s="7">
        <f t="shared" si="97"/>
        <v>130000</v>
      </c>
      <c r="P550" s="99">
        <f t="shared" si="90"/>
        <v>1.6949152542372881E-2</v>
      </c>
      <c r="Q550" s="99">
        <f t="shared" si="99"/>
        <v>3.711332778148816E-2</v>
      </c>
      <c r="S550" s="7">
        <f t="shared" si="91"/>
        <v>8580000</v>
      </c>
      <c r="T550" s="7">
        <f t="shared" si="92"/>
        <v>2600000</v>
      </c>
      <c r="U550" s="7">
        <f t="shared" si="93"/>
        <v>14180000</v>
      </c>
      <c r="V550" s="7">
        <f t="shared" si="94"/>
        <v>0</v>
      </c>
      <c r="W550" s="7">
        <f t="shared" si="95"/>
        <v>0</v>
      </c>
      <c r="X550" s="7">
        <f t="shared" si="96"/>
        <v>0</v>
      </c>
    </row>
    <row r="551" spans="1:24">
      <c r="A551">
        <v>550</v>
      </c>
      <c r="B551" s="96" t="s">
        <v>3053</v>
      </c>
      <c r="C551" s="95">
        <v>40996</v>
      </c>
      <c r="D551" s="82">
        <v>7810000</v>
      </c>
      <c r="E551" s="82">
        <v>7810000</v>
      </c>
      <c r="F551" s="82">
        <v>7810000</v>
      </c>
      <c r="G551" s="82">
        <v>7810000</v>
      </c>
      <c r="I551" s="98">
        <v>0</v>
      </c>
      <c r="J551" s="98">
        <v>0</v>
      </c>
      <c r="K551" s="98">
        <v>0</v>
      </c>
      <c r="M551" s="7">
        <f t="shared" si="89"/>
        <v>0</v>
      </c>
      <c r="N551" s="7">
        <f t="shared" si="98"/>
        <v>0</v>
      </c>
      <c r="O551" s="7">
        <f t="shared" si="97"/>
        <v>10000</v>
      </c>
      <c r="P551" s="99">
        <f t="shared" si="90"/>
        <v>1.2820512820512821E-3</v>
      </c>
      <c r="Q551" s="99">
        <f t="shared" si="99"/>
        <v>5.4138316752123938E-3</v>
      </c>
      <c r="S551" s="7">
        <f t="shared" si="91"/>
        <v>8591000</v>
      </c>
      <c r="T551" s="7">
        <f t="shared" si="92"/>
        <v>2603333.3333333335</v>
      </c>
      <c r="U551" s="7">
        <f t="shared" si="93"/>
        <v>14050000</v>
      </c>
      <c r="V551" s="7">
        <f t="shared" si="94"/>
        <v>0</v>
      </c>
      <c r="W551" s="7">
        <f t="shared" si="95"/>
        <v>0</v>
      </c>
      <c r="X551" s="7">
        <f t="shared" si="96"/>
        <v>0</v>
      </c>
    </row>
    <row r="552" spans="1:24">
      <c r="A552">
        <v>551</v>
      </c>
      <c r="B552" s="96" t="s">
        <v>3052</v>
      </c>
      <c r="C552" s="95">
        <v>40997</v>
      </c>
      <c r="D552" s="82">
        <v>7790000</v>
      </c>
      <c r="E552" s="82">
        <v>7790000</v>
      </c>
      <c r="F552" s="82">
        <v>7790000</v>
      </c>
      <c r="G552" s="82">
        <v>7790000</v>
      </c>
      <c r="I552" s="82">
        <f>G552*1.1</f>
        <v>8569000</v>
      </c>
      <c r="J552" s="82">
        <f>G552/3</f>
        <v>2596666.6666666665</v>
      </c>
      <c r="K552" s="7">
        <f>G820</f>
        <v>13730000</v>
      </c>
      <c r="L552" s="7">
        <f>K552-I552</f>
        <v>5161000</v>
      </c>
      <c r="M552" s="7">
        <f t="shared" si="89"/>
        <v>324583.33333333331</v>
      </c>
      <c r="N552" s="7">
        <f t="shared" si="98"/>
        <v>5485583.333333333</v>
      </c>
      <c r="O552" s="7">
        <f t="shared" si="97"/>
        <v>-20000</v>
      </c>
      <c r="P552" s="99">
        <f t="shared" si="90"/>
        <v>-2.5608194622279128E-3</v>
      </c>
      <c r="Q552" s="99">
        <f t="shared" si="99"/>
        <v>2.0871140689222436E-2</v>
      </c>
      <c r="R552">
        <v>1</v>
      </c>
      <c r="S552" s="7">
        <f t="shared" si="91"/>
        <v>8569000</v>
      </c>
      <c r="T552" s="7">
        <f t="shared" si="92"/>
        <v>2596666.6666666665</v>
      </c>
      <c r="U552" s="7">
        <f t="shared" si="93"/>
        <v>13730000</v>
      </c>
      <c r="V552" s="7">
        <f t="shared" si="94"/>
        <v>5161000</v>
      </c>
      <c r="W552" s="7">
        <f t="shared" si="95"/>
        <v>324583.33333333331</v>
      </c>
      <c r="X552" s="7">
        <f t="shared" si="96"/>
        <v>5485583.333333333</v>
      </c>
    </row>
    <row r="553" spans="1:24">
      <c r="A553">
        <v>552</v>
      </c>
      <c r="B553" s="96" t="s">
        <v>3051</v>
      </c>
      <c r="C553" s="95">
        <v>41001</v>
      </c>
      <c r="D553" s="82">
        <v>7740000</v>
      </c>
      <c r="E553" s="82">
        <v>7740000</v>
      </c>
      <c r="F553" s="82">
        <v>7740000</v>
      </c>
      <c r="G553" s="82">
        <v>7740000</v>
      </c>
      <c r="I553" s="97">
        <v>0</v>
      </c>
      <c r="J553" s="97">
        <v>0</v>
      </c>
      <c r="K553" s="97">
        <v>0</v>
      </c>
      <c r="M553" s="7">
        <f t="shared" si="89"/>
        <v>0</v>
      </c>
      <c r="N553" s="7">
        <f t="shared" si="98"/>
        <v>0</v>
      </c>
      <c r="O553" s="7">
        <f t="shared" si="97"/>
        <v>-50000</v>
      </c>
      <c r="P553" s="99">
        <f t="shared" si="90"/>
        <v>-6.4184852374839542E-3</v>
      </c>
      <c r="Q553" s="99">
        <f t="shared" si="99"/>
        <v>1.4388752599543543E-2</v>
      </c>
      <c r="S553" s="7">
        <f t="shared" si="91"/>
        <v>8514000</v>
      </c>
      <c r="T553" s="7">
        <f t="shared" si="92"/>
        <v>2580000</v>
      </c>
      <c r="U553" s="7">
        <f t="shared" si="93"/>
        <v>13820000</v>
      </c>
      <c r="V553" s="7">
        <f t="shared" si="94"/>
        <v>0</v>
      </c>
      <c r="W553" s="7">
        <f t="shared" si="95"/>
        <v>0</v>
      </c>
      <c r="X553" s="7">
        <f t="shared" si="96"/>
        <v>0</v>
      </c>
    </row>
    <row r="554" spans="1:24">
      <c r="A554">
        <v>553</v>
      </c>
      <c r="B554" s="96" t="s">
        <v>3050</v>
      </c>
      <c r="C554" s="95">
        <v>41002</v>
      </c>
      <c r="D554" s="82">
        <v>7630000</v>
      </c>
      <c r="E554" s="82">
        <v>7630000</v>
      </c>
      <c r="F554" s="82">
        <v>7630000</v>
      </c>
      <c r="G554" s="82">
        <v>7630000</v>
      </c>
      <c r="I554" s="97">
        <v>0</v>
      </c>
      <c r="J554" s="97">
        <v>0</v>
      </c>
      <c r="K554" s="97">
        <v>0</v>
      </c>
      <c r="M554" s="7">
        <f t="shared" si="89"/>
        <v>0</v>
      </c>
      <c r="N554" s="7">
        <f t="shared" si="98"/>
        <v>0</v>
      </c>
      <c r="O554" s="7">
        <f t="shared" si="97"/>
        <v>-110000</v>
      </c>
      <c r="P554" s="99">
        <f t="shared" si="90"/>
        <v>-1.4211886304909561E-2</v>
      </c>
      <c r="Q554" s="99">
        <f t="shared" si="99"/>
        <v>1.3178600695392926E-2</v>
      </c>
      <c r="S554" s="7">
        <f t="shared" si="91"/>
        <v>8393000</v>
      </c>
      <c r="T554" s="7">
        <f t="shared" si="92"/>
        <v>2543333.3333333335</v>
      </c>
      <c r="U554" s="7">
        <f t="shared" si="93"/>
        <v>13850000</v>
      </c>
      <c r="V554" s="7">
        <f t="shared" si="94"/>
        <v>0</v>
      </c>
      <c r="W554" s="7">
        <f t="shared" si="95"/>
        <v>0</v>
      </c>
      <c r="X554" s="7">
        <f t="shared" si="96"/>
        <v>0</v>
      </c>
    </row>
    <row r="555" spans="1:24">
      <c r="A555">
        <v>554</v>
      </c>
      <c r="B555" s="96" t="s">
        <v>3049</v>
      </c>
      <c r="C555" s="95">
        <v>41003</v>
      </c>
      <c r="D555" s="82">
        <v>7440000</v>
      </c>
      <c r="E555" s="82">
        <v>7440000</v>
      </c>
      <c r="F555" s="82">
        <v>7440000</v>
      </c>
      <c r="G555" s="82">
        <v>7440000</v>
      </c>
      <c r="I555" s="97">
        <v>0</v>
      </c>
      <c r="J555" s="97">
        <v>0</v>
      </c>
      <c r="K555" s="97">
        <v>0</v>
      </c>
      <c r="M555" s="7">
        <f t="shared" si="89"/>
        <v>0</v>
      </c>
      <c r="N555" s="7">
        <f t="shared" si="98"/>
        <v>0</v>
      </c>
      <c r="O555" s="7">
        <f t="shared" si="97"/>
        <v>-190000</v>
      </c>
      <c r="P555" s="99">
        <f t="shared" si="90"/>
        <v>-2.4901703800786368E-2</v>
      </c>
      <c r="Q555" s="99">
        <f t="shared" si="99"/>
        <v>-4.9599871801972676E-3</v>
      </c>
      <c r="S555" s="7">
        <f t="shared" si="91"/>
        <v>8184000.0000000009</v>
      </c>
      <c r="T555" s="7">
        <f t="shared" si="92"/>
        <v>2480000</v>
      </c>
      <c r="U555" s="7">
        <f t="shared" si="93"/>
        <v>13770000</v>
      </c>
      <c r="V555" s="7">
        <f t="shared" si="94"/>
        <v>0</v>
      </c>
      <c r="W555" s="7">
        <f t="shared" si="95"/>
        <v>0</v>
      </c>
      <c r="X555" s="7">
        <f t="shared" si="96"/>
        <v>0</v>
      </c>
    </row>
    <row r="556" spans="1:24">
      <c r="A556">
        <v>555</v>
      </c>
      <c r="B556" s="96" t="s">
        <v>3048</v>
      </c>
      <c r="C556" s="95">
        <v>41004</v>
      </c>
      <c r="D556" s="82">
        <v>7430000</v>
      </c>
      <c r="E556" s="82">
        <v>7430000</v>
      </c>
      <c r="F556" s="82">
        <v>7430000</v>
      </c>
      <c r="G556" s="82">
        <v>7430000</v>
      </c>
      <c r="I556" s="98">
        <v>0</v>
      </c>
      <c r="J556" s="98">
        <v>0</v>
      </c>
      <c r="K556" s="98">
        <v>0</v>
      </c>
      <c r="M556" s="7">
        <f t="shared" si="89"/>
        <v>0</v>
      </c>
      <c r="N556" s="7">
        <f t="shared" si="98"/>
        <v>0</v>
      </c>
      <c r="O556" s="7">
        <f t="shared" si="97"/>
        <v>-10000</v>
      </c>
      <c r="P556" s="99">
        <f t="shared" si="90"/>
        <v>-1.3440860215053765E-3</v>
      </c>
      <c r="Q556" s="99">
        <f t="shared" si="99"/>
        <v>-4.6810843523356516E-2</v>
      </c>
      <c r="S556" s="7">
        <f t="shared" si="91"/>
        <v>8173000.0000000009</v>
      </c>
      <c r="T556" s="7">
        <f t="shared" si="92"/>
        <v>2476666.6666666665</v>
      </c>
      <c r="U556" s="7">
        <f t="shared" si="93"/>
        <v>13710000</v>
      </c>
      <c r="V556" s="7">
        <f t="shared" si="94"/>
        <v>0</v>
      </c>
      <c r="W556" s="7">
        <f t="shared" si="95"/>
        <v>0</v>
      </c>
      <c r="X556" s="7">
        <f t="shared" si="96"/>
        <v>0</v>
      </c>
    </row>
    <row r="557" spans="1:24">
      <c r="A557">
        <v>556</v>
      </c>
      <c r="B557" s="96" t="s">
        <v>3047</v>
      </c>
      <c r="C557" s="95">
        <v>41006</v>
      </c>
      <c r="D557" s="82">
        <v>7470000</v>
      </c>
      <c r="E557" s="82">
        <v>7470000</v>
      </c>
      <c r="F557" s="82">
        <v>7470000</v>
      </c>
      <c r="G557" s="82">
        <v>7470000</v>
      </c>
      <c r="I557" s="82">
        <f>G557*1.1</f>
        <v>8217000.0000000009</v>
      </c>
      <c r="J557" s="82">
        <f>G557/3</f>
        <v>2490000</v>
      </c>
      <c r="K557" s="7">
        <f>G825</f>
        <v>13440000</v>
      </c>
      <c r="L557" s="7">
        <f>K557-I557</f>
        <v>5222999.9999999991</v>
      </c>
      <c r="M557" s="7">
        <f t="shared" si="89"/>
        <v>311250</v>
      </c>
      <c r="N557" s="7">
        <f t="shared" si="98"/>
        <v>5534249.9999999991</v>
      </c>
      <c r="O557" s="7">
        <f t="shared" si="97"/>
        <v>40000</v>
      </c>
      <c r="P557" s="99">
        <f t="shared" si="90"/>
        <v>5.3835800807537013E-3</v>
      </c>
      <c r="Q557" s="99">
        <f t="shared" si="99"/>
        <v>-4.9436980826913168E-2</v>
      </c>
      <c r="R557">
        <v>1</v>
      </c>
      <c r="S557" s="7">
        <f t="shared" si="91"/>
        <v>8217000.0000000009</v>
      </c>
      <c r="T557" s="7">
        <f t="shared" si="92"/>
        <v>2490000</v>
      </c>
      <c r="U557" s="7">
        <f t="shared" si="93"/>
        <v>13440000</v>
      </c>
      <c r="V557" s="7">
        <f t="shared" si="94"/>
        <v>5222999.9999999991</v>
      </c>
      <c r="W557" s="7">
        <f t="shared" si="95"/>
        <v>311250</v>
      </c>
      <c r="X557" s="7">
        <f t="shared" si="96"/>
        <v>5534249.9999999991</v>
      </c>
    </row>
    <row r="558" spans="1:24">
      <c r="A558">
        <v>557</v>
      </c>
      <c r="B558" s="96" t="s">
        <v>3046</v>
      </c>
      <c r="C558" s="95">
        <v>41007</v>
      </c>
      <c r="D558" s="82">
        <v>7450000</v>
      </c>
      <c r="E558" s="82">
        <v>7450000</v>
      </c>
      <c r="F558" s="82">
        <v>7450000</v>
      </c>
      <c r="G558" s="82">
        <v>7450000</v>
      </c>
      <c r="I558" s="97">
        <v>0</v>
      </c>
      <c r="J558" s="97">
        <v>0</v>
      </c>
      <c r="K558" s="97">
        <v>0</v>
      </c>
      <c r="M558" s="7">
        <f t="shared" si="89"/>
        <v>0</v>
      </c>
      <c r="N558" s="7">
        <f t="shared" si="98"/>
        <v>0</v>
      </c>
      <c r="O558" s="7">
        <f t="shared" si="97"/>
        <v>-20000</v>
      </c>
      <c r="P558" s="99">
        <f t="shared" si="90"/>
        <v>-2.6773761713520749E-3</v>
      </c>
      <c r="Q558" s="99">
        <f t="shared" si="99"/>
        <v>-4.1492581283931552E-2</v>
      </c>
      <c r="S558" s="7">
        <f t="shared" si="91"/>
        <v>8195000.0000000009</v>
      </c>
      <c r="T558" s="7">
        <f t="shared" si="92"/>
        <v>2483333.3333333335</v>
      </c>
      <c r="U558" s="7">
        <f t="shared" si="93"/>
        <v>13050000</v>
      </c>
      <c r="V558" s="7">
        <f t="shared" si="94"/>
        <v>0</v>
      </c>
      <c r="W558" s="7">
        <f t="shared" si="95"/>
        <v>0</v>
      </c>
      <c r="X558" s="7">
        <f t="shared" si="96"/>
        <v>0</v>
      </c>
    </row>
    <row r="559" spans="1:24">
      <c r="A559">
        <v>558</v>
      </c>
      <c r="B559" s="96" t="s">
        <v>3045</v>
      </c>
      <c r="C559" s="95">
        <v>41008</v>
      </c>
      <c r="D559" s="82">
        <v>7290000</v>
      </c>
      <c r="E559" s="82">
        <v>7290000</v>
      </c>
      <c r="F559" s="82">
        <v>7290000</v>
      </c>
      <c r="G559" s="82">
        <v>7290000</v>
      </c>
      <c r="I559" s="97">
        <v>0</v>
      </c>
      <c r="J559" s="97">
        <v>0</v>
      </c>
      <c r="K559" s="97">
        <v>0</v>
      </c>
      <c r="M559" s="7">
        <f t="shared" si="89"/>
        <v>0</v>
      </c>
      <c r="N559" s="7">
        <f t="shared" si="98"/>
        <v>0</v>
      </c>
      <c r="O559" s="7">
        <f t="shared" si="97"/>
        <v>-160000</v>
      </c>
      <c r="P559" s="99">
        <f t="shared" si="90"/>
        <v>-2.1476510067114093E-2</v>
      </c>
      <c r="Q559" s="99">
        <f t="shared" si="99"/>
        <v>-3.7751472217799675E-2</v>
      </c>
      <c r="S559" s="7">
        <f t="shared" si="91"/>
        <v>8019000.0000000009</v>
      </c>
      <c r="T559" s="7">
        <f t="shared" si="92"/>
        <v>2430000</v>
      </c>
      <c r="U559" s="7">
        <f t="shared" si="93"/>
        <v>13460000</v>
      </c>
      <c r="V559" s="7">
        <f t="shared" si="94"/>
        <v>0</v>
      </c>
      <c r="W559" s="7">
        <f t="shared" si="95"/>
        <v>0</v>
      </c>
      <c r="X559" s="7">
        <f t="shared" si="96"/>
        <v>0</v>
      </c>
    </row>
    <row r="560" spans="1:24">
      <c r="A560">
        <v>559</v>
      </c>
      <c r="B560" s="96" t="s">
        <v>3044</v>
      </c>
      <c r="C560" s="95">
        <v>41009</v>
      </c>
      <c r="D560" s="82">
        <v>7210000</v>
      </c>
      <c r="E560" s="82">
        <v>7210000</v>
      </c>
      <c r="F560" s="82">
        <v>7210000</v>
      </c>
      <c r="G560" s="82">
        <v>7210000</v>
      </c>
      <c r="I560" s="97">
        <v>0</v>
      </c>
      <c r="J560" s="97">
        <v>0</v>
      </c>
      <c r="K560" s="97">
        <v>0</v>
      </c>
      <c r="M560" s="7">
        <f t="shared" si="89"/>
        <v>0</v>
      </c>
      <c r="N560" s="7">
        <f t="shared" si="98"/>
        <v>0</v>
      </c>
      <c r="O560" s="7">
        <f t="shared" si="97"/>
        <v>-80000</v>
      </c>
      <c r="P560" s="99">
        <f t="shared" si="90"/>
        <v>-1.0973936899862825E-2</v>
      </c>
      <c r="Q560" s="99">
        <f t="shared" si="99"/>
        <v>-4.5016095980004209E-2</v>
      </c>
      <c r="S560" s="7">
        <f t="shared" si="91"/>
        <v>7931000.0000000009</v>
      </c>
      <c r="T560" s="7">
        <f t="shared" si="92"/>
        <v>2403333.3333333335</v>
      </c>
      <c r="U560" s="7">
        <f t="shared" si="93"/>
        <v>13520000</v>
      </c>
      <c r="V560" s="7">
        <f t="shared" si="94"/>
        <v>0</v>
      </c>
      <c r="W560" s="7">
        <f t="shared" si="95"/>
        <v>0</v>
      </c>
      <c r="X560" s="7">
        <f t="shared" si="96"/>
        <v>0</v>
      </c>
    </row>
    <row r="561" spans="1:24">
      <c r="A561">
        <v>560</v>
      </c>
      <c r="B561" s="96" t="s">
        <v>3043</v>
      </c>
      <c r="C561" s="95">
        <v>41010</v>
      </c>
      <c r="D561" s="82">
        <v>7450000</v>
      </c>
      <c r="E561" s="82">
        <v>7450000</v>
      </c>
      <c r="F561" s="82">
        <v>7450000</v>
      </c>
      <c r="G561" s="82">
        <v>7450000</v>
      </c>
      <c r="I561" s="98">
        <v>0</v>
      </c>
      <c r="J561" s="98">
        <v>0</v>
      </c>
      <c r="K561" s="98">
        <v>0</v>
      </c>
      <c r="M561" s="7">
        <f t="shared" si="89"/>
        <v>0</v>
      </c>
      <c r="N561" s="7">
        <f t="shared" si="98"/>
        <v>0</v>
      </c>
      <c r="O561" s="7">
        <f t="shared" si="97"/>
        <v>240000</v>
      </c>
      <c r="P561" s="99">
        <f t="shared" si="90"/>
        <v>3.3287101248266296E-2</v>
      </c>
      <c r="Q561" s="99">
        <f t="shared" si="99"/>
        <v>-3.108832907908067E-2</v>
      </c>
      <c r="S561" s="7">
        <f t="shared" si="91"/>
        <v>8195000.0000000009</v>
      </c>
      <c r="T561" s="7">
        <f t="shared" si="92"/>
        <v>2483333.3333333335</v>
      </c>
      <c r="U561" s="7">
        <f t="shared" si="93"/>
        <v>13700000</v>
      </c>
      <c r="V561" s="7">
        <f t="shared" si="94"/>
        <v>0</v>
      </c>
      <c r="W561" s="7">
        <f t="shared" si="95"/>
        <v>0</v>
      </c>
      <c r="X561" s="7">
        <f t="shared" si="96"/>
        <v>0</v>
      </c>
    </row>
    <row r="562" spans="1:24">
      <c r="A562">
        <v>561</v>
      </c>
      <c r="B562" s="96" t="s">
        <v>3042</v>
      </c>
      <c r="C562" s="95">
        <v>41011</v>
      </c>
      <c r="D562" s="82">
        <v>7320000</v>
      </c>
      <c r="E562" s="82">
        <v>7320000</v>
      </c>
      <c r="F562" s="82">
        <v>7320000</v>
      </c>
      <c r="G562" s="82">
        <v>7320000</v>
      </c>
      <c r="I562" s="82">
        <f>G562*1.1</f>
        <v>8052000.0000000009</v>
      </c>
      <c r="J562" s="82">
        <f>G562/3</f>
        <v>2440000</v>
      </c>
      <c r="K562" s="7">
        <f>G830</f>
        <v>13800000</v>
      </c>
      <c r="L562" s="7">
        <f>K562-I562</f>
        <v>5747999.9999999991</v>
      </c>
      <c r="M562" s="7">
        <f t="shared" si="89"/>
        <v>305000</v>
      </c>
      <c r="N562" s="7">
        <f t="shared" si="98"/>
        <v>6052999.9999999991</v>
      </c>
      <c r="O562" s="7">
        <f t="shared" si="97"/>
        <v>-130000</v>
      </c>
      <c r="P562" s="99">
        <f t="shared" si="90"/>
        <v>-1.74496644295302E-2</v>
      </c>
      <c r="Q562" s="99">
        <f t="shared" si="99"/>
        <v>3.5428581906910075E-3</v>
      </c>
      <c r="R562">
        <v>1</v>
      </c>
      <c r="S562" s="7">
        <f t="shared" si="91"/>
        <v>8052000.0000000009</v>
      </c>
      <c r="T562" s="7">
        <f t="shared" si="92"/>
        <v>2440000</v>
      </c>
      <c r="U562" s="7">
        <f t="shared" si="93"/>
        <v>13800000</v>
      </c>
      <c r="V562" s="7">
        <f t="shared" si="94"/>
        <v>5747999.9999999991</v>
      </c>
      <c r="W562" s="7">
        <f t="shared" si="95"/>
        <v>305000</v>
      </c>
      <c r="X562" s="7">
        <f t="shared" si="96"/>
        <v>6052999.9999999991</v>
      </c>
    </row>
    <row r="563" spans="1:24">
      <c r="A563">
        <v>562</v>
      </c>
      <c r="B563" s="96" t="s">
        <v>3041</v>
      </c>
      <c r="C563" s="95">
        <v>41013</v>
      </c>
      <c r="D563" s="82">
        <v>7260000</v>
      </c>
      <c r="E563" s="82">
        <v>7260000</v>
      </c>
      <c r="F563" s="82">
        <v>7260000</v>
      </c>
      <c r="G563" s="82">
        <v>7260000</v>
      </c>
      <c r="I563" s="97">
        <v>0</v>
      </c>
      <c r="J563" s="97">
        <v>0</v>
      </c>
      <c r="K563" s="97">
        <v>0</v>
      </c>
      <c r="M563" s="7">
        <f t="shared" si="89"/>
        <v>0</v>
      </c>
      <c r="N563" s="7">
        <f t="shared" si="98"/>
        <v>0</v>
      </c>
      <c r="O563" s="7">
        <f t="shared" si="97"/>
        <v>-60000</v>
      </c>
      <c r="P563" s="99">
        <f t="shared" si="90"/>
        <v>-8.1967213114754103E-3</v>
      </c>
      <c r="Q563" s="99">
        <f t="shared" si="99"/>
        <v>-1.9290386319592893E-2</v>
      </c>
      <c r="S563" s="7">
        <f t="shared" si="91"/>
        <v>7986000.0000000009</v>
      </c>
      <c r="T563" s="7">
        <f t="shared" si="92"/>
        <v>2420000</v>
      </c>
      <c r="U563" s="7">
        <f t="shared" si="93"/>
        <v>13650000</v>
      </c>
      <c r="V563" s="7">
        <f t="shared" si="94"/>
        <v>0</v>
      </c>
      <c r="W563" s="7">
        <f t="shared" si="95"/>
        <v>0</v>
      </c>
      <c r="X563" s="7">
        <f t="shared" si="96"/>
        <v>0</v>
      </c>
    </row>
    <row r="564" spans="1:24">
      <c r="A564">
        <v>563</v>
      </c>
      <c r="B564" s="96" t="s">
        <v>3040</v>
      </c>
      <c r="C564" s="95">
        <v>41014</v>
      </c>
      <c r="D564" s="82">
        <v>6650000</v>
      </c>
      <c r="E564" s="82">
        <v>6650000</v>
      </c>
      <c r="F564" s="82">
        <v>6650000</v>
      </c>
      <c r="G564" s="82">
        <v>6650000</v>
      </c>
      <c r="I564" s="97">
        <v>0</v>
      </c>
      <c r="J564" s="97">
        <v>0</v>
      </c>
      <c r="K564" s="97">
        <v>0</v>
      </c>
      <c r="M564" s="7">
        <f t="shared" si="89"/>
        <v>0</v>
      </c>
      <c r="N564" s="7">
        <f t="shared" si="98"/>
        <v>0</v>
      </c>
      <c r="O564" s="7">
        <f t="shared" si="97"/>
        <v>-610000</v>
      </c>
      <c r="P564" s="99">
        <f t="shared" si="90"/>
        <v>-8.4022038567493115E-2</v>
      </c>
      <c r="Q564" s="99">
        <f t="shared" si="99"/>
        <v>-2.4809731459716232E-2</v>
      </c>
      <c r="S564" s="7">
        <f t="shared" si="91"/>
        <v>7315000.0000000009</v>
      </c>
      <c r="T564" s="7">
        <f t="shared" si="92"/>
        <v>2216666.6666666665</v>
      </c>
      <c r="U564" s="7">
        <f t="shared" si="93"/>
        <v>13550000</v>
      </c>
      <c r="V564" s="7">
        <f t="shared" si="94"/>
        <v>0</v>
      </c>
      <c r="W564" s="7">
        <f t="shared" si="95"/>
        <v>0</v>
      </c>
      <c r="X564" s="7">
        <f t="shared" si="96"/>
        <v>0</v>
      </c>
    </row>
    <row r="565" spans="1:24">
      <c r="A565">
        <v>564</v>
      </c>
      <c r="B565" s="96" t="s">
        <v>3039</v>
      </c>
      <c r="C565" s="95">
        <v>41015</v>
      </c>
      <c r="D565" s="82">
        <v>6830000</v>
      </c>
      <c r="E565" s="82">
        <v>6830000</v>
      </c>
      <c r="F565" s="82">
        <v>6830000</v>
      </c>
      <c r="G565" s="82">
        <v>6830000</v>
      </c>
      <c r="I565" s="97">
        <v>0</v>
      </c>
      <c r="J565" s="97">
        <v>0</v>
      </c>
      <c r="K565" s="97">
        <v>0</v>
      </c>
      <c r="M565" s="7">
        <f t="shared" si="89"/>
        <v>0</v>
      </c>
      <c r="N565" s="7">
        <f t="shared" si="98"/>
        <v>0</v>
      </c>
      <c r="O565" s="7">
        <f t="shared" si="97"/>
        <v>180000</v>
      </c>
      <c r="P565" s="99">
        <f t="shared" si="90"/>
        <v>2.7067669172932331E-2</v>
      </c>
      <c r="Q565" s="99">
        <f t="shared" si="99"/>
        <v>-8.7355259960095258E-2</v>
      </c>
      <c r="R565">
        <v>4</v>
      </c>
      <c r="S565" s="7">
        <f t="shared" si="91"/>
        <v>7513000.0000000009</v>
      </c>
      <c r="T565" s="7">
        <f t="shared" si="92"/>
        <v>2276666.6666666665</v>
      </c>
      <c r="U565" s="7">
        <f t="shared" si="93"/>
        <v>13530000</v>
      </c>
      <c r="V565" s="7">
        <f t="shared" si="94"/>
        <v>24067999.999999996</v>
      </c>
      <c r="W565" s="7">
        <f t="shared" si="95"/>
        <v>1138333.3333333333</v>
      </c>
      <c r="X565" s="7">
        <f t="shared" si="96"/>
        <v>25206333.333333328</v>
      </c>
    </row>
    <row r="566" spans="1:24">
      <c r="A566">
        <v>565</v>
      </c>
      <c r="B566" s="96" t="s">
        <v>3038</v>
      </c>
      <c r="C566" s="95">
        <v>41016</v>
      </c>
      <c r="D566" s="82">
        <v>7010000</v>
      </c>
      <c r="E566" s="82">
        <v>7010000</v>
      </c>
      <c r="F566" s="82">
        <v>7010000</v>
      </c>
      <c r="G566" s="82">
        <v>7010000</v>
      </c>
      <c r="I566" s="98">
        <v>0</v>
      </c>
      <c r="J566" s="98">
        <v>0</v>
      </c>
      <c r="K566" s="98">
        <v>0</v>
      </c>
      <c r="M566" s="7">
        <f t="shared" si="89"/>
        <v>0</v>
      </c>
      <c r="N566" s="7">
        <f t="shared" si="98"/>
        <v>0</v>
      </c>
      <c r="O566" s="7">
        <f t="shared" si="97"/>
        <v>180000</v>
      </c>
      <c r="P566" s="99">
        <f t="shared" si="90"/>
        <v>2.6354319180087848E-2</v>
      </c>
      <c r="Q566" s="99">
        <f t="shared" si="99"/>
        <v>-4.93136538873001E-2</v>
      </c>
      <c r="S566" s="7">
        <f t="shared" si="91"/>
        <v>7711000.0000000009</v>
      </c>
      <c r="T566" s="7">
        <f t="shared" si="92"/>
        <v>2336666.6666666665</v>
      </c>
      <c r="U566" s="7">
        <f t="shared" si="93"/>
        <v>13460000</v>
      </c>
      <c r="V566" s="7">
        <f t="shared" si="94"/>
        <v>0</v>
      </c>
      <c r="W566" s="7">
        <f t="shared" si="95"/>
        <v>0</v>
      </c>
      <c r="X566" s="7">
        <f t="shared" si="96"/>
        <v>0</v>
      </c>
    </row>
    <row r="567" spans="1:24">
      <c r="A567">
        <v>566</v>
      </c>
      <c r="B567" s="96" t="s">
        <v>3037</v>
      </c>
      <c r="C567" s="95">
        <v>41017</v>
      </c>
      <c r="D567" s="82">
        <v>7070000</v>
      </c>
      <c r="E567" s="82">
        <v>7070000</v>
      </c>
      <c r="F567" s="82">
        <v>7070000</v>
      </c>
      <c r="G567" s="82">
        <v>7070000</v>
      </c>
      <c r="I567" s="82">
        <f>G567*1.1</f>
        <v>7777000.0000000009</v>
      </c>
      <c r="J567" s="82">
        <f>G567/3</f>
        <v>2356666.6666666665</v>
      </c>
      <c r="K567" s="7">
        <f>G835</f>
        <v>13750000</v>
      </c>
      <c r="L567" s="7">
        <f>K567-I567</f>
        <v>5972999.9999999991</v>
      </c>
      <c r="M567" s="7">
        <f t="shared" si="89"/>
        <v>294583.33333333331</v>
      </c>
      <c r="N567" s="7">
        <f t="shared" si="98"/>
        <v>6267583.3333333321</v>
      </c>
      <c r="O567" s="7">
        <f t="shared" si="97"/>
        <v>60000</v>
      </c>
      <c r="P567" s="99">
        <f t="shared" si="90"/>
        <v>8.5592011412268191E-3</v>
      </c>
      <c r="Q567" s="99">
        <f t="shared" si="99"/>
        <v>-5.6246435955478541E-2</v>
      </c>
      <c r="R567">
        <v>2</v>
      </c>
      <c r="S567" s="7">
        <f t="shared" si="91"/>
        <v>7777000.0000000009</v>
      </c>
      <c r="T567" s="7">
        <f t="shared" si="92"/>
        <v>2356666.6666666665</v>
      </c>
      <c r="U567" s="7">
        <f t="shared" si="93"/>
        <v>13750000</v>
      </c>
      <c r="V567" s="7">
        <f t="shared" si="94"/>
        <v>11945999.999999998</v>
      </c>
      <c r="W567" s="7">
        <f t="shared" si="95"/>
        <v>589166.66666666663</v>
      </c>
      <c r="X567" s="7">
        <f t="shared" si="96"/>
        <v>12535166.666666664</v>
      </c>
    </row>
    <row r="568" spans="1:24">
      <c r="A568">
        <v>567</v>
      </c>
      <c r="B568" s="96" t="s">
        <v>3036</v>
      </c>
      <c r="C568" s="95">
        <v>41018</v>
      </c>
      <c r="D568" s="82">
        <v>7020000</v>
      </c>
      <c r="E568" s="82">
        <v>7020000</v>
      </c>
      <c r="F568" s="82">
        <v>7020000</v>
      </c>
      <c r="G568" s="82">
        <v>7020000</v>
      </c>
      <c r="I568" s="97">
        <v>0</v>
      </c>
      <c r="J568" s="97">
        <v>0</v>
      </c>
      <c r="K568" s="97">
        <v>0</v>
      </c>
      <c r="M568" s="7">
        <f t="shared" si="89"/>
        <v>0</v>
      </c>
      <c r="N568" s="7">
        <f t="shared" si="98"/>
        <v>0</v>
      </c>
      <c r="O568" s="7">
        <f t="shared" si="97"/>
        <v>-50000</v>
      </c>
      <c r="P568" s="99">
        <f t="shared" si="90"/>
        <v>-7.0721357850070717E-3</v>
      </c>
      <c r="Q568" s="99">
        <f t="shared" si="99"/>
        <v>-3.0237570384721531E-2</v>
      </c>
      <c r="S568" s="7">
        <f t="shared" si="91"/>
        <v>7722000.0000000009</v>
      </c>
      <c r="T568" s="7">
        <f t="shared" si="92"/>
        <v>2340000</v>
      </c>
      <c r="U568" s="7">
        <f t="shared" si="93"/>
        <v>14410000</v>
      </c>
      <c r="V568" s="7">
        <f t="shared" si="94"/>
        <v>0</v>
      </c>
      <c r="W568" s="7">
        <f t="shared" si="95"/>
        <v>0</v>
      </c>
      <c r="X568" s="7">
        <f t="shared" si="96"/>
        <v>0</v>
      </c>
    </row>
    <row r="569" spans="1:24">
      <c r="A569">
        <v>568</v>
      </c>
      <c r="B569" s="96" t="s">
        <v>3035</v>
      </c>
      <c r="C569" s="95">
        <v>41020</v>
      </c>
      <c r="D569" s="82">
        <v>7000000</v>
      </c>
      <c r="E569" s="82">
        <v>7000000</v>
      </c>
      <c r="F569" s="82">
        <v>7000000</v>
      </c>
      <c r="G569" s="82">
        <v>7000000</v>
      </c>
      <c r="I569" s="97">
        <v>0</v>
      </c>
      <c r="J569" s="97">
        <v>0</v>
      </c>
      <c r="K569" s="97">
        <v>0</v>
      </c>
      <c r="M569" s="7">
        <f t="shared" si="89"/>
        <v>0</v>
      </c>
      <c r="N569" s="7">
        <f t="shared" si="98"/>
        <v>0</v>
      </c>
      <c r="O569" s="7">
        <f t="shared" si="97"/>
        <v>-20000</v>
      </c>
      <c r="P569" s="99">
        <f t="shared" si="90"/>
        <v>-2.8490028490028491E-3</v>
      </c>
      <c r="Q569" s="99">
        <f t="shared" si="99"/>
        <v>-2.9112984858253192E-2</v>
      </c>
      <c r="S569" s="7">
        <f t="shared" si="91"/>
        <v>7700000.0000000009</v>
      </c>
      <c r="T569" s="7">
        <f t="shared" si="92"/>
        <v>2333333.3333333335</v>
      </c>
      <c r="U569" s="7">
        <f t="shared" si="93"/>
        <v>14070000</v>
      </c>
      <c r="V569" s="7">
        <f t="shared" si="94"/>
        <v>0</v>
      </c>
      <c r="W569" s="7">
        <f t="shared" si="95"/>
        <v>0</v>
      </c>
      <c r="X569" s="7">
        <f t="shared" si="96"/>
        <v>0</v>
      </c>
    </row>
    <row r="570" spans="1:24">
      <c r="A570">
        <v>569</v>
      </c>
      <c r="B570" s="96" t="s">
        <v>3034</v>
      </c>
      <c r="C570" s="95">
        <v>41021</v>
      </c>
      <c r="D570" s="82">
        <v>6980000</v>
      </c>
      <c r="E570" s="82">
        <v>6980000</v>
      </c>
      <c r="F570" s="82">
        <v>6980000</v>
      </c>
      <c r="G570" s="82">
        <v>6980000</v>
      </c>
      <c r="I570" s="97">
        <v>0</v>
      </c>
      <c r="J570" s="97">
        <v>0</v>
      </c>
      <c r="K570" s="97">
        <v>0</v>
      </c>
      <c r="M570" s="7">
        <f t="shared" si="89"/>
        <v>0</v>
      </c>
      <c r="N570" s="7">
        <f t="shared" si="98"/>
        <v>0</v>
      </c>
      <c r="O570" s="7">
        <f t="shared" si="97"/>
        <v>-20000</v>
      </c>
      <c r="P570" s="99">
        <f t="shared" si="90"/>
        <v>-2.8571428571428571E-3</v>
      </c>
      <c r="Q570" s="99">
        <f t="shared" si="99"/>
        <v>5.2060050860237073E-2</v>
      </c>
      <c r="S570" s="7">
        <f t="shared" si="91"/>
        <v>7678000.0000000009</v>
      </c>
      <c r="T570" s="7">
        <f t="shared" si="92"/>
        <v>2326666.6666666665</v>
      </c>
      <c r="U570" s="7">
        <f t="shared" si="93"/>
        <v>14170000</v>
      </c>
      <c r="V570" s="7">
        <f t="shared" si="94"/>
        <v>0</v>
      </c>
      <c r="W570" s="7">
        <f t="shared" si="95"/>
        <v>0</v>
      </c>
      <c r="X570" s="7">
        <f t="shared" si="96"/>
        <v>0</v>
      </c>
    </row>
    <row r="571" spans="1:24">
      <c r="A571">
        <v>570</v>
      </c>
      <c r="B571" s="96" t="s">
        <v>3033</v>
      </c>
      <c r="C571" s="95">
        <v>41022</v>
      </c>
      <c r="D571" s="82">
        <v>6890000</v>
      </c>
      <c r="E571" s="82">
        <v>6890000</v>
      </c>
      <c r="F571" s="82">
        <v>6890000</v>
      </c>
      <c r="G571" s="82">
        <v>6890000</v>
      </c>
      <c r="I571" s="98">
        <v>0</v>
      </c>
      <c r="J571" s="98">
        <v>0</v>
      </c>
      <c r="K571" s="98">
        <v>0</v>
      </c>
      <c r="M571" s="7">
        <f t="shared" si="89"/>
        <v>0</v>
      </c>
      <c r="N571" s="7">
        <f t="shared" si="98"/>
        <v>0</v>
      </c>
      <c r="O571" s="7">
        <f t="shared" si="97"/>
        <v>-90000</v>
      </c>
      <c r="P571" s="99">
        <f t="shared" si="90"/>
        <v>-1.2893982808022923E-2</v>
      </c>
      <c r="Q571" s="99">
        <f t="shared" si="99"/>
        <v>2.2135238830161885E-2</v>
      </c>
      <c r="S571" s="7">
        <f t="shared" si="91"/>
        <v>7579000.0000000009</v>
      </c>
      <c r="T571" s="7">
        <f t="shared" si="92"/>
        <v>2296666.6666666665</v>
      </c>
      <c r="U571" s="7">
        <f t="shared" si="93"/>
        <v>14000000</v>
      </c>
      <c r="V571" s="7">
        <f t="shared" si="94"/>
        <v>0</v>
      </c>
      <c r="W571" s="7">
        <f t="shared" si="95"/>
        <v>0</v>
      </c>
      <c r="X571" s="7">
        <f t="shared" si="96"/>
        <v>0</v>
      </c>
    </row>
    <row r="572" spans="1:24">
      <c r="A572">
        <v>571</v>
      </c>
      <c r="B572" s="96" t="s">
        <v>3032</v>
      </c>
      <c r="C572" s="95">
        <v>41023</v>
      </c>
      <c r="D572" s="82">
        <v>6810000</v>
      </c>
      <c r="E572" s="82">
        <v>6810000</v>
      </c>
      <c r="F572" s="82">
        <v>6810000</v>
      </c>
      <c r="G572" s="82">
        <v>6810000</v>
      </c>
      <c r="I572" s="82">
        <f>G572*1.1</f>
        <v>7491000.0000000009</v>
      </c>
      <c r="J572" s="82">
        <f>G572/3</f>
        <v>2270000</v>
      </c>
      <c r="K572" s="7">
        <f>G840</f>
        <v>13900000</v>
      </c>
      <c r="L572" s="7">
        <f>K572-I572</f>
        <v>6408999.9999999991</v>
      </c>
      <c r="M572" s="7">
        <f t="shared" si="89"/>
        <v>283750</v>
      </c>
      <c r="N572" s="7">
        <f t="shared" si="98"/>
        <v>6692749.9999999991</v>
      </c>
      <c r="O572" s="7">
        <f t="shared" si="97"/>
        <v>-80000</v>
      </c>
      <c r="P572" s="99">
        <f t="shared" si="90"/>
        <v>-1.1611030478955007E-2</v>
      </c>
      <c r="Q572" s="99">
        <f t="shared" si="99"/>
        <v>-1.7113063157948881E-2</v>
      </c>
      <c r="R572">
        <v>1</v>
      </c>
      <c r="S572" s="7">
        <f t="shared" si="91"/>
        <v>7491000.0000000009</v>
      </c>
      <c r="T572" s="7">
        <f t="shared" si="92"/>
        <v>2270000</v>
      </c>
      <c r="U572" s="7">
        <f t="shared" si="93"/>
        <v>13900000</v>
      </c>
      <c r="V572" s="7">
        <f t="shared" si="94"/>
        <v>6408999.9999999991</v>
      </c>
      <c r="W572" s="7">
        <f t="shared" si="95"/>
        <v>283750</v>
      </c>
      <c r="X572" s="7">
        <f t="shared" si="96"/>
        <v>6692749.9999999991</v>
      </c>
    </row>
    <row r="573" spans="1:24">
      <c r="A573">
        <v>572</v>
      </c>
      <c r="B573" s="96" t="s">
        <v>3031</v>
      </c>
      <c r="C573" s="95">
        <v>41025</v>
      </c>
      <c r="D573" s="82">
        <v>6820000</v>
      </c>
      <c r="E573" s="82">
        <v>6820000</v>
      </c>
      <c r="F573" s="82">
        <v>6820000</v>
      </c>
      <c r="G573" s="82">
        <v>6820000</v>
      </c>
      <c r="I573" s="97">
        <v>0</v>
      </c>
      <c r="J573" s="97">
        <v>0</v>
      </c>
      <c r="K573" s="97">
        <v>0</v>
      </c>
      <c r="M573" s="7">
        <f t="shared" si="89"/>
        <v>0</v>
      </c>
      <c r="N573" s="7">
        <f t="shared" si="98"/>
        <v>0</v>
      </c>
      <c r="O573" s="7">
        <f t="shared" si="97"/>
        <v>10000</v>
      </c>
      <c r="P573" s="99">
        <f t="shared" si="90"/>
        <v>1.4684287812041115E-3</v>
      </c>
      <c r="Q573" s="99">
        <f t="shared" si="99"/>
        <v>-3.7283294778130707E-2</v>
      </c>
      <c r="S573" s="7">
        <f t="shared" si="91"/>
        <v>7502000.0000000009</v>
      </c>
      <c r="T573" s="7">
        <f t="shared" si="92"/>
        <v>2273333.3333333335</v>
      </c>
      <c r="U573" s="7">
        <f t="shared" si="93"/>
        <v>13550000</v>
      </c>
      <c r="V573" s="7">
        <f t="shared" si="94"/>
        <v>0</v>
      </c>
      <c r="W573" s="7">
        <f t="shared" si="95"/>
        <v>0</v>
      </c>
      <c r="X573" s="7">
        <f t="shared" si="96"/>
        <v>0</v>
      </c>
    </row>
    <row r="574" spans="1:24">
      <c r="A574">
        <v>573</v>
      </c>
      <c r="B574" s="96" t="s">
        <v>3030</v>
      </c>
      <c r="C574" s="95">
        <v>41027</v>
      </c>
      <c r="D574" s="82">
        <v>6580000</v>
      </c>
      <c r="E574" s="82">
        <v>6580000</v>
      </c>
      <c r="F574" s="82">
        <v>6580000</v>
      </c>
      <c r="G574" s="82">
        <v>6580000</v>
      </c>
      <c r="I574" s="97">
        <v>0</v>
      </c>
      <c r="J574" s="97">
        <v>0</v>
      </c>
      <c r="K574" s="97">
        <v>0</v>
      </c>
      <c r="M574" s="7">
        <f t="shared" si="89"/>
        <v>0</v>
      </c>
      <c r="N574" s="7">
        <f t="shared" si="98"/>
        <v>0</v>
      </c>
      <c r="O574" s="7">
        <f t="shared" si="97"/>
        <v>-240000</v>
      </c>
      <c r="P574" s="99">
        <f t="shared" si="90"/>
        <v>-3.519061583577713E-2</v>
      </c>
      <c r="Q574" s="99">
        <f t="shared" si="99"/>
        <v>-2.8742730211919521E-2</v>
      </c>
      <c r="S574" s="7">
        <f t="shared" si="91"/>
        <v>7238000.0000000009</v>
      </c>
      <c r="T574" s="7">
        <f t="shared" si="92"/>
        <v>2193333.3333333335</v>
      </c>
      <c r="U574" s="7">
        <f t="shared" si="93"/>
        <v>13100000</v>
      </c>
      <c r="V574" s="7">
        <f t="shared" si="94"/>
        <v>0</v>
      </c>
      <c r="W574" s="7">
        <f t="shared" si="95"/>
        <v>0</v>
      </c>
      <c r="X574" s="7">
        <f t="shared" si="96"/>
        <v>0</v>
      </c>
    </row>
    <row r="575" spans="1:24">
      <c r="A575">
        <v>574</v>
      </c>
      <c r="B575" s="96" t="s">
        <v>3029</v>
      </c>
      <c r="C575" s="95">
        <v>41028</v>
      </c>
      <c r="D575" s="82">
        <v>6810000</v>
      </c>
      <c r="E575" s="82">
        <v>6810000</v>
      </c>
      <c r="F575" s="82">
        <v>6810000</v>
      </c>
      <c r="G575" s="82">
        <v>6810000</v>
      </c>
      <c r="I575" s="97">
        <v>0</v>
      </c>
      <c r="J575" s="97">
        <v>0</v>
      </c>
      <c r="K575" s="97">
        <v>0</v>
      </c>
      <c r="M575" s="7">
        <f t="shared" si="89"/>
        <v>0</v>
      </c>
      <c r="N575" s="7">
        <f t="shared" si="98"/>
        <v>0</v>
      </c>
      <c r="O575" s="7">
        <f t="shared" si="97"/>
        <v>230000</v>
      </c>
      <c r="P575" s="99">
        <f t="shared" si="90"/>
        <v>3.4954407294832825E-2</v>
      </c>
      <c r="Q575" s="99">
        <f t="shared" si="99"/>
        <v>-6.1084343198693811E-2</v>
      </c>
      <c r="R575">
        <v>4</v>
      </c>
      <c r="S575" s="7">
        <f t="shared" si="91"/>
        <v>7491000.0000000009</v>
      </c>
      <c r="T575" s="7">
        <f t="shared" si="92"/>
        <v>2270000</v>
      </c>
      <c r="U575" s="7">
        <f t="shared" si="93"/>
        <v>13160000</v>
      </c>
      <c r="V575" s="7">
        <f t="shared" si="94"/>
        <v>22675999.999999996</v>
      </c>
      <c r="W575" s="7">
        <f t="shared" si="95"/>
        <v>1135000</v>
      </c>
      <c r="X575" s="7">
        <f t="shared" si="96"/>
        <v>23810999.999999996</v>
      </c>
    </row>
    <row r="576" spans="1:24">
      <c r="A576">
        <v>575</v>
      </c>
      <c r="B576" s="96" t="s">
        <v>3028</v>
      </c>
      <c r="C576" s="95">
        <v>41029</v>
      </c>
      <c r="D576" s="82">
        <v>6730000</v>
      </c>
      <c r="E576" s="82">
        <v>6730000</v>
      </c>
      <c r="F576" s="82">
        <v>6730000</v>
      </c>
      <c r="G576" s="82">
        <v>6730000</v>
      </c>
      <c r="I576" s="98">
        <v>0</v>
      </c>
      <c r="J576" s="98">
        <v>0</v>
      </c>
      <c r="K576" s="98">
        <v>0</v>
      </c>
      <c r="M576" s="7">
        <f t="shared" si="89"/>
        <v>0</v>
      </c>
      <c r="N576" s="7">
        <f t="shared" si="98"/>
        <v>0</v>
      </c>
      <c r="O576" s="7">
        <f t="shared" si="97"/>
        <v>-80000</v>
      </c>
      <c r="P576" s="99">
        <f t="shared" si="90"/>
        <v>-1.1747430249632892E-2</v>
      </c>
      <c r="Q576" s="99">
        <f t="shared" si="99"/>
        <v>-2.3272793046718122E-2</v>
      </c>
      <c r="S576" s="7">
        <f t="shared" si="91"/>
        <v>7403000.0000000009</v>
      </c>
      <c r="T576" s="7">
        <f t="shared" si="92"/>
        <v>2243333.3333333335</v>
      </c>
      <c r="U576" s="7">
        <f t="shared" si="93"/>
        <v>13140000</v>
      </c>
      <c r="V576" s="7">
        <f t="shared" si="94"/>
        <v>0</v>
      </c>
      <c r="W576" s="7">
        <f t="shared" si="95"/>
        <v>0</v>
      </c>
      <c r="X576" s="7">
        <f t="shared" si="96"/>
        <v>0</v>
      </c>
    </row>
    <row r="577" spans="1:24">
      <c r="A577">
        <v>576</v>
      </c>
      <c r="B577" s="96" t="s">
        <v>3027</v>
      </c>
      <c r="C577" s="95">
        <v>41030</v>
      </c>
      <c r="D577" s="82">
        <v>6700000</v>
      </c>
      <c r="E577" s="82">
        <v>6700000</v>
      </c>
      <c r="F577" s="82">
        <v>6700000</v>
      </c>
      <c r="G577" s="82">
        <v>6700000</v>
      </c>
      <c r="I577" s="82">
        <f>G577*1.1</f>
        <v>7370000.0000000009</v>
      </c>
      <c r="J577" s="82">
        <f>G577/3</f>
        <v>2233333.3333333335</v>
      </c>
      <c r="K577" s="7">
        <f>G845</f>
        <v>13110000</v>
      </c>
      <c r="L577" s="7">
        <f>K577-I577</f>
        <v>5739999.9999999991</v>
      </c>
      <c r="M577" s="7">
        <f t="shared" si="89"/>
        <v>279166.66666666669</v>
      </c>
      <c r="N577" s="7">
        <f t="shared" si="98"/>
        <v>6019166.666666666</v>
      </c>
      <c r="O577" s="7">
        <f t="shared" si="97"/>
        <v>-30000</v>
      </c>
      <c r="P577" s="99">
        <f t="shared" si="90"/>
        <v>-4.4576523031203564E-3</v>
      </c>
      <c r="Q577" s="99">
        <f t="shared" si="99"/>
        <v>-2.2126240488328092E-2</v>
      </c>
      <c r="R577">
        <v>1</v>
      </c>
      <c r="S577" s="7">
        <f t="shared" si="91"/>
        <v>7370000.0000000009</v>
      </c>
      <c r="T577" s="7">
        <f t="shared" si="92"/>
        <v>2233333.3333333335</v>
      </c>
      <c r="U577" s="7">
        <f t="shared" si="93"/>
        <v>13110000</v>
      </c>
      <c r="V577" s="7">
        <f t="shared" si="94"/>
        <v>5739999.9999999991</v>
      </c>
      <c r="W577" s="7">
        <f t="shared" si="95"/>
        <v>279166.66666666669</v>
      </c>
      <c r="X577" s="7">
        <f t="shared" si="96"/>
        <v>6019166.666666666</v>
      </c>
    </row>
    <row r="578" spans="1:24">
      <c r="A578">
        <v>577</v>
      </c>
      <c r="B578" s="96" t="s">
        <v>3026</v>
      </c>
      <c r="C578" s="95">
        <v>41031</v>
      </c>
      <c r="D578" s="82">
        <v>6700000</v>
      </c>
      <c r="E578" s="82">
        <v>6700000</v>
      </c>
      <c r="F578" s="82">
        <v>6700000</v>
      </c>
      <c r="G578" s="82">
        <v>6700000</v>
      </c>
      <c r="I578" s="97">
        <v>0</v>
      </c>
      <c r="J578" s="97">
        <v>0</v>
      </c>
      <c r="K578" s="97">
        <v>0</v>
      </c>
      <c r="M578" s="7">
        <f t="shared" ref="M578:M641" si="100">J578*$AI$6/200</f>
        <v>0</v>
      </c>
      <c r="N578" s="7">
        <f t="shared" si="98"/>
        <v>0</v>
      </c>
      <c r="O578" s="7">
        <f t="shared" si="97"/>
        <v>0</v>
      </c>
      <c r="P578" s="99">
        <f t="shared" si="90"/>
        <v>0</v>
      </c>
      <c r="Q578" s="99">
        <f t="shared" si="99"/>
        <v>-1.4972862312493444E-2</v>
      </c>
      <c r="S578" s="7">
        <f t="shared" si="91"/>
        <v>7370000.0000000009</v>
      </c>
      <c r="T578" s="7">
        <f t="shared" si="92"/>
        <v>2233333.3333333335</v>
      </c>
      <c r="U578" s="7">
        <f t="shared" si="93"/>
        <v>12950000</v>
      </c>
      <c r="V578" s="7">
        <f t="shared" si="94"/>
        <v>0</v>
      </c>
      <c r="W578" s="7">
        <f t="shared" si="95"/>
        <v>0</v>
      </c>
      <c r="X578" s="7">
        <f t="shared" si="96"/>
        <v>0</v>
      </c>
    </row>
    <row r="579" spans="1:24">
      <c r="A579">
        <v>578</v>
      </c>
      <c r="B579" s="96" t="s">
        <v>3025</v>
      </c>
      <c r="C579" s="95">
        <v>41032</v>
      </c>
      <c r="D579" s="82">
        <v>6685000</v>
      </c>
      <c r="E579" s="82">
        <v>6685000</v>
      </c>
      <c r="F579" s="82">
        <v>6685000</v>
      </c>
      <c r="G579" s="82">
        <v>6685000</v>
      </c>
      <c r="I579" s="97">
        <v>0</v>
      </c>
      <c r="J579" s="97">
        <v>0</v>
      </c>
      <c r="K579" s="97">
        <v>0</v>
      </c>
      <c r="M579" s="7">
        <f t="shared" si="100"/>
        <v>0</v>
      </c>
      <c r="N579" s="7">
        <f t="shared" si="98"/>
        <v>0</v>
      </c>
      <c r="O579" s="7">
        <f t="shared" si="97"/>
        <v>-15000</v>
      </c>
      <c r="P579" s="99">
        <f t="shared" ref="P579:P642" si="101">O579/G578</f>
        <v>-2.2388059701492539E-3</v>
      </c>
      <c r="Q579" s="99">
        <f t="shared" si="99"/>
        <v>-1.6441291093697553E-2</v>
      </c>
      <c r="S579" s="7">
        <f t="shared" ref="S579:S642" si="102">G579*1.1</f>
        <v>7353500.0000000009</v>
      </c>
      <c r="T579" s="7">
        <f t="shared" ref="T579:T642" si="103">G579/3</f>
        <v>2228333.3333333335</v>
      </c>
      <c r="U579" s="7">
        <f t="shared" ref="U579:U642" si="104">G847</f>
        <v>13130000</v>
      </c>
      <c r="V579" s="7">
        <f t="shared" ref="V579:V642" si="105">(U579-S579)*R579</f>
        <v>0</v>
      </c>
      <c r="W579" s="7">
        <f t="shared" ref="W579:W642" si="106">(T579*$AI$6/200)*R579</f>
        <v>0</v>
      </c>
      <c r="X579" s="7">
        <f t="shared" ref="X579:X642" si="107">V579+W579</f>
        <v>0</v>
      </c>
    </row>
    <row r="580" spans="1:24">
      <c r="A580">
        <v>579</v>
      </c>
      <c r="B580" s="96" t="s">
        <v>3024</v>
      </c>
      <c r="C580" s="95">
        <v>41034</v>
      </c>
      <c r="D580" s="82">
        <v>6570000</v>
      </c>
      <c r="E580" s="82">
        <v>6570000</v>
      </c>
      <c r="F580" s="82">
        <v>6570000</v>
      </c>
      <c r="G580" s="82">
        <v>6570000</v>
      </c>
      <c r="I580" s="97">
        <v>0</v>
      </c>
      <c r="J580" s="97">
        <v>0</v>
      </c>
      <c r="K580" s="97">
        <v>0</v>
      </c>
      <c r="M580" s="7">
        <f t="shared" si="100"/>
        <v>0</v>
      </c>
      <c r="N580" s="7">
        <f t="shared" si="98"/>
        <v>0</v>
      </c>
      <c r="O580" s="7">
        <f t="shared" ref="O580:O643" si="108">G580-G579</f>
        <v>-115000</v>
      </c>
      <c r="P580" s="99">
        <f t="shared" si="101"/>
        <v>-1.7202692595362751E-2</v>
      </c>
      <c r="Q580" s="99">
        <f t="shared" si="99"/>
        <v>1.6510518771930324E-2</v>
      </c>
      <c r="S580" s="7">
        <f t="shared" si="102"/>
        <v>7227000.0000000009</v>
      </c>
      <c r="T580" s="7">
        <f t="shared" si="103"/>
        <v>2190000</v>
      </c>
      <c r="U580" s="7">
        <f t="shared" si="104"/>
        <v>13390000</v>
      </c>
      <c r="V580" s="7">
        <f t="shared" si="105"/>
        <v>0</v>
      </c>
      <c r="W580" s="7">
        <f t="shared" si="106"/>
        <v>0</v>
      </c>
      <c r="X580" s="7">
        <f t="shared" si="107"/>
        <v>0</v>
      </c>
    </row>
    <row r="581" spans="1:24">
      <c r="A581">
        <v>580</v>
      </c>
      <c r="B581" s="96" t="s">
        <v>3023</v>
      </c>
      <c r="C581" s="95">
        <v>41035</v>
      </c>
      <c r="D581" s="82">
        <v>6480000</v>
      </c>
      <c r="E581" s="82">
        <v>6480000</v>
      </c>
      <c r="F581" s="82">
        <v>6480000</v>
      </c>
      <c r="G581" s="82">
        <v>6480000</v>
      </c>
      <c r="I581" s="98">
        <v>0</v>
      </c>
      <c r="J581" s="98">
        <v>0</v>
      </c>
      <c r="K581" s="98">
        <v>0</v>
      </c>
      <c r="M581" s="7">
        <f t="shared" si="100"/>
        <v>0</v>
      </c>
      <c r="N581" s="7">
        <f t="shared" si="98"/>
        <v>0</v>
      </c>
      <c r="O581" s="7">
        <f t="shared" si="108"/>
        <v>-90000</v>
      </c>
      <c r="P581" s="99">
        <f t="shared" si="101"/>
        <v>-1.3698630136986301E-2</v>
      </c>
      <c r="Q581" s="99">
        <f t="shared" si="99"/>
        <v>-3.5646581118265255E-2</v>
      </c>
      <c r="S581" s="7">
        <f t="shared" si="102"/>
        <v>7128000.0000000009</v>
      </c>
      <c r="T581" s="7">
        <f t="shared" si="103"/>
        <v>2160000</v>
      </c>
      <c r="U581" s="7">
        <f t="shared" si="104"/>
        <v>13330000</v>
      </c>
      <c r="V581" s="7">
        <f t="shared" si="105"/>
        <v>0</v>
      </c>
      <c r="W581" s="7">
        <f t="shared" si="106"/>
        <v>0</v>
      </c>
      <c r="X581" s="7">
        <f t="shared" si="107"/>
        <v>0</v>
      </c>
    </row>
    <row r="582" spans="1:24">
      <c r="A582">
        <v>581</v>
      </c>
      <c r="B582" s="96" t="s">
        <v>3022</v>
      </c>
      <c r="C582" s="95">
        <v>41036</v>
      </c>
      <c r="D582" s="82">
        <v>6480000</v>
      </c>
      <c r="E582" s="82">
        <v>6480000</v>
      </c>
      <c r="F582" s="82">
        <v>6480000</v>
      </c>
      <c r="G582" s="82">
        <v>6480000</v>
      </c>
      <c r="I582" s="82">
        <f>G582*1.1</f>
        <v>7128000.0000000009</v>
      </c>
      <c r="J582" s="82">
        <f>G582/3</f>
        <v>2160000</v>
      </c>
      <c r="K582" s="7">
        <f>G850</f>
        <v>13710000</v>
      </c>
      <c r="L582" s="7">
        <f>K582-I582</f>
        <v>6581999.9999999991</v>
      </c>
      <c r="M582" s="7">
        <f t="shared" si="100"/>
        <v>270000</v>
      </c>
      <c r="N582" s="7">
        <f t="shared" si="98"/>
        <v>6851999.9999999991</v>
      </c>
      <c r="O582" s="7">
        <f t="shared" si="108"/>
        <v>0</v>
      </c>
      <c r="P582" s="99">
        <f t="shared" si="101"/>
        <v>0</v>
      </c>
      <c r="Q582" s="99">
        <f t="shared" si="99"/>
        <v>-3.7597781005618662E-2</v>
      </c>
      <c r="R582">
        <v>1</v>
      </c>
      <c r="S582" s="7">
        <f t="shared" si="102"/>
        <v>7128000.0000000009</v>
      </c>
      <c r="T582" s="7">
        <f t="shared" si="103"/>
        <v>2160000</v>
      </c>
      <c r="U582" s="7">
        <f t="shared" si="104"/>
        <v>13710000</v>
      </c>
      <c r="V582" s="7">
        <f t="shared" si="105"/>
        <v>6581999.9999999991</v>
      </c>
      <c r="W582" s="7">
        <f t="shared" si="106"/>
        <v>270000</v>
      </c>
      <c r="X582" s="7">
        <f t="shared" si="107"/>
        <v>6851999.9999999991</v>
      </c>
    </row>
    <row r="583" spans="1:24">
      <c r="A583">
        <v>582</v>
      </c>
      <c r="B583" s="96" t="s">
        <v>3021</v>
      </c>
      <c r="C583" s="95">
        <v>41037</v>
      </c>
      <c r="D583" s="82">
        <v>6460000</v>
      </c>
      <c r="E583" s="82">
        <v>6460000</v>
      </c>
      <c r="F583" s="82">
        <v>6460000</v>
      </c>
      <c r="G583" s="82">
        <v>6460000</v>
      </c>
      <c r="I583" s="97">
        <v>0</v>
      </c>
      <c r="J583" s="97">
        <v>0</v>
      </c>
      <c r="K583" s="97">
        <v>0</v>
      </c>
      <c r="M583" s="7">
        <f t="shared" si="100"/>
        <v>0</v>
      </c>
      <c r="N583" s="7">
        <f t="shared" si="98"/>
        <v>0</v>
      </c>
      <c r="O583" s="7">
        <f t="shared" si="108"/>
        <v>-20000</v>
      </c>
      <c r="P583" s="99">
        <f t="shared" si="101"/>
        <v>-3.0864197530864196E-3</v>
      </c>
      <c r="Q583" s="99">
        <f t="shared" si="99"/>
        <v>-3.31401287024983E-2</v>
      </c>
      <c r="S583" s="7">
        <f t="shared" si="102"/>
        <v>7106000.0000000009</v>
      </c>
      <c r="T583" s="7">
        <f t="shared" si="103"/>
        <v>2153333.3333333335</v>
      </c>
      <c r="U583" s="7">
        <f t="shared" si="104"/>
        <v>13750000</v>
      </c>
      <c r="V583" s="7">
        <f t="shared" si="105"/>
        <v>0</v>
      </c>
      <c r="W583" s="7">
        <f t="shared" si="106"/>
        <v>0</v>
      </c>
      <c r="X583" s="7">
        <f t="shared" si="107"/>
        <v>0</v>
      </c>
    </row>
    <row r="584" spans="1:24">
      <c r="A584">
        <v>583</v>
      </c>
      <c r="B584" s="96" t="s">
        <v>3020</v>
      </c>
      <c r="C584" s="95">
        <v>41038</v>
      </c>
      <c r="D584" s="82">
        <v>6300000</v>
      </c>
      <c r="E584" s="82">
        <v>6300000</v>
      </c>
      <c r="F584" s="82">
        <v>6300000</v>
      </c>
      <c r="G584" s="82">
        <v>6300000</v>
      </c>
      <c r="I584" s="97">
        <v>0</v>
      </c>
      <c r="J584" s="97">
        <v>0</v>
      </c>
      <c r="K584" s="97">
        <v>0</v>
      </c>
      <c r="M584" s="7">
        <f t="shared" si="100"/>
        <v>0</v>
      </c>
      <c r="N584" s="7">
        <f t="shared" ref="N584:N647" si="109">L584+M584</f>
        <v>0</v>
      </c>
      <c r="O584" s="7">
        <f t="shared" si="108"/>
        <v>-160000</v>
      </c>
      <c r="P584" s="99">
        <f t="shared" si="101"/>
        <v>-2.4767801857585141E-2</v>
      </c>
      <c r="Q584" s="99">
        <f t="shared" ref="Q584:Q647" si="110">SUM(P579:P583)</f>
        <v>-3.622654845558472E-2</v>
      </c>
      <c r="S584" s="7">
        <f t="shared" si="102"/>
        <v>6930000.0000000009</v>
      </c>
      <c r="T584" s="7">
        <f t="shared" si="103"/>
        <v>2100000</v>
      </c>
      <c r="U584" s="7">
        <f t="shared" si="104"/>
        <v>13550000</v>
      </c>
      <c r="V584" s="7">
        <f t="shared" si="105"/>
        <v>0</v>
      </c>
      <c r="W584" s="7">
        <f t="shared" si="106"/>
        <v>0</v>
      </c>
      <c r="X584" s="7">
        <f t="shared" si="107"/>
        <v>0</v>
      </c>
    </row>
    <row r="585" spans="1:24">
      <c r="A585">
        <v>584</v>
      </c>
      <c r="B585" s="96" t="s">
        <v>3019</v>
      </c>
      <c r="C585" s="95">
        <v>41039</v>
      </c>
      <c r="D585" s="82">
        <v>6110000</v>
      </c>
      <c r="E585" s="82">
        <v>6110000</v>
      </c>
      <c r="F585" s="82">
        <v>6110000</v>
      </c>
      <c r="G585" s="82">
        <v>6110000</v>
      </c>
      <c r="I585" s="97">
        <v>0</v>
      </c>
      <c r="J585" s="97">
        <v>0</v>
      </c>
      <c r="K585" s="97">
        <v>0</v>
      </c>
      <c r="M585" s="7">
        <f t="shared" si="100"/>
        <v>0</v>
      </c>
      <c r="N585" s="7">
        <f t="shared" si="109"/>
        <v>0</v>
      </c>
      <c r="O585" s="7">
        <f t="shared" si="108"/>
        <v>-190000</v>
      </c>
      <c r="P585" s="99">
        <f t="shared" si="101"/>
        <v>-3.0158730158730159E-2</v>
      </c>
      <c r="Q585" s="99">
        <f t="shared" si="110"/>
        <v>-5.8755544343020612E-2</v>
      </c>
      <c r="R585">
        <v>4</v>
      </c>
      <c r="S585" s="7">
        <f t="shared" si="102"/>
        <v>6721000.0000000009</v>
      </c>
      <c r="T585" s="7">
        <f t="shared" si="103"/>
        <v>2036666.6666666667</v>
      </c>
      <c r="U585" s="7">
        <f t="shared" si="104"/>
        <v>13620000</v>
      </c>
      <c r="V585" s="7">
        <f t="shared" si="105"/>
        <v>27595999.999999996</v>
      </c>
      <c r="W585" s="7">
        <f t="shared" si="106"/>
        <v>1018333.3333333335</v>
      </c>
      <c r="X585" s="7">
        <f t="shared" si="107"/>
        <v>28614333.333333328</v>
      </c>
    </row>
    <row r="586" spans="1:24">
      <c r="A586">
        <v>585</v>
      </c>
      <c r="B586" s="96" t="s">
        <v>3018</v>
      </c>
      <c r="C586" s="95">
        <v>41041</v>
      </c>
      <c r="D586" s="82">
        <v>6000000</v>
      </c>
      <c r="E586" s="82">
        <v>6000000</v>
      </c>
      <c r="F586" s="82">
        <v>6000000</v>
      </c>
      <c r="G586" s="82">
        <v>6000000</v>
      </c>
      <c r="I586" s="98">
        <v>0</v>
      </c>
      <c r="J586" s="98">
        <v>0</v>
      </c>
      <c r="K586" s="98">
        <v>0</v>
      </c>
      <c r="M586" s="7">
        <f t="shared" si="100"/>
        <v>0</v>
      </c>
      <c r="N586" s="7">
        <f t="shared" si="109"/>
        <v>0</v>
      </c>
      <c r="O586" s="7">
        <f t="shared" si="108"/>
        <v>-110000</v>
      </c>
      <c r="P586" s="99">
        <f t="shared" si="101"/>
        <v>-1.8003273322422259E-2</v>
      </c>
      <c r="Q586" s="99">
        <f t="shared" si="110"/>
        <v>-7.1711581906388017E-2</v>
      </c>
      <c r="S586" s="7">
        <f t="shared" si="102"/>
        <v>6600000.0000000009</v>
      </c>
      <c r="T586" s="7">
        <f t="shared" si="103"/>
        <v>2000000</v>
      </c>
      <c r="U586" s="7">
        <f t="shared" si="104"/>
        <v>13680000</v>
      </c>
      <c r="V586" s="7">
        <f t="shared" si="105"/>
        <v>0</v>
      </c>
      <c r="W586" s="7">
        <f t="shared" si="106"/>
        <v>0</v>
      </c>
      <c r="X586" s="7">
        <f t="shared" si="107"/>
        <v>0</v>
      </c>
    </row>
    <row r="587" spans="1:24">
      <c r="A587">
        <v>586</v>
      </c>
      <c r="B587" s="96" t="s">
        <v>3017</v>
      </c>
      <c r="C587" s="95">
        <v>41042</v>
      </c>
      <c r="D587" s="82">
        <v>6080000</v>
      </c>
      <c r="E587" s="82">
        <v>6080000</v>
      </c>
      <c r="F587" s="82">
        <v>6080000</v>
      </c>
      <c r="G587" s="82">
        <v>6080000</v>
      </c>
      <c r="I587" s="82">
        <f>G587*1.1</f>
        <v>6688000.0000000009</v>
      </c>
      <c r="J587" s="82">
        <f>G587/3</f>
        <v>2026666.6666666667</v>
      </c>
      <c r="K587" s="7">
        <f>G855</f>
        <v>13580000</v>
      </c>
      <c r="L587" s="7">
        <f>K587-I587</f>
        <v>6891999.9999999991</v>
      </c>
      <c r="M587" s="7">
        <f t="shared" si="100"/>
        <v>253333.33333333337</v>
      </c>
      <c r="N587" s="7">
        <f t="shared" si="109"/>
        <v>7145333.3333333321</v>
      </c>
      <c r="O587" s="7">
        <f t="shared" si="108"/>
        <v>80000</v>
      </c>
      <c r="P587" s="99">
        <f t="shared" si="101"/>
        <v>1.3333333333333334E-2</v>
      </c>
      <c r="Q587" s="99">
        <f t="shared" si="110"/>
        <v>-7.6016225091823972E-2</v>
      </c>
      <c r="R587">
        <v>1</v>
      </c>
      <c r="S587" s="7">
        <f t="shared" si="102"/>
        <v>6688000.0000000009</v>
      </c>
      <c r="T587" s="7">
        <f t="shared" si="103"/>
        <v>2026666.6666666667</v>
      </c>
      <c r="U587" s="7">
        <f t="shared" si="104"/>
        <v>13580000</v>
      </c>
      <c r="V587" s="7">
        <f t="shared" si="105"/>
        <v>6891999.9999999991</v>
      </c>
      <c r="W587" s="7">
        <f t="shared" si="106"/>
        <v>253333.33333333337</v>
      </c>
      <c r="X587" s="7">
        <f t="shared" si="107"/>
        <v>7145333.3333333321</v>
      </c>
    </row>
    <row r="588" spans="1:24">
      <c r="A588">
        <v>587</v>
      </c>
      <c r="B588" s="96" t="s">
        <v>3016</v>
      </c>
      <c r="C588" s="95">
        <v>41043</v>
      </c>
      <c r="D588" s="82">
        <v>6280000</v>
      </c>
      <c r="E588" s="82">
        <v>6280000</v>
      </c>
      <c r="F588" s="82">
        <v>6280000</v>
      </c>
      <c r="G588" s="82">
        <v>6280000</v>
      </c>
      <c r="I588" s="97">
        <v>0</v>
      </c>
      <c r="J588" s="97">
        <v>0</v>
      </c>
      <c r="K588" s="97">
        <v>0</v>
      </c>
      <c r="M588" s="7">
        <f t="shared" si="100"/>
        <v>0</v>
      </c>
      <c r="N588" s="7">
        <f t="shared" si="109"/>
        <v>0</v>
      </c>
      <c r="O588" s="7">
        <f t="shared" si="108"/>
        <v>200000</v>
      </c>
      <c r="P588" s="99">
        <f t="shared" si="101"/>
        <v>3.2894736842105261E-2</v>
      </c>
      <c r="Q588" s="99">
        <f t="shared" si="110"/>
        <v>-6.2682891758490636E-2</v>
      </c>
      <c r="S588" s="7">
        <f t="shared" si="102"/>
        <v>6908000.0000000009</v>
      </c>
      <c r="T588" s="7">
        <f t="shared" si="103"/>
        <v>2093333.3333333333</v>
      </c>
      <c r="U588" s="7">
        <f t="shared" si="104"/>
        <v>13450000</v>
      </c>
      <c r="V588" s="7">
        <f t="shared" si="105"/>
        <v>0</v>
      </c>
      <c r="W588" s="7">
        <f t="shared" si="106"/>
        <v>0</v>
      </c>
      <c r="X588" s="7">
        <f t="shared" si="107"/>
        <v>0</v>
      </c>
    </row>
    <row r="589" spans="1:24">
      <c r="A589">
        <v>588</v>
      </c>
      <c r="B589" s="96" t="s">
        <v>3015</v>
      </c>
      <c r="C589" s="95">
        <v>41044</v>
      </c>
      <c r="D589" s="82">
        <v>6400000</v>
      </c>
      <c r="E589" s="82">
        <v>6400000</v>
      </c>
      <c r="F589" s="82">
        <v>6400000</v>
      </c>
      <c r="G589" s="82">
        <v>6400000</v>
      </c>
      <c r="I589" s="97">
        <v>0</v>
      </c>
      <c r="J589" s="97">
        <v>0</v>
      </c>
      <c r="K589" s="97">
        <v>0</v>
      </c>
      <c r="M589" s="7">
        <f t="shared" si="100"/>
        <v>0</v>
      </c>
      <c r="N589" s="7">
        <f t="shared" si="109"/>
        <v>0</v>
      </c>
      <c r="O589" s="7">
        <f t="shared" si="108"/>
        <v>120000</v>
      </c>
      <c r="P589" s="99">
        <f t="shared" si="101"/>
        <v>1.9108280254777069E-2</v>
      </c>
      <c r="Q589" s="99">
        <f t="shared" si="110"/>
        <v>-2.6701735163298955E-2</v>
      </c>
      <c r="S589" s="7">
        <f t="shared" si="102"/>
        <v>7040000.0000000009</v>
      </c>
      <c r="T589" s="7">
        <f t="shared" si="103"/>
        <v>2133333.3333333335</v>
      </c>
      <c r="U589" s="7">
        <f t="shared" si="104"/>
        <v>13460000</v>
      </c>
      <c r="V589" s="7">
        <f t="shared" si="105"/>
        <v>0</v>
      </c>
      <c r="W589" s="7">
        <f t="shared" si="106"/>
        <v>0</v>
      </c>
      <c r="X589" s="7">
        <f t="shared" si="107"/>
        <v>0</v>
      </c>
    </row>
    <row r="590" spans="1:24">
      <c r="A590">
        <v>589</v>
      </c>
      <c r="B590" s="96" t="s">
        <v>3014</v>
      </c>
      <c r="C590" s="95">
        <v>41045</v>
      </c>
      <c r="D590" s="82">
        <v>6280000</v>
      </c>
      <c r="E590" s="82">
        <v>6280000</v>
      </c>
      <c r="F590" s="82">
        <v>6280000</v>
      </c>
      <c r="G590" s="82">
        <v>6280000</v>
      </c>
      <c r="I590" s="97">
        <v>0</v>
      </c>
      <c r="J590" s="97">
        <v>0</v>
      </c>
      <c r="K590" s="97">
        <v>0</v>
      </c>
      <c r="M590" s="7">
        <f t="shared" si="100"/>
        <v>0</v>
      </c>
      <c r="N590" s="7">
        <f t="shared" si="109"/>
        <v>0</v>
      </c>
      <c r="O590" s="7">
        <f t="shared" si="108"/>
        <v>-120000</v>
      </c>
      <c r="P590" s="99">
        <f t="shared" si="101"/>
        <v>-1.8749999999999999E-2</v>
      </c>
      <c r="Q590" s="99">
        <f t="shared" si="110"/>
        <v>1.7174346949063248E-2</v>
      </c>
      <c r="S590" s="7">
        <f t="shared" si="102"/>
        <v>6908000.0000000009</v>
      </c>
      <c r="T590" s="7">
        <f t="shared" si="103"/>
        <v>2093333.3333333333</v>
      </c>
      <c r="U590" s="7">
        <f t="shared" si="104"/>
        <v>13425000</v>
      </c>
      <c r="V590" s="7">
        <f t="shared" si="105"/>
        <v>0</v>
      </c>
      <c r="W590" s="7">
        <f t="shared" si="106"/>
        <v>0</v>
      </c>
      <c r="X590" s="7">
        <f t="shared" si="107"/>
        <v>0</v>
      </c>
    </row>
    <row r="591" spans="1:24">
      <c r="A591">
        <v>590</v>
      </c>
      <c r="B591" s="96" t="s">
        <v>3013</v>
      </c>
      <c r="C591" s="95">
        <v>41046</v>
      </c>
      <c r="D591" s="82">
        <v>6420000</v>
      </c>
      <c r="E591" s="82">
        <v>6420000</v>
      </c>
      <c r="F591" s="82">
        <v>6420000</v>
      </c>
      <c r="G591" s="82">
        <v>6420000</v>
      </c>
      <c r="I591" s="98">
        <v>0</v>
      </c>
      <c r="J591" s="98">
        <v>0</v>
      </c>
      <c r="K591" s="98">
        <v>0</v>
      </c>
      <c r="M591" s="7">
        <f t="shared" si="100"/>
        <v>0</v>
      </c>
      <c r="N591" s="7">
        <f t="shared" si="109"/>
        <v>0</v>
      </c>
      <c r="O591" s="7">
        <f t="shared" si="108"/>
        <v>140000</v>
      </c>
      <c r="P591" s="99">
        <f t="shared" si="101"/>
        <v>2.2292993630573247E-2</v>
      </c>
      <c r="Q591" s="99">
        <f t="shared" si="110"/>
        <v>2.8583077107793401E-2</v>
      </c>
      <c r="S591" s="7">
        <f t="shared" si="102"/>
        <v>7062000.0000000009</v>
      </c>
      <c r="T591" s="7">
        <f t="shared" si="103"/>
        <v>2140000</v>
      </c>
      <c r="U591" s="7">
        <f t="shared" si="104"/>
        <v>13580000</v>
      </c>
      <c r="V591" s="7">
        <f t="shared" si="105"/>
        <v>0</v>
      </c>
      <c r="W591" s="7">
        <f t="shared" si="106"/>
        <v>0</v>
      </c>
      <c r="X591" s="7">
        <f t="shared" si="107"/>
        <v>0</v>
      </c>
    </row>
    <row r="592" spans="1:24">
      <c r="A592">
        <v>591</v>
      </c>
      <c r="B592" s="96" t="s">
        <v>3012</v>
      </c>
      <c r="C592" s="95">
        <v>41050</v>
      </c>
      <c r="D592" s="82">
        <v>6480000</v>
      </c>
      <c r="E592" s="82">
        <v>6480000</v>
      </c>
      <c r="F592" s="82">
        <v>6480000</v>
      </c>
      <c r="G592" s="82">
        <v>6480000</v>
      </c>
      <c r="I592" s="82">
        <f>G592*1.1</f>
        <v>7128000.0000000009</v>
      </c>
      <c r="J592" s="82">
        <f>G592/3</f>
        <v>2160000</v>
      </c>
      <c r="K592" s="7">
        <f>G860</f>
        <v>13440000</v>
      </c>
      <c r="L592" s="7">
        <f>K592-I592</f>
        <v>6311999.9999999991</v>
      </c>
      <c r="M592" s="7">
        <f t="shared" si="100"/>
        <v>270000</v>
      </c>
      <c r="N592" s="7">
        <f t="shared" si="109"/>
        <v>6581999.9999999991</v>
      </c>
      <c r="O592" s="7">
        <f t="shared" si="108"/>
        <v>60000</v>
      </c>
      <c r="P592" s="99">
        <f t="shared" si="101"/>
        <v>9.3457943925233638E-3</v>
      </c>
      <c r="Q592" s="99">
        <f t="shared" si="110"/>
        <v>6.8879344060788911E-2</v>
      </c>
      <c r="R592">
        <v>1</v>
      </c>
      <c r="S592" s="7">
        <f t="shared" si="102"/>
        <v>7128000.0000000009</v>
      </c>
      <c r="T592" s="7">
        <f t="shared" si="103"/>
        <v>2160000</v>
      </c>
      <c r="U592" s="7">
        <f t="shared" si="104"/>
        <v>13440000</v>
      </c>
      <c r="V592" s="7">
        <f t="shared" si="105"/>
        <v>6311999.9999999991</v>
      </c>
      <c r="W592" s="7">
        <f t="shared" si="106"/>
        <v>270000</v>
      </c>
      <c r="X592" s="7">
        <f t="shared" si="107"/>
        <v>6581999.9999999991</v>
      </c>
    </row>
    <row r="593" spans="1:24">
      <c r="A593">
        <v>592</v>
      </c>
      <c r="B593" s="96" t="s">
        <v>3011</v>
      </c>
      <c r="C593" s="95">
        <v>41051</v>
      </c>
      <c r="D593" s="82">
        <v>6350000</v>
      </c>
      <c r="E593" s="82">
        <v>6350000</v>
      </c>
      <c r="F593" s="82">
        <v>6350000</v>
      </c>
      <c r="G593" s="82">
        <v>6350000</v>
      </c>
      <c r="I593" s="97">
        <v>0</v>
      </c>
      <c r="J593" s="97">
        <v>0</v>
      </c>
      <c r="K593" s="97">
        <v>0</v>
      </c>
      <c r="M593" s="7">
        <f t="shared" si="100"/>
        <v>0</v>
      </c>
      <c r="N593" s="7">
        <f t="shared" si="109"/>
        <v>0</v>
      </c>
      <c r="O593" s="7">
        <f t="shared" si="108"/>
        <v>-130000</v>
      </c>
      <c r="P593" s="99">
        <f t="shared" si="101"/>
        <v>-2.0061728395061727E-2</v>
      </c>
      <c r="Q593" s="99">
        <f t="shared" si="110"/>
        <v>6.489180511997894E-2</v>
      </c>
      <c r="S593" s="7">
        <f t="shared" si="102"/>
        <v>6985000.0000000009</v>
      </c>
      <c r="T593" s="7">
        <f t="shared" si="103"/>
        <v>2116666.6666666665</v>
      </c>
      <c r="U593" s="7">
        <f t="shared" si="104"/>
        <v>13290000</v>
      </c>
      <c r="V593" s="7">
        <f t="shared" si="105"/>
        <v>0</v>
      </c>
      <c r="W593" s="7">
        <f t="shared" si="106"/>
        <v>0</v>
      </c>
      <c r="X593" s="7">
        <f t="shared" si="107"/>
        <v>0</v>
      </c>
    </row>
    <row r="594" spans="1:24">
      <c r="A594">
        <v>593</v>
      </c>
      <c r="B594" s="96" t="s">
        <v>3010</v>
      </c>
      <c r="C594" s="95">
        <v>41048</v>
      </c>
      <c r="D594" s="82">
        <v>6500000</v>
      </c>
      <c r="E594" s="82">
        <v>6500000</v>
      </c>
      <c r="F594" s="82">
        <v>6500000</v>
      </c>
      <c r="G594" s="82">
        <v>6500000</v>
      </c>
      <c r="I594" s="97">
        <v>0</v>
      </c>
      <c r="J594" s="97">
        <v>0</v>
      </c>
      <c r="K594" s="97">
        <v>0</v>
      </c>
      <c r="M594" s="7">
        <f t="shared" si="100"/>
        <v>0</v>
      </c>
      <c r="N594" s="7">
        <f t="shared" si="109"/>
        <v>0</v>
      </c>
      <c r="O594" s="7">
        <f t="shared" si="108"/>
        <v>150000</v>
      </c>
      <c r="P594" s="99">
        <f t="shared" si="101"/>
        <v>2.3622047244094488E-2</v>
      </c>
      <c r="Q594" s="99">
        <f t="shared" si="110"/>
        <v>1.1935339882811952E-2</v>
      </c>
      <c r="S594" s="7">
        <f t="shared" si="102"/>
        <v>7150000.0000000009</v>
      </c>
      <c r="T594" s="7">
        <f t="shared" si="103"/>
        <v>2166666.6666666665</v>
      </c>
      <c r="U594" s="7">
        <f t="shared" si="104"/>
        <v>13150000</v>
      </c>
      <c r="V594" s="7">
        <f t="shared" si="105"/>
        <v>0</v>
      </c>
      <c r="W594" s="7">
        <f t="shared" si="106"/>
        <v>0</v>
      </c>
      <c r="X594" s="7">
        <f t="shared" si="107"/>
        <v>0</v>
      </c>
    </row>
    <row r="595" spans="1:24">
      <c r="A595">
        <v>594</v>
      </c>
      <c r="B595" s="96" t="s">
        <v>3009</v>
      </c>
      <c r="C595" s="95">
        <v>41052</v>
      </c>
      <c r="D595" s="82">
        <v>6330000</v>
      </c>
      <c r="E595" s="82">
        <v>6330000</v>
      </c>
      <c r="F595" s="82">
        <v>6330000</v>
      </c>
      <c r="G595" s="82">
        <v>6330000</v>
      </c>
      <c r="I595" s="97">
        <v>0</v>
      </c>
      <c r="J595" s="97">
        <v>0</v>
      </c>
      <c r="K595" s="97">
        <v>0</v>
      </c>
      <c r="M595" s="7">
        <f t="shared" si="100"/>
        <v>0</v>
      </c>
      <c r="N595" s="7">
        <f t="shared" si="109"/>
        <v>0</v>
      </c>
      <c r="O595" s="7">
        <f t="shared" si="108"/>
        <v>-170000</v>
      </c>
      <c r="P595" s="99">
        <f t="shared" si="101"/>
        <v>-2.6153846153846153E-2</v>
      </c>
      <c r="Q595" s="99">
        <f t="shared" si="110"/>
        <v>1.6449106872129374E-2</v>
      </c>
      <c r="S595" s="7">
        <f t="shared" si="102"/>
        <v>6963000.0000000009</v>
      </c>
      <c r="T595" s="7">
        <f t="shared" si="103"/>
        <v>2110000</v>
      </c>
      <c r="U595" s="7">
        <f t="shared" si="104"/>
        <v>13140000</v>
      </c>
      <c r="V595" s="7">
        <f t="shared" si="105"/>
        <v>0</v>
      </c>
      <c r="W595" s="7">
        <f t="shared" si="106"/>
        <v>0</v>
      </c>
      <c r="X595" s="7">
        <f t="shared" si="107"/>
        <v>0</v>
      </c>
    </row>
    <row r="596" spans="1:24">
      <c r="A596">
        <v>595</v>
      </c>
      <c r="B596" s="96" t="s">
        <v>3008</v>
      </c>
      <c r="C596" s="95">
        <v>41049</v>
      </c>
      <c r="D596" s="82">
        <v>6500000</v>
      </c>
      <c r="E596" s="82">
        <v>6500000</v>
      </c>
      <c r="F596" s="82">
        <v>6500000</v>
      </c>
      <c r="G596" s="82">
        <v>6500000</v>
      </c>
      <c r="I596" s="98">
        <v>0</v>
      </c>
      <c r="J596" s="98">
        <v>0</v>
      </c>
      <c r="K596" s="98">
        <v>0</v>
      </c>
      <c r="M596" s="7">
        <f t="shared" si="100"/>
        <v>0</v>
      </c>
      <c r="N596" s="7">
        <f t="shared" si="109"/>
        <v>0</v>
      </c>
      <c r="O596" s="7">
        <f t="shared" si="108"/>
        <v>170000</v>
      </c>
      <c r="P596" s="99">
        <f t="shared" si="101"/>
        <v>2.6856240126382307E-2</v>
      </c>
      <c r="Q596" s="99">
        <f t="shared" si="110"/>
        <v>9.045260718283217E-3</v>
      </c>
      <c r="S596" s="7">
        <f t="shared" si="102"/>
        <v>7150000.0000000009</v>
      </c>
      <c r="T596" s="7">
        <f t="shared" si="103"/>
        <v>2166666.6666666665</v>
      </c>
      <c r="U596" s="7">
        <f t="shared" si="104"/>
        <v>12820000</v>
      </c>
      <c r="V596" s="7">
        <f t="shared" si="105"/>
        <v>0</v>
      </c>
      <c r="W596" s="7">
        <f t="shared" si="106"/>
        <v>0</v>
      </c>
      <c r="X596" s="7">
        <f t="shared" si="107"/>
        <v>0</v>
      </c>
    </row>
    <row r="597" spans="1:24">
      <c r="A597">
        <v>596</v>
      </c>
      <c r="B597" s="96" t="s">
        <v>3007</v>
      </c>
      <c r="C597" s="95">
        <v>41053</v>
      </c>
      <c r="D597" s="82">
        <v>6650000</v>
      </c>
      <c r="E597" s="82">
        <v>6650000</v>
      </c>
      <c r="F597" s="82">
        <v>6650000</v>
      </c>
      <c r="G597" s="82">
        <v>6650000</v>
      </c>
      <c r="I597" s="82">
        <f>G597*1.1</f>
        <v>7315000.0000000009</v>
      </c>
      <c r="J597" s="82">
        <f>G597/3</f>
        <v>2216666.6666666665</v>
      </c>
      <c r="K597" s="7">
        <f>G865</f>
        <v>13000000</v>
      </c>
      <c r="L597" s="7">
        <f>K597-I597</f>
        <v>5684999.9999999991</v>
      </c>
      <c r="M597" s="7">
        <f t="shared" si="100"/>
        <v>277083.33333333331</v>
      </c>
      <c r="N597" s="7">
        <f t="shared" si="109"/>
        <v>5962083.3333333321</v>
      </c>
      <c r="O597" s="7">
        <f t="shared" si="108"/>
        <v>150000</v>
      </c>
      <c r="P597" s="99">
        <f t="shared" si="101"/>
        <v>2.3076923076923078E-2</v>
      </c>
      <c r="Q597" s="99">
        <f t="shared" si="110"/>
        <v>1.3608507214092279E-2</v>
      </c>
      <c r="R597">
        <v>1</v>
      </c>
      <c r="S597" s="7">
        <f t="shared" si="102"/>
        <v>7315000.0000000009</v>
      </c>
      <c r="T597" s="7">
        <f t="shared" si="103"/>
        <v>2216666.6666666665</v>
      </c>
      <c r="U597" s="7">
        <f t="shared" si="104"/>
        <v>13000000</v>
      </c>
      <c r="V597" s="7">
        <f t="shared" si="105"/>
        <v>5684999.9999999991</v>
      </c>
      <c r="W597" s="7">
        <f t="shared" si="106"/>
        <v>277083.33333333331</v>
      </c>
      <c r="X597" s="7">
        <f t="shared" si="107"/>
        <v>5962083.3333333321</v>
      </c>
    </row>
    <row r="598" spans="1:24">
      <c r="A598">
        <v>597</v>
      </c>
      <c r="B598" s="96" t="s">
        <v>3006</v>
      </c>
      <c r="C598" s="95">
        <v>41055</v>
      </c>
      <c r="D598" s="82">
        <v>6660000</v>
      </c>
      <c r="E598" s="82">
        <v>6660000</v>
      </c>
      <c r="F598" s="82">
        <v>6660000</v>
      </c>
      <c r="G598" s="82">
        <v>6660000</v>
      </c>
      <c r="I598" s="97">
        <v>0</v>
      </c>
      <c r="J598" s="97">
        <v>0</v>
      </c>
      <c r="K598" s="97">
        <v>0</v>
      </c>
      <c r="M598" s="7">
        <f t="shared" si="100"/>
        <v>0</v>
      </c>
      <c r="N598" s="7">
        <f t="shared" si="109"/>
        <v>0</v>
      </c>
      <c r="O598" s="7">
        <f t="shared" si="108"/>
        <v>10000</v>
      </c>
      <c r="P598" s="99">
        <f t="shared" si="101"/>
        <v>1.5037593984962407E-3</v>
      </c>
      <c r="Q598" s="99">
        <f t="shared" si="110"/>
        <v>2.7339635898491994E-2</v>
      </c>
      <c r="S598" s="7">
        <f t="shared" si="102"/>
        <v>7326000.0000000009</v>
      </c>
      <c r="T598" s="7">
        <f t="shared" si="103"/>
        <v>2220000</v>
      </c>
      <c r="U598" s="7">
        <f t="shared" si="104"/>
        <v>12975000</v>
      </c>
      <c r="V598" s="7">
        <f t="shared" si="105"/>
        <v>0</v>
      </c>
      <c r="W598" s="7">
        <f t="shared" si="106"/>
        <v>0</v>
      </c>
      <c r="X598" s="7">
        <f t="shared" si="107"/>
        <v>0</v>
      </c>
    </row>
    <row r="599" spans="1:24">
      <c r="A599">
        <v>598</v>
      </c>
      <c r="B599" s="96" t="s">
        <v>3005</v>
      </c>
      <c r="C599" s="95">
        <v>41056</v>
      </c>
      <c r="D599" s="82">
        <v>6500000</v>
      </c>
      <c r="E599" s="82">
        <v>6500000</v>
      </c>
      <c r="F599" s="82">
        <v>6500000</v>
      </c>
      <c r="G599" s="82">
        <v>6500000</v>
      </c>
      <c r="I599" s="97">
        <v>0</v>
      </c>
      <c r="J599" s="97">
        <v>0</v>
      </c>
      <c r="K599" s="97">
        <v>0</v>
      </c>
      <c r="M599" s="7">
        <f t="shared" si="100"/>
        <v>0</v>
      </c>
      <c r="N599" s="7">
        <f t="shared" si="109"/>
        <v>0</v>
      </c>
      <c r="O599" s="7">
        <f t="shared" si="108"/>
        <v>-160000</v>
      </c>
      <c r="P599" s="99">
        <f t="shared" si="101"/>
        <v>-2.4024024024024024E-2</v>
      </c>
      <c r="Q599" s="99">
        <f t="shared" si="110"/>
        <v>4.8905123692049968E-2</v>
      </c>
      <c r="S599" s="7">
        <f t="shared" si="102"/>
        <v>7150000.0000000009</v>
      </c>
      <c r="T599" s="7">
        <f t="shared" si="103"/>
        <v>2166666.6666666665</v>
      </c>
      <c r="U599" s="7">
        <f t="shared" si="104"/>
        <v>13040000</v>
      </c>
      <c r="V599" s="7">
        <f t="shared" si="105"/>
        <v>0</v>
      </c>
      <c r="W599" s="7">
        <f t="shared" si="106"/>
        <v>0</v>
      </c>
      <c r="X599" s="7">
        <f t="shared" si="107"/>
        <v>0</v>
      </c>
    </row>
    <row r="600" spans="1:24">
      <c r="A600">
        <v>599</v>
      </c>
      <c r="B600" s="96" t="s">
        <v>3004</v>
      </c>
      <c r="C600" s="95">
        <v>41057</v>
      </c>
      <c r="D600" s="82">
        <v>6580000</v>
      </c>
      <c r="E600" s="82">
        <v>6580000</v>
      </c>
      <c r="F600" s="82">
        <v>6580000</v>
      </c>
      <c r="G600" s="82">
        <v>6580000</v>
      </c>
      <c r="I600" s="97">
        <v>0</v>
      </c>
      <c r="J600" s="97">
        <v>0</v>
      </c>
      <c r="K600" s="97">
        <v>0</v>
      </c>
      <c r="M600" s="7">
        <f t="shared" si="100"/>
        <v>0</v>
      </c>
      <c r="N600" s="7">
        <f t="shared" si="109"/>
        <v>0</v>
      </c>
      <c r="O600" s="7">
        <f t="shared" si="108"/>
        <v>80000</v>
      </c>
      <c r="P600" s="99">
        <f t="shared" si="101"/>
        <v>1.2307692307692308E-2</v>
      </c>
      <c r="Q600" s="99">
        <f t="shared" si="110"/>
        <v>1.2590524239314491E-3</v>
      </c>
      <c r="S600" s="7">
        <f t="shared" si="102"/>
        <v>7238000.0000000009</v>
      </c>
      <c r="T600" s="7">
        <f t="shared" si="103"/>
        <v>2193333.3333333335</v>
      </c>
      <c r="U600" s="7">
        <f t="shared" si="104"/>
        <v>12830000</v>
      </c>
      <c r="V600" s="7">
        <f t="shared" si="105"/>
        <v>0</v>
      </c>
      <c r="W600" s="7">
        <f t="shared" si="106"/>
        <v>0</v>
      </c>
      <c r="X600" s="7">
        <f t="shared" si="107"/>
        <v>0</v>
      </c>
    </row>
    <row r="601" spans="1:24">
      <c r="A601">
        <v>600</v>
      </c>
      <c r="B601" s="96" t="s">
        <v>3003</v>
      </c>
      <c r="C601" s="95">
        <v>41058</v>
      </c>
      <c r="D601" s="82">
        <v>6640000</v>
      </c>
      <c r="E601" s="82">
        <v>6640000</v>
      </c>
      <c r="F601" s="82">
        <v>6640000</v>
      </c>
      <c r="G601" s="82">
        <v>6640000</v>
      </c>
      <c r="I601" s="98">
        <v>0</v>
      </c>
      <c r="J601" s="98">
        <v>0</v>
      </c>
      <c r="K601" s="98">
        <v>0</v>
      </c>
      <c r="M601" s="7">
        <f t="shared" si="100"/>
        <v>0</v>
      </c>
      <c r="N601" s="7">
        <f t="shared" si="109"/>
        <v>0</v>
      </c>
      <c r="O601" s="7">
        <f t="shared" si="108"/>
        <v>60000</v>
      </c>
      <c r="P601" s="99">
        <f t="shared" si="101"/>
        <v>9.11854103343465E-3</v>
      </c>
      <c r="Q601" s="99">
        <f t="shared" si="110"/>
        <v>3.972059088546992E-2</v>
      </c>
      <c r="S601" s="7">
        <f t="shared" si="102"/>
        <v>7304000.0000000009</v>
      </c>
      <c r="T601" s="7">
        <f t="shared" si="103"/>
        <v>2213333.3333333335</v>
      </c>
      <c r="U601" s="7">
        <f t="shared" si="104"/>
        <v>12780000</v>
      </c>
      <c r="V601" s="7">
        <f t="shared" si="105"/>
        <v>0</v>
      </c>
      <c r="W601" s="7">
        <f t="shared" si="106"/>
        <v>0</v>
      </c>
      <c r="X601" s="7">
        <f t="shared" si="107"/>
        <v>0</v>
      </c>
    </row>
    <row r="602" spans="1:24">
      <c r="A602">
        <v>601</v>
      </c>
      <c r="B602" s="96" t="s">
        <v>3002</v>
      </c>
      <c r="C602" s="95">
        <v>41059</v>
      </c>
      <c r="D602" s="82">
        <v>6580000</v>
      </c>
      <c r="E602" s="82">
        <v>6580000</v>
      </c>
      <c r="F602" s="82">
        <v>6580000</v>
      </c>
      <c r="G602" s="82">
        <v>6580000</v>
      </c>
      <c r="I602" s="82">
        <f>G602*1.1</f>
        <v>7238000.0000000009</v>
      </c>
      <c r="J602" s="82">
        <f>G602/3</f>
        <v>2193333.3333333335</v>
      </c>
      <c r="K602" s="7">
        <f>G870</f>
        <v>12470000</v>
      </c>
      <c r="L602" s="7">
        <f>K602-I602</f>
        <v>5231999.9999999991</v>
      </c>
      <c r="M602" s="7">
        <f t="shared" si="100"/>
        <v>274166.66666666669</v>
      </c>
      <c r="N602" s="7">
        <f t="shared" si="109"/>
        <v>5506166.666666666</v>
      </c>
      <c r="O602" s="7">
        <f t="shared" si="108"/>
        <v>-60000</v>
      </c>
      <c r="P602" s="99">
        <f t="shared" si="101"/>
        <v>-9.0361445783132526E-3</v>
      </c>
      <c r="Q602" s="99">
        <f t="shared" si="110"/>
        <v>2.1982891792522254E-2</v>
      </c>
      <c r="R602">
        <v>1</v>
      </c>
      <c r="S602" s="7">
        <f t="shared" si="102"/>
        <v>7238000.0000000009</v>
      </c>
      <c r="T602" s="7">
        <f t="shared" si="103"/>
        <v>2193333.3333333335</v>
      </c>
      <c r="U602" s="7">
        <f t="shared" si="104"/>
        <v>12470000</v>
      </c>
      <c r="V602" s="7">
        <f t="shared" si="105"/>
        <v>5231999.9999999991</v>
      </c>
      <c r="W602" s="7">
        <f t="shared" si="106"/>
        <v>274166.66666666669</v>
      </c>
      <c r="X602" s="7">
        <f t="shared" si="107"/>
        <v>5506166.666666666</v>
      </c>
    </row>
    <row r="603" spans="1:24">
      <c r="A603">
        <v>602</v>
      </c>
      <c r="B603" s="96" t="s">
        <v>3001</v>
      </c>
      <c r="C603" s="95">
        <v>41060</v>
      </c>
      <c r="D603" s="82">
        <v>6600000</v>
      </c>
      <c r="E603" s="82">
        <v>6600000</v>
      </c>
      <c r="F603" s="82">
        <v>6600000</v>
      </c>
      <c r="G603" s="82">
        <v>6600000</v>
      </c>
      <c r="I603" s="97">
        <v>0</v>
      </c>
      <c r="J603" s="97">
        <v>0</v>
      </c>
      <c r="K603" s="97">
        <v>0</v>
      </c>
      <c r="M603" s="7">
        <f t="shared" si="100"/>
        <v>0</v>
      </c>
      <c r="N603" s="7">
        <f t="shared" si="109"/>
        <v>0</v>
      </c>
      <c r="O603" s="7">
        <f t="shared" si="108"/>
        <v>20000</v>
      </c>
      <c r="P603" s="99">
        <f t="shared" si="101"/>
        <v>3.0395136778115501E-3</v>
      </c>
      <c r="Q603" s="99">
        <f t="shared" si="110"/>
        <v>-1.0130175862714079E-2</v>
      </c>
      <c r="S603" s="7">
        <f t="shared" si="102"/>
        <v>7260000.0000000009</v>
      </c>
      <c r="T603" s="7">
        <f t="shared" si="103"/>
        <v>2200000</v>
      </c>
      <c r="U603" s="7">
        <f t="shared" si="104"/>
        <v>11970000</v>
      </c>
      <c r="V603" s="7">
        <f t="shared" si="105"/>
        <v>0</v>
      </c>
      <c r="W603" s="7">
        <f t="shared" si="106"/>
        <v>0</v>
      </c>
      <c r="X603" s="7">
        <f t="shared" si="107"/>
        <v>0</v>
      </c>
    </row>
    <row r="604" spans="1:24">
      <c r="A604">
        <v>603</v>
      </c>
      <c r="B604" s="96" t="s">
        <v>3000</v>
      </c>
      <c r="C604" s="95">
        <v>41062</v>
      </c>
      <c r="D604" s="82">
        <v>6820000</v>
      </c>
      <c r="E604" s="82">
        <v>6820000</v>
      </c>
      <c r="F604" s="82">
        <v>6820000</v>
      </c>
      <c r="G604" s="82">
        <v>6820000</v>
      </c>
      <c r="I604" s="97">
        <v>0</v>
      </c>
      <c r="J604" s="97">
        <v>0</v>
      </c>
      <c r="K604" s="97">
        <v>0</v>
      </c>
      <c r="M604" s="7">
        <f t="shared" si="100"/>
        <v>0</v>
      </c>
      <c r="N604" s="7">
        <f t="shared" si="109"/>
        <v>0</v>
      </c>
      <c r="O604" s="7">
        <f t="shared" si="108"/>
        <v>220000</v>
      </c>
      <c r="P604" s="99">
        <f t="shared" si="101"/>
        <v>3.3333333333333333E-2</v>
      </c>
      <c r="Q604" s="99">
        <f t="shared" si="110"/>
        <v>-8.5944215833987682E-3</v>
      </c>
      <c r="S604" s="7">
        <f t="shared" si="102"/>
        <v>7502000.0000000009</v>
      </c>
      <c r="T604" s="7">
        <f t="shared" si="103"/>
        <v>2273333.3333333335</v>
      </c>
      <c r="U604" s="7">
        <f t="shared" si="104"/>
        <v>13250000</v>
      </c>
      <c r="V604" s="7">
        <f t="shared" si="105"/>
        <v>0</v>
      </c>
      <c r="W604" s="7">
        <f t="shared" si="106"/>
        <v>0</v>
      </c>
      <c r="X604" s="7">
        <f t="shared" si="107"/>
        <v>0</v>
      </c>
    </row>
    <row r="605" spans="1:24">
      <c r="A605">
        <v>604</v>
      </c>
      <c r="B605" s="96" t="s">
        <v>2999</v>
      </c>
      <c r="C605" s="95">
        <v>41065</v>
      </c>
      <c r="D605" s="82">
        <v>6690000</v>
      </c>
      <c r="E605" s="82">
        <v>6690000</v>
      </c>
      <c r="F605" s="82">
        <v>6690000</v>
      </c>
      <c r="G605" s="82">
        <v>6690000</v>
      </c>
      <c r="I605" s="97">
        <v>0</v>
      </c>
      <c r="J605" s="97">
        <v>0</v>
      </c>
      <c r="K605" s="97">
        <v>0</v>
      </c>
      <c r="M605" s="7">
        <f t="shared" si="100"/>
        <v>0</v>
      </c>
      <c r="N605" s="7">
        <f t="shared" si="109"/>
        <v>0</v>
      </c>
      <c r="O605" s="7">
        <f t="shared" si="108"/>
        <v>-130000</v>
      </c>
      <c r="P605" s="99">
        <f t="shared" si="101"/>
        <v>-1.906158357771261E-2</v>
      </c>
      <c r="Q605" s="99">
        <f t="shared" si="110"/>
        <v>4.8762935773958585E-2</v>
      </c>
      <c r="S605" s="7">
        <f t="shared" si="102"/>
        <v>7359000.0000000009</v>
      </c>
      <c r="T605" s="7">
        <f t="shared" si="103"/>
        <v>2230000</v>
      </c>
      <c r="U605" s="7">
        <f t="shared" si="104"/>
        <v>12000000</v>
      </c>
      <c r="V605" s="7">
        <f t="shared" si="105"/>
        <v>0</v>
      </c>
      <c r="W605" s="7">
        <f t="shared" si="106"/>
        <v>0</v>
      </c>
      <c r="X605" s="7">
        <f t="shared" si="107"/>
        <v>0</v>
      </c>
    </row>
    <row r="606" spans="1:24">
      <c r="A606">
        <v>605</v>
      </c>
      <c r="B606" s="96" t="s">
        <v>2998</v>
      </c>
      <c r="C606" s="95">
        <v>41066</v>
      </c>
      <c r="D606" s="82">
        <v>6730000</v>
      </c>
      <c r="E606" s="82">
        <v>6730000</v>
      </c>
      <c r="F606" s="82">
        <v>6730000</v>
      </c>
      <c r="G606" s="82">
        <v>6730000</v>
      </c>
      <c r="I606" s="98">
        <v>0</v>
      </c>
      <c r="J606" s="98">
        <v>0</v>
      </c>
      <c r="K606" s="98">
        <v>0</v>
      </c>
      <c r="M606" s="7">
        <f t="shared" si="100"/>
        <v>0</v>
      </c>
      <c r="N606" s="7">
        <f t="shared" si="109"/>
        <v>0</v>
      </c>
      <c r="O606" s="7">
        <f t="shared" si="108"/>
        <v>40000</v>
      </c>
      <c r="P606" s="99">
        <f t="shared" si="101"/>
        <v>5.9790732436472349E-3</v>
      </c>
      <c r="Q606" s="99">
        <f t="shared" si="110"/>
        <v>1.739365988855367E-2</v>
      </c>
      <c r="S606" s="7">
        <f t="shared" si="102"/>
        <v>7403000.0000000009</v>
      </c>
      <c r="T606" s="7">
        <f t="shared" si="103"/>
        <v>2243333.3333333335</v>
      </c>
      <c r="U606" s="7">
        <f t="shared" si="104"/>
        <v>12930000</v>
      </c>
      <c r="V606" s="7">
        <f t="shared" si="105"/>
        <v>0</v>
      </c>
      <c r="W606" s="7">
        <f t="shared" si="106"/>
        <v>0</v>
      </c>
      <c r="X606" s="7">
        <f t="shared" si="107"/>
        <v>0</v>
      </c>
    </row>
    <row r="607" spans="1:24">
      <c r="A607">
        <v>606</v>
      </c>
      <c r="B607" s="96" t="s">
        <v>2997</v>
      </c>
      <c r="C607" s="95">
        <v>41067</v>
      </c>
      <c r="D607" s="82">
        <v>6800000</v>
      </c>
      <c r="E607" s="82">
        <v>6800000</v>
      </c>
      <c r="F607" s="82">
        <v>6800000</v>
      </c>
      <c r="G607" s="82">
        <v>6800000</v>
      </c>
      <c r="I607" s="82">
        <f>G607*1.1</f>
        <v>7480000.0000000009</v>
      </c>
      <c r="J607" s="82">
        <f>G607/3</f>
        <v>2266666.6666666665</v>
      </c>
      <c r="K607" s="7">
        <f>G875</f>
        <v>12560000</v>
      </c>
      <c r="L607" s="7">
        <f>K607-I607</f>
        <v>5079999.9999999991</v>
      </c>
      <c r="M607" s="7">
        <f t="shared" si="100"/>
        <v>283333.33333333331</v>
      </c>
      <c r="N607" s="7">
        <f t="shared" si="109"/>
        <v>5363333.3333333321</v>
      </c>
      <c r="O607" s="7">
        <f t="shared" si="108"/>
        <v>70000</v>
      </c>
      <c r="P607" s="99">
        <f t="shared" si="101"/>
        <v>1.0401188707280832E-2</v>
      </c>
      <c r="Q607" s="99">
        <f t="shared" si="110"/>
        <v>1.4254192098766254E-2</v>
      </c>
      <c r="R607">
        <v>1</v>
      </c>
      <c r="S607" s="7">
        <f t="shared" si="102"/>
        <v>7480000.0000000009</v>
      </c>
      <c r="T607" s="7">
        <f t="shared" si="103"/>
        <v>2266666.6666666665</v>
      </c>
      <c r="U607" s="7">
        <f t="shared" si="104"/>
        <v>12560000</v>
      </c>
      <c r="V607" s="7">
        <f t="shared" si="105"/>
        <v>5079999.9999999991</v>
      </c>
      <c r="W607" s="7">
        <f t="shared" si="106"/>
        <v>283333.33333333331</v>
      </c>
      <c r="X607" s="7">
        <f t="shared" si="107"/>
        <v>5363333.3333333321</v>
      </c>
    </row>
    <row r="608" spans="1:24">
      <c r="A608">
        <v>607</v>
      </c>
      <c r="B608" s="96" t="s">
        <v>2996</v>
      </c>
      <c r="C608" s="95">
        <v>41069</v>
      </c>
      <c r="D608" s="82">
        <v>6810000</v>
      </c>
      <c r="E608" s="82">
        <v>6810000</v>
      </c>
      <c r="F608" s="82">
        <v>6810000</v>
      </c>
      <c r="G608" s="82">
        <v>6810000</v>
      </c>
      <c r="I608" s="97">
        <v>0</v>
      </c>
      <c r="J608" s="97">
        <v>0</v>
      </c>
      <c r="K608" s="97">
        <v>0</v>
      </c>
      <c r="M608" s="7">
        <f t="shared" si="100"/>
        <v>0</v>
      </c>
      <c r="N608" s="7">
        <f t="shared" si="109"/>
        <v>0</v>
      </c>
      <c r="O608" s="7">
        <f t="shared" si="108"/>
        <v>10000</v>
      </c>
      <c r="P608" s="99">
        <f t="shared" si="101"/>
        <v>1.4705882352941176E-3</v>
      </c>
      <c r="Q608" s="99">
        <f t="shared" si="110"/>
        <v>3.3691525384360342E-2</v>
      </c>
      <c r="S608" s="7">
        <f t="shared" si="102"/>
        <v>7491000.0000000009</v>
      </c>
      <c r="T608" s="7">
        <f t="shared" si="103"/>
        <v>2270000</v>
      </c>
      <c r="U608" s="7">
        <f t="shared" si="104"/>
        <v>13240000</v>
      </c>
      <c r="V608" s="7">
        <f t="shared" si="105"/>
        <v>0</v>
      </c>
      <c r="W608" s="7">
        <f t="shared" si="106"/>
        <v>0</v>
      </c>
      <c r="X608" s="7">
        <f t="shared" si="107"/>
        <v>0</v>
      </c>
    </row>
    <row r="609" spans="1:24">
      <c r="A609">
        <v>608</v>
      </c>
      <c r="B609" s="96" t="s">
        <v>2995</v>
      </c>
      <c r="C609" s="95">
        <v>41070</v>
      </c>
      <c r="D609" s="82">
        <v>6870000</v>
      </c>
      <c r="E609" s="82">
        <v>6870000</v>
      </c>
      <c r="F609" s="82">
        <v>6870000</v>
      </c>
      <c r="G609" s="82">
        <v>6870000</v>
      </c>
      <c r="I609" s="97">
        <v>0</v>
      </c>
      <c r="J609" s="97">
        <v>0</v>
      </c>
      <c r="K609" s="97">
        <v>0</v>
      </c>
      <c r="M609" s="7">
        <f t="shared" si="100"/>
        <v>0</v>
      </c>
      <c r="N609" s="7">
        <f t="shared" si="109"/>
        <v>0</v>
      </c>
      <c r="O609" s="7">
        <f t="shared" si="108"/>
        <v>60000</v>
      </c>
      <c r="P609" s="99">
        <f t="shared" si="101"/>
        <v>8.8105726872246704E-3</v>
      </c>
      <c r="Q609" s="99">
        <f t="shared" si="110"/>
        <v>3.2122599941842911E-2</v>
      </c>
      <c r="S609" s="7">
        <f t="shared" si="102"/>
        <v>7557000.0000000009</v>
      </c>
      <c r="T609" s="7">
        <f t="shared" si="103"/>
        <v>2290000</v>
      </c>
      <c r="U609" s="7">
        <f t="shared" si="104"/>
        <v>13280000</v>
      </c>
      <c r="V609" s="7">
        <f t="shared" si="105"/>
        <v>0</v>
      </c>
      <c r="W609" s="7">
        <f t="shared" si="106"/>
        <v>0</v>
      </c>
      <c r="X609" s="7">
        <f t="shared" si="107"/>
        <v>0</v>
      </c>
    </row>
    <row r="610" spans="1:24">
      <c r="A610">
        <v>609</v>
      </c>
      <c r="B610" s="96" t="s">
        <v>2994</v>
      </c>
      <c r="C610" s="95">
        <v>41071</v>
      </c>
      <c r="D610" s="82">
        <v>6850000</v>
      </c>
      <c r="E610" s="82">
        <v>6850000</v>
      </c>
      <c r="F610" s="82">
        <v>6850000</v>
      </c>
      <c r="G610" s="82">
        <v>6850000</v>
      </c>
      <c r="I610" s="97">
        <v>0</v>
      </c>
      <c r="J610" s="97">
        <v>0</v>
      </c>
      <c r="K610" s="97">
        <v>0</v>
      </c>
      <c r="M610" s="7">
        <f t="shared" si="100"/>
        <v>0</v>
      </c>
      <c r="N610" s="7">
        <f t="shared" si="109"/>
        <v>0</v>
      </c>
      <c r="O610" s="7">
        <f t="shared" si="108"/>
        <v>-20000</v>
      </c>
      <c r="P610" s="99">
        <f t="shared" si="101"/>
        <v>-2.911208151382824E-3</v>
      </c>
      <c r="Q610" s="99">
        <f t="shared" si="110"/>
        <v>7.599839295734245E-3</v>
      </c>
      <c r="S610" s="7">
        <f t="shared" si="102"/>
        <v>7535000.0000000009</v>
      </c>
      <c r="T610" s="7">
        <f t="shared" si="103"/>
        <v>2283333.3333333335</v>
      </c>
      <c r="U610" s="7">
        <f t="shared" si="104"/>
        <v>13215000</v>
      </c>
      <c r="V610" s="7">
        <f t="shared" si="105"/>
        <v>0</v>
      </c>
      <c r="W610" s="7">
        <f t="shared" si="106"/>
        <v>0</v>
      </c>
      <c r="X610" s="7">
        <f t="shared" si="107"/>
        <v>0</v>
      </c>
    </row>
    <row r="611" spans="1:24">
      <c r="A611">
        <v>610</v>
      </c>
      <c r="B611" s="96" t="s">
        <v>2993</v>
      </c>
      <c r="C611" s="95">
        <v>41072</v>
      </c>
      <c r="D611" s="82">
        <v>6765000</v>
      </c>
      <c r="E611" s="82">
        <v>6765000</v>
      </c>
      <c r="F611" s="82">
        <v>6765000</v>
      </c>
      <c r="G611" s="82">
        <v>6765000</v>
      </c>
      <c r="I611" s="98">
        <v>0</v>
      </c>
      <c r="J611" s="98">
        <v>0</v>
      </c>
      <c r="K611" s="98">
        <v>0</v>
      </c>
      <c r="M611" s="7">
        <f t="shared" si="100"/>
        <v>0</v>
      </c>
      <c r="N611" s="7">
        <f t="shared" si="109"/>
        <v>0</v>
      </c>
      <c r="O611" s="7">
        <f t="shared" si="108"/>
        <v>-85000</v>
      </c>
      <c r="P611" s="99">
        <f t="shared" si="101"/>
        <v>-1.2408759124087591E-2</v>
      </c>
      <c r="Q611" s="99">
        <f t="shared" si="110"/>
        <v>2.3750214722064029E-2</v>
      </c>
      <c r="S611" s="7">
        <f t="shared" si="102"/>
        <v>7441500.0000000009</v>
      </c>
      <c r="T611" s="7">
        <f t="shared" si="103"/>
        <v>2255000</v>
      </c>
      <c r="U611" s="7">
        <f t="shared" si="104"/>
        <v>13400000</v>
      </c>
      <c r="V611" s="7">
        <f t="shared" si="105"/>
        <v>0</v>
      </c>
      <c r="W611" s="7">
        <f t="shared" si="106"/>
        <v>0</v>
      </c>
      <c r="X611" s="7">
        <f t="shared" si="107"/>
        <v>0</v>
      </c>
    </row>
    <row r="612" spans="1:24">
      <c r="A612">
        <v>611</v>
      </c>
      <c r="B612" s="96" t="s">
        <v>2992</v>
      </c>
      <c r="C612" s="95">
        <v>41073</v>
      </c>
      <c r="D612" s="82">
        <v>6710000</v>
      </c>
      <c r="E612" s="82">
        <v>6710000</v>
      </c>
      <c r="F612" s="82">
        <v>6710000</v>
      </c>
      <c r="G612" s="82">
        <v>6710000</v>
      </c>
      <c r="I612" s="82">
        <f>G612*1.1</f>
        <v>7381000.0000000009</v>
      </c>
      <c r="J612" s="82">
        <f>G612/3</f>
        <v>2236666.6666666665</v>
      </c>
      <c r="K612" s="7">
        <f>G880</f>
        <v>13180000</v>
      </c>
      <c r="L612" s="7">
        <f>K612-I612</f>
        <v>5798999.9999999991</v>
      </c>
      <c r="M612" s="7">
        <f t="shared" si="100"/>
        <v>279583.33333333331</v>
      </c>
      <c r="N612" s="7">
        <f t="shared" si="109"/>
        <v>6078583.3333333321</v>
      </c>
      <c r="O612" s="7">
        <f t="shared" si="108"/>
        <v>-55000</v>
      </c>
      <c r="P612" s="99">
        <f t="shared" si="101"/>
        <v>-8.130081300813009E-3</v>
      </c>
      <c r="Q612" s="99">
        <f t="shared" si="110"/>
        <v>5.362382354329202E-3</v>
      </c>
      <c r="R612">
        <v>1</v>
      </c>
      <c r="S612" s="7">
        <f t="shared" si="102"/>
        <v>7381000.0000000009</v>
      </c>
      <c r="T612" s="7">
        <f t="shared" si="103"/>
        <v>2236666.6666666665</v>
      </c>
      <c r="U612" s="7">
        <f t="shared" si="104"/>
        <v>13180000</v>
      </c>
      <c r="V612" s="7">
        <f t="shared" si="105"/>
        <v>5798999.9999999991</v>
      </c>
      <c r="W612" s="7">
        <f t="shared" si="106"/>
        <v>279583.33333333331</v>
      </c>
      <c r="X612" s="7">
        <f t="shared" si="107"/>
        <v>6078583.3333333321</v>
      </c>
    </row>
    <row r="613" spans="1:24">
      <c r="A613">
        <v>612</v>
      </c>
      <c r="B613" s="96" t="s">
        <v>2991</v>
      </c>
      <c r="C613" s="95">
        <v>41074</v>
      </c>
      <c r="D613" s="82">
        <v>6765000</v>
      </c>
      <c r="E613" s="82">
        <v>6765000</v>
      </c>
      <c r="F613" s="82">
        <v>6765000</v>
      </c>
      <c r="G613" s="82">
        <v>6765000</v>
      </c>
      <c r="I613" s="97">
        <v>0</v>
      </c>
      <c r="J613" s="97">
        <v>0</v>
      </c>
      <c r="K613" s="97">
        <v>0</v>
      </c>
      <c r="M613" s="7">
        <f t="shared" si="100"/>
        <v>0</v>
      </c>
      <c r="N613" s="7">
        <f t="shared" si="109"/>
        <v>0</v>
      </c>
      <c r="O613" s="7">
        <f t="shared" si="108"/>
        <v>55000</v>
      </c>
      <c r="P613" s="99">
        <f t="shared" si="101"/>
        <v>8.1967213114754103E-3</v>
      </c>
      <c r="Q613" s="99">
        <f t="shared" si="110"/>
        <v>-1.3168887653764637E-2</v>
      </c>
      <c r="S613" s="7">
        <f t="shared" si="102"/>
        <v>7441500.0000000009</v>
      </c>
      <c r="T613" s="7">
        <f t="shared" si="103"/>
        <v>2255000</v>
      </c>
      <c r="U613" s="7">
        <f t="shared" si="104"/>
        <v>13190000</v>
      </c>
      <c r="V613" s="7">
        <f t="shared" si="105"/>
        <v>0</v>
      </c>
      <c r="W613" s="7">
        <f t="shared" si="106"/>
        <v>0</v>
      </c>
      <c r="X613" s="7">
        <f t="shared" si="107"/>
        <v>0</v>
      </c>
    </row>
    <row r="614" spans="1:24">
      <c r="A614">
        <v>613</v>
      </c>
      <c r="B614" s="96" t="s">
        <v>2990</v>
      </c>
      <c r="C614" s="95">
        <v>41076</v>
      </c>
      <c r="D614" s="82">
        <v>6810000</v>
      </c>
      <c r="E614" s="82">
        <v>6810000</v>
      </c>
      <c r="F614" s="82">
        <v>6810000</v>
      </c>
      <c r="G614" s="82">
        <v>6810000</v>
      </c>
      <c r="I614" s="97">
        <v>0</v>
      </c>
      <c r="J614" s="97">
        <v>0</v>
      </c>
      <c r="K614" s="97">
        <v>0</v>
      </c>
      <c r="M614" s="7">
        <f t="shared" si="100"/>
        <v>0</v>
      </c>
      <c r="N614" s="7">
        <f t="shared" si="109"/>
        <v>0</v>
      </c>
      <c r="O614" s="7">
        <f t="shared" si="108"/>
        <v>45000</v>
      </c>
      <c r="P614" s="99">
        <f t="shared" si="101"/>
        <v>6.6518847006651885E-3</v>
      </c>
      <c r="Q614" s="99">
        <f t="shared" si="110"/>
        <v>-6.4427545775833425E-3</v>
      </c>
      <c r="S614" s="7">
        <f t="shared" si="102"/>
        <v>7491000.0000000009</v>
      </c>
      <c r="T614" s="7">
        <f t="shared" si="103"/>
        <v>2270000</v>
      </c>
      <c r="U614" s="7">
        <f t="shared" si="104"/>
        <v>13210000</v>
      </c>
      <c r="V614" s="7">
        <f t="shared" si="105"/>
        <v>0</v>
      </c>
      <c r="W614" s="7">
        <f t="shared" si="106"/>
        <v>0</v>
      </c>
      <c r="X614" s="7">
        <f t="shared" si="107"/>
        <v>0</v>
      </c>
    </row>
    <row r="615" spans="1:24">
      <c r="A615">
        <v>614</v>
      </c>
      <c r="B615" s="96" t="s">
        <v>2989</v>
      </c>
      <c r="C615" s="95">
        <v>41077</v>
      </c>
      <c r="D615" s="82">
        <v>6855000</v>
      </c>
      <c r="E615" s="82">
        <v>6855000</v>
      </c>
      <c r="F615" s="82">
        <v>6855000</v>
      </c>
      <c r="G615" s="82">
        <v>6855000</v>
      </c>
      <c r="I615" s="97">
        <v>0</v>
      </c>
      <c r="J615" s="97">
        <v>0</v>
      </c>
      <c r="K615" s="97">
        <v>0</v>
      </c>
      <c r="M615" s="7">
        <f t="shared" si="100"/>
        <v>0</v>
      </c>
      <c r="N615" s="7">
        <f t="shared" si="109"/>
        <v>0</v>
      </c>
      <c r="O615" s="7">
        <f t="shared" si="108"/>
        <v>45000</v>
      </c>
      <c r="P615" s="99">
        <f t="shared" si="101"/>
        <v>6.6079295154185024E-3</v>
      </c>
      <c r="Q615" s="99">
        <f t="shared" si="110"/>
        <v>-8.601442564142827E-3</v>
      </c>
      <c r="S615" s="7">
        <f t="shared" si="102"/>
        <v>7540500.0000000009</v>
      </c>
      <c r="T615" s="7">
        <f t="shared" si="103"/>
        <v>2285000</v>
      </c>
      <c r="U615" s="7">
        <f t="shared" si="104"/>
        <v>13120000</v>
      </c>
      <c r="V615" s="7">
        <f t="shared" si="105"/>
        <v>0</v>
      </c>
      <c r="W615" s="7">
        <f t="shared" si="106"/>
        <v>0</v>
      </c>
      <c r="X615" s="7">
        <f t="shared" si="107"/>
        <v>0</v>
      </c>
    </row>
    <row r="616" spans="1:24">
      <c r="A616">
        <v>615</v>
      </c>
      <c r="B616" s="96" t="s">
        <v>2988</v>
      </c>
      <c r="C616" s="95">
        <v>41079</v>
      </c>
      <c r="D616" s="82">
        <v>6885000</v>
      </c>
      <c r="E616" s="82">
        <v>6885000</v>
      </c>
      <c r="F616" s="82">
        <v>6885000</v>
      </c>
      <c r="G616" s="82">
        <v>6885000</v>
      </c>
      <c r="I616" s="98">
        <v>0</v>
      </c>
      <c r="J616" s="98">
        <v>0</v>
      </c>
      <c r="K616" s="98">
        <v>0</v>
      </c>
      <c r="M616" s="7">
        <f t="shared" si="100"/>
        <v>0</v>
      </c>
      <c r="N616" s="7">
        <f t="shared" si="109"/>
        <v>0</v>
      </c>
      <c r="O616" s="7">
        <f t="shared" si="108"/>
        <v>30000</v>
      </c>
      <c r="P616" s="99">
        <f t="shared" si="101"/>
        <v>4.3763676148796497E-3</v>
      </c>
      <c r="Q616" s="99">
        <f t="shared" si="110"/>
        <v>9.1769510265850111E-4</v>
      </c>
      <c r="S616" s="7">
        <f t="shared" si="102"/>
        <v>7573500.0000000009</v>
      </c>
      <c r="T616" s="7">
        <f t="shared" si="103"/>
        <v>2295000</v>
      </c>
      <c r="U616" s="7">
        <f t="shared" si="104"/>
        <v>12950000</v>
      </c>
      <c r="V616" s="7">
        <f t="shared" si="105"/>
        <v>0</v>
      </c>
      <c r="W616" s="7">
        <f t="shared" si="106"/>
        <v>0</v>
      </c>
      <c r="X616" s="7">
        <f t="shared" si="107"/>
        <v>0</v>
      </c>
    </row>
    <row r="617" spans="1:24">
      <c r="A617">
        <v>616</v>
      </c>
      <c r="B617" s="96" t="s">
        <v>2987</v>
      </c>
      <c r="C617" s="95">
        <v>41080</v>
      </c>
      <c r="D617" s="82">
        <v>6915000</v>
      </c>
      <c r="E617" s="82">
        <v>6915000</v>
      </c>
      <c r="F617" s="82">
        <v>6915000</v>
      </c>
      <c r="G617" s="82">
        <v>6915000</v>
      </c>
      <c r="I617" s="82">
        <f>G617*1.1</f>
        <v>7606500.0000000009</v>
      </c>
      <c r="J617" s="82">
        <f>G617/3</f>
        <v>2305000</v>
      </c>
      <c r="K617" s="7">
        <f>G885</f>
        <v>13050000</v>
      </c>
      <c r="L617" s="7">
        <f>K617-I617</f>
        <v>5443499.9999999991</v>
      </c>
      <c r="M617" s="7">
        <f t="shared" si="100"/>
        <v>288125</v>
      </c>
      <c r="N617" s="7">
        <f t="shared" si="109"/>
        <v>5731624.9999999991</v>
      </c>
      <c r="O617" s="7">
        <f t="shared" si="108"/>
        <v>30000</v>
      </c>
      <c r="P617" s="99">
        <f t="shared" si="101"/>
        <v>4.3572984749455342E-3</v>
      </c>
      <c r="Q617" s="99">
        <f t="shared" si="110"/>
        <v>1.7702821841625742E-2</v>
      </c>
      <c r="R617">
        <v>1</v>
      </c>
      <c r="S617" s="7">
        <f t="shared" si="102"/>
        <v>7606500.0000000009</v>
      </c>
      <c r="T617" s="7">
        <f t="shared" si="103"/>
        <v>2305000</v>
      </c>
      <c r="U617" s="7">
        <f t="shared" si="104"/>
        <v>13050000</v>
      </c>
      <c r="V617" s="7">
        <f t="shared" si="105"/>
        <v>5443499.9999999991</v>
      </c>
      <c r="W617" s="7">
        <f t="shared" si="106"/>
        <v>288125</v>
      </c>
      <c r="X617" s="7">
        <f t="shared" si="107"/>
        <v>5731624.9999999991</v>
      </c>
    </row>
    <row r="618" spans="1:24">
      <c r="A618">
        <v>617</v>
      </c>
      <c r="B618" s="96" t="s">
        <v>2986</v>
      </c>
      <c r="C618" s="95">
        <v>41081</v>
      </c>
      <c r="D618" s="82">
        <v>6885000</v>
      </c>
      <c r="E618" s="82">
        <v>6885000</v>
      </c>
      <c r="F618" s="82">
        <v>6885000</v>
      </c>
      <c r="G618" s="82">
        <v>6885000</v>
      </c>
      <c r="I618" s="97">
        <v>0</v>
      </c>
      <c r="J618" s="97">
        <v>0</v>
      </c>
      <c r="K618" s="97">
        <v>0</v>
      </c>
      <c r="M618" s="7">
        <f t="shared" si="100"/>
        <v>0</v>
      </c>
      <c r="N618" s="7">
        <f t="shared" si="109"/>
        <v>0</v>
      </c>
      <c r="O618" s="7">
        <f t="shared" si="108"/>
        <v>-30000</v>
      </c>
      <c r="P618" s="99">
        <f t="shared" si="101"/>
        <v>-4.3383947939262474E-3</v>
      </c>
      <c r="Q618" s="99">
        <f t="shared" si="110"/>
        <v>3.0190201617384282E-2</v>
      </c>
      <c r="S618" s="7">
        <f t="shared" si="102"/>
        <v>7573500.0000000009</v>
      </c>
      <c r="T618" s="7">
        <f t="shared" si="103"/>
        <v>2295000</v>
      </c>
      <c r="U618" s="7">
        <f t="shared" si="104"/>
        <v>13050000</v>
      </c>
      <c r="V618" s="7">
        <f t="shared" si="105"/>
        <v>0</v>
      </c>
      <c r="W618" s="7">
        <f t="shared" si="106"/>
        <v>0</v>
      </c>
      <c r="X618" s="7">
        <f t="shared" si="107"/>
        <v>0</v>
      </c>
    </row>
    <row r="619" spans="1:24">
      <c r="A619">
        <v>618</v>
      </c>
      <c r="B619" s="96" t="s">
        <v>2985</v>
      </c>
      <c r="C619" s="95">
        <v>41083</v>
      </c>
      <c r="D619" s="82">
        <v>6940000</v>
      </c>
      <c r="E619" s="82">
        <v>6940000</v>
      </c>
      <c r="F619" s="82">
        <v>6940000</v>
      </c>
      <c r="G619" s="82">
        <v>6940000</v>
      </c>
      <c r="I619" s="97">
        <v>0</v>
      </c>
      <c r="J619" s="97">
        <v>0</v>
      </c>
      <c r="K619" s="97">
        <v>0</v>
      </c>
      <c r="M619" s="7">
        <f t="shared" si="100"/>
        <v>0</v>
      </c>
      <c r="N619" s="7">
        <f t="shared" si="109"/>
        <v>0</v>
      </c>
      <c r="O619" s="7">
        <f t="shared" si="108"/>
        <v>55000</v>
      </c>
      <c r="P619" s="99">
        <f t="shared" si="101"/>
        <v>7.988380537400145E-3</v>
      </c>
      <c r="Q619" s="99">
        <f t="shared" si="110"/>
        <v>1.7655085511982627E-2</v>
      </c>
      <c r="S619" s="7">
        <f t="shared" si="102"/>
        <v>7634000.0000000009</v>
      </c>
      <c r="T619" s="7">
        <f t="shared" si="103"/>
        <v>2313333.3333333335</v>
      </c>
      <c r="U619" s="7">
        <f t="shared" si="104"/>
        <v>12900000</v>
      </c>
      <c r="V619" s="7">
        <f t="shared" si="105"/>
        <v>0</v>
      </c>
      <c r="W619" s="7">
        <f t="shared" si="106"/>
        <v>0</v>
      </c>
      <c r="X619" s="7">
        <f t="shared" si="107"/>
        <v>0</v>
      </c>
    </row>
    <row r="620" spans="1:24">
      <c r="A620">
        <v>619</v>
      </c>
      <c r="B620" s="96" t="s">
        <v>2984</v>
      </c>
      <c r="C620" s="95">
        <v>41084</v>
      </c>
      <c r="D620" s="82">
        <v>7050000</v>
      </c>
      <c r="E620" s="82">
        <v>7050000</v>
      </c>
      <c r="F620" s="82">
        <v>7050000</v>
      </c>
      <c r="G620" s="82">
        <v>7050000</v>
      </c>
      <c r="I620" s="97">
        <v>0</v>
      </c>
      <c r="J620" s="97">
        <v>0</v>
      </c>
      <c r="K620" s="97">
        <v>0</v>
      </c>
      <c r="M620" s="7">
        <f t="shared" si="100"/>
        <v>0</v>
      </c>
      <c r="N620" s="7">
        <f t="shared" si="109"/>
        <v>0</v>
      </c>
      <c r="O620" s="7">
        <f t="shared" si="108"/>
        <v>110000</v>
      </c>
      <c r="P620" s="99">
        <f t="shared" si="101"/>
        <v>1.5850144092219021E-2</v>
      </c>
      <c r="Q620" s="99">
        <f t="shared" si="110"/>
        <v>1.8991581348717583E-2</v>
      </c>
      <c r="S620" s="7">
        <f t="shared" si="102"/>
        <v>7755000.0000000009</v>
      </c>
      <c r="T620" s="7">
        <f t="shared" si="103"/>
        <v>2350000</v>
      </c>
      <c r="U620" s="7">
        <f t="shared" si="104"/>
        <v>12800000</v>
      </c>
      <c r="V620" s="7">
        <f t="shared" si="105"/>
        <v>0</v>
      </c>
      <c r="W620" s="7">
        <f t="shared" si="106"/>
        <v>0</v>
      </c>
      <c r="X620" s="7">
        <f t="shared" si="107"/>
        <v>0</v>
      </c>
    </row>
    <row r="621" spans="1:24">
      <c r="A621">
        <v>620</v>
      </c>
      <c r="B621" s="96" t="s">
        <v>2983</v>
      </c>
      <c r="C621" s="95">
        <v>41085</v>
      </c>
      <c r="D621" s="82">
        <v>7030000</v>
      </c>
      <c r="E621" s="82">
        <v>7030000</v>
      </c>
      <c r="F621" s="82">
        <v>7030000</v>
      </c>
      <c r="G621" s="82">
        <v>7030000</v>
      </c>
      <c r="I621" s="98">
        <v>0</v>
      </c>
      <c r="J621" s="98">
        <v>0</v>
      </c>
      <c r="K621" s="98">
        <v>0</v>
      </c>
      <c r="M621" s="7">
        <f t="shared" si="100"/>
        <v>0</v>
      </c>
      <c r="N621" s="7">
        <f t="shared" si="109"/>
        <v>0</v>
      </c>
      <c r="O621" s="7">
        <f t="shared" si="108"/>
        <v>-20000</v>
      </c>
      <c r="P621" s="99">
        <f t="shared" si="101"/>
        <v>-2.8368794326241137E-3</v>
      </c>
      <c r="Q621" s="99">
        <f t="shared" si="110"/>
        <v>2.8233795925518102E-2</v>
      </c>
      <c r="S621" s="7">
        <f t="shared" si="102"/>
        <v>7733000.0000000009</v>
      </c>
      <c r="T621" s="7">
        <f t="shared" si="103"/>
        <v>2343333.3333333335</v>
      </c>
      <c r="U621" s="7">
        <f t="shared" si="104"/>
        <v>12630000</v>
      </c>
      <c r="V621" s="7">
        <f t="shared" si="105"/>
        <v>0</v>
      </c>
      <c r="W621" s="7">
        <f t="shared" si="106"/>
        <v>0</v>
      </c>
      <c r="X621" s="7">
        <f t="shared" si="107"/>
        <v>0</v>
      </c>
    </row>
    <row r="622" spans="1:24">
      <c r="A622">
        <v>621</v>
      </c>
      <c r="B622" s="96" t="s">
        <v>2982</v>
      </c>
      <c r="C622" s="95">
        <v>41086</v>
      </c>
      <c r="D622" s="82">
        <v>7190000</v>
      </c>
      <c r="E622" s="82">
        <v>7190000</v>
      </c>
      <c r="F622" s="82">
        <v>7190000</v>
      </c>
      <c r="G622" s="82">
        <v>7190000</v>
      </c>
      <c r="I622" s="82">
        <f>G622*1.1</f>
        <v>7909000.0000000009</v>
      </c>
      <c r="J622" s="82">
        <f>G622/3</f>
        <v>2396666.6666666665</v>
      </c>
      <c r="K622" s="7">
        <f>G890</f>
        <v>12990000</v>
      </c>
      <c r="L622" s="7">
        <f>K622-I622</f>
        <v>5080999.9999999991</v>
      </c>
      <c r="M622" s="7">
        <f t="shared" si="100"/>
        <v>299583.33333333331</v>
      </c>
      <c r="N622" s="7">
        <f t="shared" si="109"/>
        <v>5380583.3333333321</v>
      </c>
      <c r="O622" s="7">
        <f t="shared" si="108"/>
        <v>160000</v>
      </c>
      <c r="P622" s="99">
        <f t="shared" si="101"/>
        <v>2.2759601706970129E-2</v>
      </c>
      <c r="Q622" s="99">
        <f t="shared" si="110"/>
        <v>2.1020548878014338E-2</v>
      </c>
      <c r="R622">
        <v>1</v>
      </c>
      <c r="S622" s="7">
        <f t="shared" si="102"/>
        <v>7909000.0000000009</v>
      </c>
      <c r="T622" s="7">
        <f t="shared" si="103"/>
        <v>2396666.6666666665</v>
      </c>
      <c r="U622" s="7">
        <f t="shared" si="104"/>
        <v>12990000</v>
      </c>
      <c r="V622" s="7">
        <f t="shared" si="105"/>
        <v>5080999.9999999991</v>
      </c>
      <c r="W622" s="7">
        <f t="shared" si="106"/>
        <v>299583.33333333331</v>
      </c>
      <c r="X622" s="7">
        <f t="shared" si="107"/>
        <v>5380583.3333333321</v>
      </c>
    </row>
    <row r="623" spans="1:24">
      <c r="A623">
        <v>622</v>
      </c>
      <c r="B623" s="96" t="s">
        <v>2981</v>
      </c>
      <c r="C623" s="95">
        <v>41087</v>
      </c>
      <c r="D623" s="82">
        <v>7290000</v>
      </c>
      <c r="E623" s="82">
        <v>7290000</v>
      </c>
      <c r="F623" s="82">
        <v>7290000</v>
      </c>
      <c r="G623" s="82">
        <v>7290000</v>
      </c>
      <c r="I623" s="97">
        <v>0</v>
      </c>
      <c r="J623" s="97">
        <v>0</v>
      </c>
      <c r="K623" s="97">
        <v>0</v>
      </c>
      <c r="M623" s="7">
        <f t="shared" si="100"/>
        <v>0</v>
      </c>
      <c r="N623" s="7">
        <f t="shared" si="109"/>
        <v>0</v>
      </c>
      <c r="O623" s="7">
        <f t="shared" si="108"/>
        <v>100000</v>
      </c>
      <c r="P623" s="99">
        <f t="shared" si="101"/>
        <v>1.3908205841446454E-2</v>
      </c>
      <c r="Q623" s="99">
        <f t="shared" si="110"/>
        <v>3.9422852110038931E-2</v>
      </c>
      <c r="S623" s="7">
        <f t="shared" si="102"/>
        <v>8019000.0000000009</v>
      </c>
      <c r="T623" s="7">
        <f t="shared" si="103"/>
        <v>2430000</v>
      </c>
      <c r="U623" s="7">
        <f t="shared" si="104"/>
        <v>13080000</v>
      </c>
      <c r="V623" s="7">
        <f t="shared" si="105"/>
        <v>0</v>
      </c>
      <c r="W623" s="7">
        <f t="shared" si="106"/>
        <v>0</v>
      </c>
      <c r="X623" s="7">
        <f t="shared" si="107"/>
        <v>0</v>
      </c>
    </row>
    <row r="624" spans="1:24">
      <c r="A624">
        <v>623</v>
      </c>
      <c r="B624" s="96" t="s">
        <v>2980</v>
      </c>
      <c r="C624" s="95">
        <v>41088</v>
      </c>
      <c r="D624" s="82">
        <v>7760000</v>
      </c>
      <c r="E624" s="82">
        <v>7760000</v>
      </c>
      <c r="F624" s="82">
        <v>7760000</v>
      </c>
      <c r="G624" s="82">
        <v>7760000</v>
      </c>
      <c r="I624" s="97">
        <v>0</v>
      </c>
      <c r="J624" s="97">
        <v>0</v>
      </c>
      <c r="K624" s="97">
        <v>0</v>
      </c>
      <c r="M624" s="7">
        <f t="shared" si="100"/>
        <v>0</v>
      </c>
      <c r="N624" s="7">
        <f t="shared" si="109"/>
        <v>0</v>
      </c>
      <c r="O624" s="7">
        <f t="shared" si="108"/>
        <v>470000</v>
      </c>
      <c r="P624" s="99">
        <f t="shared" si="101"/>
        <v>6.4471879286694095E-2</v>
      </c>
      <c r="Q624" s="99">
        <f t="shared" si="110"/>
        <v>5.7669452745411638E-2</v>
      </c>
      <c r="S624" s="7">
        <f t="shared" si="102"/>
        <v>8536000</v>
      </c>
      <c r="T624" s="7">
        <f t="shared" si="103"/>
        <v>2586666.6666666665</v>
      </c>
      <c r="U624" s="7">
        <f t="shared" si="104"/>
        <v>12120000</v>
      </c>
      <c r="V624" s="7">
        <f t="shared" si="105"/>
        <v>0</v>
      </c>
      <c r="W624" s="7">
        <f t="shared" si="106"/>
        <v>0</v>
      </c>
      <c r="X624" s="7">
        <f t="shared" si="107"/>
        <v>0</v>
      </c>
    </row>
    <row r="625" spans="1:24">
      <c r="A625">
        <v>624</v>
      </c>
      <c r="B625" s="96" t="s">
        <v>2979</v>
      </c>
      <c r="C625" s="95">
        <v>41089</v>
      </c>
      <c r="D625" s="82">
        <v>7700000</v>
      </c>
      <c r="E625" s="82">
        <v>7700000</v>
      </c>
      <c r="F625" s="82">
        <v>7700000</v>
      </c>
      <c r="G625" s="82">
        <v>7700000</v>
      </c>
      <c r="I625" s="97">
        <v>0</v>
      </c>
      <c r="J625" s="97">
        <v>0</v>
      </c>
      <c r="K625" s="97">
        <v>0</v>
      </c>
      <c r="M625" s="7">
        <f t="shared" si="100"/>
        <v>0</v>
      </c>
      <c r="N625" s="7">
        <f t="shared" si="109"/>
        <v>0</v>
      </c>
      <c r="O625" s="7">
        <f t="shared" si="108"/>
        <v>-60000</v>
      </c>
      <c r="P625" s="99">
        <f t="shared" si="101"/>
        <v>-7.7319587628865982E-3</v>
      </c>
      <c r="Q625" s="99">
        <f t="shared" si="110"/>
        <v>0.11415295149470558</v>
      </c>
      <c r="S625" s="7">
        <f t="shared" si="102"/>
        <v>8470000</v>
      </c>
      <c r="T625" s="7">
        <f t="shared" si="103"/>
        <v>2566666.6666666665</v>
      </c>
      <c r="U625" s="7">
        <f t="shared" si="104"/>
        <v>12600000</v>
      </c>
      <c r="V625" s="7">
        <f t="shared" si="105"/>
        <v>0</v>
      </c>
      <c r="W625" s="7">
        <f t="shared" si="106"/>
        <v>0</v>
      </c>
      <c r="X625" s="7">
        <f t="shared" si="107"/>
        <v>0</v>
      </c>
    </row>
    <row r="626" spans="1:24">
      <c r="A626">
        <v>625</v>
      </c>
      <c r="B626" s="96" t="s">
        <v>2978</v>
      </c>
      <c r="C626" s="95">
        <v>41090</v>
      </c>
      <c r="D626" s="82">
        <v>7540000</v>
      </c>
      <c r="E626" s="82">
        <v>7500000</v>
      </c>
      <c r="F626" s="82">
        <v>7870000</v>
      </c>
      <c r="G626" s="82">
        <v>7630000</v>
      </c>
      <c r="I626" s="98">
        <v>0</v>
      </c>
      <c r="J626" s="98">
        <v>0</v>
      </c>
      <c r="K626" s="98">
        <v>0</v>
      </c>
      <c r="M626" s="7">
        <f t="shared" si="100"/>
        <v>0</v>
      </c>
      <c r="N626" s="7">
        <f t="shared" si="109"/>
        <v>0</v>
      </c>
      <c r="O626" s="7">
        <f t="shared" si="108"/>
        <v>-70000</v>
      </c>
      <c r="P626" s="99">
        <f t="shared" si="101"/>
        <v>-9.0909090909090905E-3</v>
      </c>
      <c r="Q626" s="99">
        <f t="shared" si="110"/>
        <v>9.0570848639599966E-2</v>
      </c>
      <c r="S626" s="7">
        <f t="shared" si="102"/>
        <v>8393000</v>
      </c>
      <c r="T626" s="7">
        <f t="shared" si="103"/>
        <v>2543333.3333333335</v>
      </c>
      <c r="U626" s="7">
        <f t="shared" si="104"/>
        <v>12550000</v>
      </c>
      <c r="V626" s="7">
        <f t="shared" si="105"/>
        <v>0</v>
      </c>
      <c r="W626" s="7">
        <f t="shared" si="106"/>
        <v>0</v>
      </c>
      <c r="X626" s="7">
        <f t="shared" si="107"/>
        <v>0</v>
      </c>
    </row>
    <row r="627" spans="1:24">
      <c r="A627">
        <v>626</v>
      </c>
      <c r="B627" s="96" t="s">
        <v>2977</v>
      </c>
      <c r="C627" s="95">
        <v>41091</v>
      </c>
      <c r="D627" s="82">
        <v>7620000</v>
      </c>
      <c r="E627" s="82">
        <v>7390000</v>
      </c>
      <c r="F627" s="82">
        <v>7630000</v>
      </c>
      <c r="G627" s="82">
        <v>7410000</v>
      </c>
      <c r="I627" s="82">
        <f>G627*1.1</f>
        <v>8151000.0000000009</v>
      </c>
      <c r="J627" s="82">
        <f>G627/3</f>
        <v>2470000</v>
      </c>
      <c r="K627" s="7">
        <f>G895</f>
        <v>12350000</v>
      </c>
      <c r="L627" s="7">
        <f>K627-I627</f>
        <v>4198999.9999999991</v>
      </c>
      <c r="M627" s="7">
        <f t="shared" si="100"/>
        <v>308750</v>
      </c>
      <c r="N627" s="7">
        <f t="shared" si="109"/>
        <v>4507749.9999999991</v>
      </c>
      <c r="O627" s="7">
        <f t="shared" si="108"/>
        <v>-220000</v>
      </c>
      <c r="P627" s="99">
        <f t="shared" si="101"/>
        <v>-2.8833551769331587E-2</v>
      </c>
      <c r="Q627" s="99">
        <f t="shared" si="110"/>
        <v>8.4316818981314989E-2</v>
      </c>
      <c r="R627">
        <v>1</v>
      </c>
      <c r="S627" s="7">
        <f t="shared" si="102"/>
        <v>8151000.0000000009</v>
      </c>
      <c r="T627" s="7">
        <f t="shared" si="103"/>
        <v>2470000</v>
      </c>
      <c r="U627" s="7">
        <f t="shared" si="104"/>
        <v>12350000</v>
      </c>
      <c r="V627" s="7">
        <f t="shared" si="105"/>
        <v>4198999.9999999991</v>
      </c>
      <c r="W627" s="7">
        <f t="shared" si="106"/>
        <v>308750</v>
      </c>
      <c r="X627" s="7">
        <f t="shared" si="107"/>
        <v>4507749.9999999991</v>
      </c>
    </row>
    <row r="628" spans="1:24">
      <c r="A628">
        <v>627</v>
      </c>
      <c r="B628" s="96" t="s">
        <v>2976</v>
      </c>
      <c r="C628" s="95">
        <v>41092</v>
      </c>
      <c r="D628" s="82">
        <v>7340000</v>
      </c>
      <c r="E628" s="82">
        <v>7220000</v>
      </c>
      <c r="F628" s="82">
        <v>7370000</v>
      </c>
      <c r="G628" s="82">
        <v>7280000</v>
      </c>
      <c r="I628" s="97">
        <v>0</v>
      </c>
      <c r="J628" s="97">
        <v>0</v>
      </c>
      <c r="K628" s="97">
        <v>0</v>
      </c>
      <c r="M628" s="7">
        <f t="shared" si="100"/>
        <v>0</v>
      </c>
      <c r="N628" s="7">
        <f t="shared" si="109"/>
        <v>0</v>
      </c>
      <c r="O628" s="7">
        <f t="shared" si="108"/>
        <v>-130000</v>
      </c>
      <c r="P628" s="99">
        <f t="shared" si="101"/>
        <v>-1.7543859649122806E-2</v>
      </c>
      <c r="Q628" s="99">
        <f t="shared" si="110"/>
        <v>3.2723665505013266E-2</v>
      </c>
      <c r="S628" s="7">
        <f t="shared" si="102"/>
        <v>8008000.0000000009</v>
      </c>
      <c r="T628" s="7">
        <f t="shared" si="103"/>
        <v>2426666.6666666665</v>
      </c>
      <c r="U628" s="7">
        <f t="shared" si="104"/>
        <v>12050000</v>
      </c>
      <c r="V628" s="7">
        <f t="shared" si="105"/>
        <v>0</v>
      </c>
      <c r="W628" s="7">
        <f t="shared" si="106"/>
        <v>0</v>
      </c>
      <c r="X628" s="7">
        <f t="shared" si="107"/>
        <v>0</v>
      </c>
    </row>
    <row r="629" spans="1:24">
      <c r="A629">
        <v>628</v>
      </c>
      <c r="B629" s="96" t="s">
        <v>2975</v>
      </c>
      <c r="C629" s="95">
        <v>41093</v>
      </c>
      <c r="D629" s="82">
        <v>7285000</v>
      </c>
      <c r="E629" s="82">
        <v>7285000</v>
      </c>
      <c r="F629" s="82">
        <v>7550000</v>
      </c>
      <c r="G629" s="82">
        <v>7530000</v>
      </c>
      <c r="I629" s="97">
        <v>0</v>
      </c>
      <c r="J629" s="97">
        <v>0</v>
      </c>
      <c r="K629" s="97">
        <v>0</v>
      </c>
      <c r="M629" s="7">
        <f t="shared" si="100"/>
        <v>0</v>
      </c>
      <c r="N629" s="7">
        <f t="shared" si="109"/>
        <v>0</v>
      </c>
      <c r="O629" s="7">
        <f t="shared" si="108"/>
        <v>250000</v>
      </c>
      <c r="P629" s="99">
        <f t="shared" si="101"/>
        <v>3.4340659340659344E-2</v>
      </c>
      <c r="Q629" s="99">
        <f t="shared" si="110"/>
        <v>1.2716000144440097E-3</v>
      </c>
      <c r="S629" s="7">
        <f t="shared" si="102"/>
        <v>8283000.0000000009</v>
      </c>
      <c r="T629" s="7">
        <f t="shared" si="103"/>
        <v>2510000</v>
      </c>
      <c r="U629" s="7">
        <f t="shared" si="104"/>
        <v>11710000</v>
      </c>
      <c r="V629" s="7">
        <f t="shared" si="105"/>
        <v>0</v>
      </c>
      <c r="W629" s="7">
        <f t="shared" si="106"/>
        <v>0</v>
      </c>
      <c r="X629" s="7">
        <f t="shared" si="107"/>
        <v>0</v>
      </c>
    </row>
    <row r="630" spans="1:24">
      <c r="A630">
        <v>629</v>
      </c>
      <c r="B630" s="96" t="s">
        <v>2974</v>
      </c>
      <c r="C630" s="95">
        <v>41094</v>
      </c>
      <c r="D630" s="82">
        <v>7550000</v>
      </c>
      <c r="E630" s="82">
        <v>7440000</v>
      </c>
      <c r="F630" s="82">
        <v>7550000</v>
      </c>
      <c r="G630" s="82">
        <v>7450000</v>
      </c>
      <c r="I630" s="97">
        <v>0</v>
      </c>
      <c r="J630" s="97">
        <v>0</v>
      </c>
      <c r="K630" s="97">
        <v>0</v>
      </c>
      <c r="M630" s="7">
        <f t="shared" si="100"/>
        <v>0</v>
      </c>
      <c r="N630" s="7">
        <f t="shared" si="109"/>
        <v>0</v>
      </c>
      <c r="O630" s="7">
        <f t="shared" si="108"/>
        <v>-80000</v>
      </c>
      <c r="P630" s="99">
        <f t="shared" si="101"/>
        <v>-1.0624169986719787E-2</v>
      </c>
      <c r="Q630" s="99">
        <f t="shared" si="110"/>
        <v>-2.8859619931590738E-2</v>
      </c>
      <c r="S630" s="7">
        <f t="shared" si="102"/>
        <v>8195000.0000000009</v>
      </c>
      <c r="T630" s="7">
        <f t="shared" si="103"/>
        <v>2483333.3333333335</v>
      </c>
      <c r="U630" s="7">
        <f t="shared" si="104"/>
        <v>11200000</v>
      </c>
      <c r="V630" s="7">
        <f t="shared" si="105"/>
        <v>0</v>
      </c>
      <c r="W630" s="7">
        <f t="shared" si="106"/>
        <v>0</v>
      </c>
      <c r="X630" s="7">
        <f t="shared" si="107"/>
        <v>0</v>
      </c>
    </row>
    <row r="631" spans="1:24">
      <c r="A631">
        <v>630</v>
      </c>
      <c r="B631" s="96" t="s">
        <v>2973</v>
      </c>
      <c r="C631" s="95">
        <v>41097</v>
      </c>
      <c r="D631" s="82">
        <v>7300000</v>
      </c>
      <c r="E631" s="82">
        <v>7230000</v>
      </c>
      <c r="F631" s="82">
        <v>7310000</v>
      </c>
      <c r="G631" s="82">
        <v>7290000</v>
      </c>
      <c r="I631" s="98">
        <v>0</v>
      </c>
      <c r="J631" s="98">
        <v>0</v>
      </c>
      <c r="K631" s="98">
        <v>0</v>
      </c>
      <c r="M631" s="7">
        <f t="shared" si="100"/>
        <v>0</v>
      </c>
      <c r="N631" s="7">
        <f t="shared" si="109"/>
        <v>0</v>
      </c>
      <c r="O631" s="7">
        <f t="shared" si="108"/>
        <v>-160000</v>
      </c>
      <c r="P631" s="99">
        <f t="shared" si="101"/>
        <v>-2.1476510067114093E-2</v>
      </c>
      <c r="Q631" s="99">
        <f t="shared" si="110"/>
        <v>-3.1751831155423925E-2</v>
      </c>
      <c r="S631" s="7">
        <f t="shared" si="102"/>
        <v>8019000.0000000009</v>
      </c>
      <c r="T631" s="7">
        <f t="shared" si="103"/>
        <v>2430000</v>
      </c>
      <c r="U631" s="7">
        <f t="shared" si="104"/>
        <v>10970000</v>
      </c>
      <c r="V631" s="7">
        <f t="shared" si="105"/>
        <v>0</v>
      </c>
      <c r="W631" s="7">
        <f t="shared" si="106"/>
        <v>0</v>
      </c>
      <c r="X631" s="7">
        <f t="shared" si="107"/>
        <v>0</v>
      </c>
    </row>
    <row r="632" spans="1:24">
      <c r="A632">
        <v>631</v>
      </c>
      <c r="B632" s="96" t="s">
        <v>2972</v>
      </c>
      <c r="C632" s="95">
        <v>41098</v>
      </c>
      <c r="D632" s="82">
        <v>7150000</v>
      </c>
      <c r="E632" s="82">
        <v>7120000</v>
      </c>
      <c r="F632" s="82">
        <v>7200000</v>
      </c>
      <c r="G632" s="82">
        <v>7120000</v>
      </c>
      <c r="I632" s="82">
        <f>G632*1.1</f>
        <v>7832000.0000000009</v>
      </c>
      <c r="J632" s="82">
        <f>G632/3</f>
        <v>2373333.3333333335</v>
      </c>
      <c r="K632" s="7">
        <f>G900</f>
        <v>10980000</v>
      </c>
      <c r="L632" s="7">
        <f>K632-I632</f>
        <v>3147999.9999999991</v>
      </c>
      <c r="M632" s="7">
        <f t="shared" si="100"/>
        <v>296666.66666666669</v>
      </c>
      <c r="N632" s="7">
        <f t="shared" si="109"/>
        <v>3444666.6666666656</v>
      </c>
      <c r="O632" s="7">
        <f t="shared" si="108"/>
        <v>-170000</v>
      </c>
      <c r="P632" s="99">
        <f t="shared" si="101"/>
        <v>-2.3319615912208505E-2</v>
      </c>
      <c r="Q632" s="99">
        <f t="shared" si="110"/>
        <v>-4.413743213162892E-2</v>
      </c>
      <c r="R632">
        <v>1</v>
      </c>
      <c r="S632" s="7">
        <f t="shared" si="102"/>
        <v>7832000.0000000009</v>
      </c>
      <c r="T632" s="7">
        <f t="shared" si="103"/>
        <v>2373333.3333333335</v>
      </c>
      <c r="U632" s="7">
        <f t="shared" si="104"/>
        <v>10980000</v>
      </c>
      <c r="V632" s="7">
        <f t="shared" si="105"/>
        <v>3147999.9999999991</v>
      </c>
      <c r="W632" s="7">
        <f t="shared" si="106"/>
        <v>296666.66666666669</v>
      </c>
      <c r="X632" s="7">
        <f t="shared" si="107"/>
        <v>3444666.6666666656</v>
      </c>
    </row>
    <row r="633" spans="1:24">
      <c r="A633">
        <v>632</v>
      </c>
      <c r="B633" s="96" t="s">
        <v>2971</v>
      </c>
      <c r="C633" s="95">
        <v>41099</v>
      </c>
      <c r="D633" s="82">
        <v>7040000</v>
      </c>
      <c r="E633" s="82">
        <v>6990000</v>
      </c>
      <c r="F633" s="82">
        <v>7120000</v>
      </c>
      <c r="G633" s="82">
        <v>7100000</v>
      </c>
      <c r="I633" s="97">
        <v>0</v>
      </c>
      <c r="J633" s="97">
        <v>0</v>
      </c>
      <c r="K633" s="97">
        <v>0</v>
      </c>
      <c r="M633" s="7">
        <f t="shared" si="100"/>
        <v>0</v>
      </c>
      <c r="N633" s="7">
        <f t="shared" si="109"/>
        <v>0</v>
      </c>
      <c r="O633" s="7">
        <f t="shared" si="108"/>
        <v>-20000</v>
      </c>
      <c r="P633" s="99">
        <f t="shared" si="101"/>
        <v>-2.8089887640449437E-3</v>
      </c>
      <c r="Q633" s="99">
        <f t="shared" si="110"/>
        <v>-3.8623496274505849E-2</v>
      </c>
      <c r="S633" s="7">
        <f t="shared" si="102"/>
        <v>7810000.0000000009</v>
      </c>
      <c r="T633" s="7">
        <f t="shared" si="103"/>
        <v>2366666.6666666665</v>
      </c>
      <c r="U633" s="7">
        <f t="shared" si="104"/>
        <v>10900000</v>
      </c>
      <c r="V633" s="7">
        <f t="shared" si="105"/>
        <v>0</v>
      </c>
      <c r="W633" s="7">
        <f t="shared" si="106"/>
        <v>0</v>
      </c>
      <c r="X633" s="7">
        <f t="shared" si="107"/>
        <v>0</v>
      </c>
    </row>
    <row r="634" spans="1:24">
      <c r="A634">
        <v>633</v>
      </c>
      <c r="B634" s="96" t="s">
        <v>2970</v>
      </c>
      <c r="C634" s="95">
        <v>41100</v>
      </c>
      <c r="D634" s="82">
        <v>7200000</v>
      </c>
      <c r="E634" s="82">
        <v>7190000</v>
      </c>
      <c r="F634" s="82">
        <v>7280000</v>
      </c>
      <c r="G634" s="82">
        <v>7240000</v>
      </c>
      <c r="I634" s="97">
        <v>0</v>
      </c>
      <c r="J634" s="97">
        <v>0</v>
      </c>
      <c r="K634" s="97">
        <v>0</v>
      </c>
      <c r="M634" s="7">
        <f t="shared" si="100"/>
        <v>0</v>
      </c>
      <c r="N634" s="7">
        <f t="shared" si="109"/>
        <v>0</v>
      </c>
      <c r="O634" s="7">
        <f t="shared" si="108"/>
        <v>140000</v>
      </c>
      <c r="P634" s="99">
        <f t="shared" si="101"/>
        <v>1.9718309859154931E-2</v>
      </c>
      <c r="Q634" s="99">
        <f t="shared" si="110"/>
        <v>-2.3888625389427983E-2</v>
      </c>
      <c r="S634" s="7">
        <f t="shared" si="102"/>
        <v>7964000.0000000009</v>
      </c>
      <c r="T634" s="7">
        <f t="shared" si="103"/>
        <v>2413333.3333333335</v>
      </c>
      <c r="U634" s="7">
        <f t="shared" si="104"/>
        <v>10830000</v>
      </c>
      <c r="V634" s="7">
        <f t="shared" si="105"/>
        <v>0</v>
      </c>
      <c r="W634" s="7">
        <f t="shared" si="106"/>
        <v>0</v>
      </c>
      <c r="X634" s="7">
        <f t="shared" si="107"/>
        <v>0</v>
      </c>
    </row>
    <row r="635" spans="1:24">
      <c r="A635">
        <v>634</v>
      </c>
      <c r="B635" s="96" t="s">
        <v>2969</v>
      </c>
      <c r="C635" s="95">
        <v>41101</v>
      </c>
      <c r="D635" s="82">
        <v>7150000</v>
      </c>
      <c r="E635" s="82">
        <v>7110000</v>
      </c>
      <c r="F635" s="82">
        <v>7170000</v>
      </c>
      <c r="G635" s="82">
        <v>7110000</v>
      </c>
      <c r="I635" s="97">
        <v>0</v>
      </c>
      <c r="J635" s="97">
        <v>0</v>
      </c>
      <c r="K635" s="97">
        <v>0</v>
      </c>
      <c r="M635" s="7">
        <f t="shared" si="100"/>
        <v>0</v>
      </c>
      <c r="N635" s="7">
        <f t="shared" si="109"/>
        <v>0</v>
      </c>
      <c r="O635" s="7">
        <f t="shared" si="108"/>
        <v>-130000</v>
      </c>
      <c r="P635" s="99">
        <f t="shared" si="101"/>
        <v>-1.7955801104972375E-2</v>
      </c>
      <c r="Q635" s="99">
        <f t="shared" si="110"/>
        <v>-3.8510974870932399E-2</v>
      </c>
      <c r="S635" s="7">
        <f t="shared" si="102"/>
        <v>7821000.0000000009</v>
      </c>
      <c r="T635" s="7">
        <f t="shared" si="103"/>
        <v>2370000</v>
      </c>
      <c r="U635" s="7">
        <f t="shared" si="104"/>
        <v>10950000</v>
      </c>
      <c r="V635" s="7">
        <f t="shared" si="105"/>
        <v>0</v>
      </c>
      <c r="W635" s="7">
        <f t="shared" si="106"/>
        <v>0</v>
      </c>
      <c r="X635" s="7">
        <f t="shared" si="107"/>
        <v>0</v>
      </c>
    </row>
    <row r="636" spans="1:24">
      <c r="A636">
        <v>635</v>
      </c>
      <c r="B636" s="96" t="s">
        <v>2968</v>
      </c>
      <c r="C636" s="95">
        <v>41102</v>
      </c>
      <c r="D636" s="82">
        <v>7090000</v>
      </c>
      <c r="E636" s="82">
        <v>7090000</v>
      </c>
      <c r="F636" s="82">
        <v>7120000</v>
      </c>
      <c r="G636" s="82">
        <v>7120000</v>
      </c>
      <c r="I636" s="98">
        <v>0</v>
      </c>
      <c r="J636" s="98">
        <v>0</v>
      </c>
      <c r="K636" s="98">
        <v>0</v>
      </c>
      <c r="M636" s="7">
        <f t="shared" si="100"/>
        <v>0</v>
      </c>
      <c r="N636" s="7">
        <f t="shared" si="109"/>
        <v>0</v>
      </c>
      <c r="O636" s="7">
        <f t="shared" si="108"/>
        <v>10000</v>
      </c>
      <c r="P636" s="99">
        <f t="shared" si="101"/>
        <v>1.4064697609001407E-3</v>
      </c>
      <c r="Q636" s="99">
        <f t="shared" si="110"/>
        <v>-4.5842605989184992E-2</v>
      </c>
      <c r="S636" s="7">
        <f t="shared" si="102"/>
        <v>7832000.0000000009</v>
      </c>
      <c r="T636" s="7">
        <f t="shared" si="103"/>
        <v>2373333.3333333335</v>
      </c>
      <c r="U636" s="7">
        <f t="shared" si="104"/>
        <v>10900000</v>
      </c>
      <c r="V636" s="7">
        <f t="shared" si="105"/>
        <v>0</v>
      </c>
      <c r="W636" s="7">
        <f t="shared" si="106"/>
        <v>0</v>
      </c>
      <c r="X636" s="7">
        <f t="shared" si="107"/>
        <v>0</v>
      </c>
    </row>
    <row r="637" spans="1:24">
      <c r="A637">
        <v>636</v>
      </c>
      <c r="B637" s="96" t="s">
        <v>2967</v>
      </c>
      <c r="C637" s="95">
        <v>41104</v>
      </c>
      <c r="D637" s="82">
        <v>7220000</v>
      </c>
      <c r="E637" s="82">
        <v>7130000</v>
      </c>
      <c r="F637" s="82">
        <v>7220000</v>
      </c>
      <c r="G637" s="82">
        <v>7130000</v>
      </c>
      <c r="I637" s="82">
        <f>G637*1.1</f>
        <v>7843000.0000000009</v>
      </c>
      <c r="J637" s="82">
        <f>G637/3</f>
        <v>2376666.6666666665</v>
      </c>
      <c r="K637" s="7">
        <f>G905</f>
        <v>11110000</v>
      </c>
      <c r="L637" s="7">
        <f>K637-I637</f>
        <v>3266999.9999999991</v>
      </c>
      <c r="M637" s="7">
        <f t="shared" si="100"/>
        <v>297083.33333333331</v>
      </c>
      <c r="N637" s="7">
        <f t="shared" si="109"/>
        <v>3564083.3333333326</v>
      </c>
      <c r="O637" s="7">
        <f t="shared" si="108"/>
        <v>10000</v>
      </c>
      <c r="P637" s="99">
        <f t="shared" si="101"/>
        <v>1.4044943820224719E-3</v>
      </c>
      <c r="Q637" s="99">
        <f t="shared" si="110"/>
        <v>-2.2959626161170751E-2</v>
      </c>
      <c r="R637">
        <v>1</v>
      </c>
      <c r="S637" s="7">
        <f t="shared" si="102"/>
        <v>7843000.0000000009</v>
      </c>
      <c r="T637" s="7">
        <f t="shared" si="103"/>
        <v>2376666.6666666665</v>
      </c>
      <c r="U637" s="7">
        <f t="shared" si="104"/>
        <v>11110000</v>
      </c>
      <c r="V637" s="7">
        <f t="shared" si="105"/>
        <v>3266999.9999999991</v>
      </c>
      <c r="W637" s="7">
        <f t="shared" si="106"/>
        <v>297083.33333333331</v>
      </c>
      <c r="X637" s="7">
        <f t="shared" si="107"/>
        <v>3564083.3333333326</v>
      </c>
    </row>
    <row r="638" spans="1:24">
      <c r="A638">
        <v>637</v>
      </c>
      <c r="B638" s="96" t="s">
        <v>2966</v>
      </c>
      <c r="C638" s="95">
        <v>41105</v>
      </c>
      <c r="D638" s="82">
        <v>7080000</v>
      </c>
      <c r="E638" s="82">
        <v>7050000</v>
      </c>
      <c r="F638" s="82">
        <v>7095000</v>
      </c>
      <c r="G638" s="82">
        <v>7050000</v>
      </c>
      <c r="I638" s="97">
        <v>0</v>
      </c>
      <c r="J638" s="97">
        <v>0</v>
      </c>
      <c r="K638" s="97">
        <v>0</v>
      </c>
      <c r="M638" s="7">
        <f t="shared" si="100"/>
        <v>0</v>
      </c>
      <c r="N638" s="7">
        <f t="shared" si="109"/>
        <v>0</v>
      </c>
      <c r="O638" s="7">
        <f t="shared" si="108"/>
        <v>-80000</v>
      </c>
      <c r="P638" s="99">
        <f t="shared" si="101"/>
        <v>-1.1220196353436185E-2</v>
      </c>
      <c r="Q638" s="99">
        <f t="shared" si="110"/>
        <v>1.7644841330602249E-3</v>
      </c>
      <c r="S638" s="7">
        <f t="shared" si="102"/>
        <v>7755000.0000000009</v>
      </c>
      <c r="T638" s="7">
        <f t="shared" si="103"/>
        <v>2350000</v>
      </c>
      <c r="U638" s="7">
        <f t="shared" si="104"/>
        <v>11410000</v>
      </c>
      <c r="V638" s="7">
        <f t="shared" si="105"/>
        <v>0</v>
      </c>
      <c r="W638" s="7">
        <f t="shared" si="106"/>
        <v>0</v>
      </c>
      <c r="X638" s="7">
        <f t="shared" si="107"/>
        <v>0</v>
      </c>
    </row>
    <row r="639" spans="1:24">
      <c r="A639">
        <v>638</v>
      </c>
      <c r="B639" s="96" t="s">
        <v>2965</v>
      </c>
      <c r="C639" s="95">
        <v>41106</v>
      </c>
      <c r="D639" s="82">
        <v>6990000</v>
      </c>
      <c r="E639" s="82">
        <v>6990000</v>
      </c>
      <c r="F639" s="82">
        <v>7100000</v>
      </c>
      <c r="G639" s="82">
        <v>7100000</v>
      </c>
      <c r="I639" s="97">
        <v>0</v>
      </c>
      <c r="J639" s="97">
        <v>0</v>
      </c>
      <c r="K639" s="97">
        <v>0</v>
      </c>
      <c r="M639" s="7">
        <f t="shared" si="100"/>
        <v>0</v>
      </c>
      <c r="N639" s="7">
        <f t="shared" si="109"/>
        <v>0</v>
      </c>
      <c r="O639" s="7">
        <f t="shared" si="108"/>
        <v>50000</v>
      </c>
      <c r="P639" s="99">
        <f t="shared" si="101"/>
        <v>7.0921985815602835E-3</v>
      </c>
      <c r="Q639" s="99">
        <f t="shared" si="110"/>
        <v>-6.6467234563310166E-3</v>
      </c>
      <c r="S639" s="7">
        <f t="shared" si="102"/>
        <v>7810000.0000000009</v>
      </c>
      <c r="T639" s="7">
        <f t="shared" si="103"/>
        <v>2366666.6666666665</v>
      </c>
      <c r="U639" s="7">
        <f t="shared" si="104"/>
        <v>11450000</v>
      </c>
      <c r="V639" s="7">
        <f t="shared" si="105"/>
        <v>0</v>
      </c>
      <c r="W639" s="7">
        <f t="shared" si="106"/>
        <v>0</v>
      </c>
      <c r="X639" s="7">
        <f t="shared" si="107"/>
        <v>0</v>
      </c>
    </row>
    <row r="640" spans="1:24">
      <c r="A640">
        <v>639</v>
      </c>
      <c r="B640" s="96" t="s">
        <v>2964</v>
      </c>
      <c r="C640" s="95">
        <v>41107</v>
      </c>
      <c r="D640" s="82">
        <v>7130000</v>
      </c>
      <c r="E640" s="82">
        <v>7090000</v>
      </c>
      <c r="F640" s="82">
        <v>7130000</v>
      </c>
      <c r="G640" s="82">
        <v>7090000</v>
      </c>
      <c r="I640" s="97">
        <v>0</v>
      </c>
      <c r="J640" s="97">
        <v>0</v>
      </c>
      <c r="K640" s="97">
        <v>0</v>
      </c>
      <c r="M640" s="7">
        <f t="shared" si="100"/>
        <v>0</v>
      </c>
      <c r="N640" s="7">
        <f t="shared" si="109"/>
        <v>0</v>
      </c>
      <c r="O640" s="7">
        <f t="shared" si="108"/>
        <v>-10000</v>
      </c>
      <c r="P640" s="99">
        <f t="shared" si="101"/>
        <v>-1.4084507042253522E-3</v>
      </c>
      <c r="Q640" s="99">
        <f t="shared" si="110"/>
        <v>-1.9272834733925662E-2</v>
      </c>
      <c r="S640" s="7">
        <f t="shared" si="102"/>
        <v>7799000.0000000009</v>
      </c>
      <c r="T640" s="7">
        <f t="shared" si="103"/>
        <v>2363333.3333333335</v>
      </c>
      <c r="U640" s="7">
        <f t="shared" si="104"/>
        <v>11400000</v>
      </c>
      <c r="V640" s="7">
        <f t="shared" si="105"/>
        <v>0</v>
      </c>
      <c r="W640" s="7">
        <f t="shared" si="106"/>
        <v>0</v>
      </c>
      <c r="X640" s="7">
        <f t="shared" si="107"/>
        <v>0</v>
      </c>
    </row>
    <row r="641" spans="1:24">
      <c r="A641">
        <v>640</v>
      </c>
      <c r="B641" s="96" t="s">
        <v>2963</v>
      </c>
      <c r="C641" s="95">
        <v>41108</v>
      </c>
      <c r="D641" s="82">
        <v>7040000</v>
      </c>
      <c r="E641" s="82">
        <v>7040000</v>
      </c>
      <c r="F641" s="82">
        <v>7080000</v>
      </c>
      <c r="G641" s="82">
        <v>7080000</v>
      </c>
      <c r="I641" s="98">
        <v>0</v>
      </c>
      <c r="J641" s="98">
        <v>0</v>
      </c>
      <c r="K641" s="98">
        <v>0</v>
      </c>
      <c r="M641" s="7">
        <f t="shared" si="100"/>
        <v>0</v>
      </c>
      <c r="N641" s="7">
        <f t="shared" si="109"/>
        <v>0</v>
      </c>
      <c r="O641" s="7">
        <f t="shared" si="108"/>
        <v>-10000</v>
      </c>
      <c r="P641" s="99">
        <f t="shared" si="101"/>
        <v>-1.4104372355430183E-3</v>
      </c>
      <c r="Q641" s="99">
        <f t="shared" si="110"/>
        <v>-2.7254843331786412E-3</v>
      </c>
      <c r="S641" s="7">
        <f t="shared" si="102"/>
        <v>7788000.0000000009</v>
      </c>
      <c r="T641" s="7">
        <f t="shared" si="103"/>
        <v>2360000</v>
      </c>
      <c r="U641" s="7">
        <f t="shared" si="104"/>
        <v>11360000</v>
      </c>
      <c r="V641" s="7">
        <f t="shared" si="105"/>
        <v>0</v>
      </c>
      <c r="W641" s="7">
        <f t="shared" si="106"/>
        <v>0</v>
      </c>
      <c r="X641" s="7">
        <f t="shared" si="107"/>
        <v>0</v>
      </c>
    </row>
    <row r="642" spans="1:24">
      <c r="A642">
        <v>641</v>
      </c>
      <c r="B642" s="96" t="s">
        <v>2962</v>
      </c>
      <c r="C642" s="95">
        <v>41109</v>
      </c>
      <c r="D642" s="82">
        <v>7060000</v>
      </c>
      <c r="E642" s="82">
        <v>7040000</v>
      </c>
      <c r="F642" s="82">
        <v>7060000</v>
      </c>
      <c r="G642" s="82">
        <v>7055000</v>
      </c>
      <c r="I642" s="82">
        <f>G642*1.1</f>
        <v>7760500.0000000009</v>
      </c>
      <c r="J642" s="82">
        <f>G642/3</f>
        <v>2351666.6666666665</v>
      </c>
      <c r="K642" s="7">
        <f>G910</f>
        <v>10930000</v>
      </c>
      <c r="L642" s="7">
        <f>K642-I642</f>
        <v>3169499.9999999991</v>
      </c>
      <c r="M642" s="7">
        <f t="shared" ref="M642:M705" si="111">J642*$AI$6/200</f>
        <v>293958.33333333331</v>
      </c>
      <c r="N642" s="7">
        <f t="shared" si="109"/>
        <v>3463458.3333333326</v>
      </c>
      <c r="O642" s="7">
        <f t="shared" si="108"/>
        <v>-25000</v>
      </c>
      <c r="P642" s="99">
        <f t="shared" si="101"/>
        <v>-3.5310734463276836E-3</v>
      </c>
      <c r="Q642" s="99">
        <f t="shared" si="110"/>
        <v>-5.5423913296217993E-3</v>
      </c>
      <c r="R642">
        <v>1</v>
      </c>
      <c r="S642" s="7">
        <f t="shared" si="102"/>
        <v>7760500.0000000009</v>
      </c>
      <c r="T642" s="7">
        <f t="shared" si="103"/>
        <v>2351666.6666666665</v>
      </c>
      <c r="U642" s="7">
        <f t="shared" si="104"/>
        <v>10930000</v>
      </c>
      <c r="V642" s="7">
        <f t="shared" si="105"/>
        <v>3169499.9999999991</v>
      </c>
      <c r="W642" s="7">
        <f t="shared" si="106"/>
        <v>293958.33333333331</v>
      </c>
      <c r="X642" s="7">
        <f t="shared" si="107"/>
        <v>3463458.3333333326</v>
      </c>
    </row>
    <row r="643" spans="1:24">
      <c r="A643">
        <v>642</v>
      </c>
      <c r="B643" s="96" t="s">
        <v>2961</v>
      </c>
      <c r="C643" s="95">
        <v>41112</v>
      </c>
      <c r="D643" s="82">
        <v>6990000</v>
      </c>
      <c r="E643" s="82">
        <v>6960000</v>
      </c>
      <c r="F643" s="82">
        <v>7010000</v>
      </c>
      <c r="G643" s="82">
        <v>6960000</v>
      </c>
      <c r="I643" s="97">
        <v>0</v>
      </c>
      <c r="J643" s="97">
        <v>0</v>
      </c>
      <c r="K643" s="97">
        <v>0</v>
      </c>
      <c r="M643" s="7">
        <f t="shared" si="111"/>
        <v>0</v>
      </c>
      <c r="N643" s="7">
        <f t="shared" si="109"/>
        <v>0</v>
      </c>
      <c r="O643" s="7">
        <f t="shared" si="108"/>
        <v>-95000</v>
      </c>
      <c r="P643" s="99">
        <f t="shared" ref="P643:P706" si="112">O643/G642</f>
        <v>-1.3465627214741318E-2</v>
      </c>
      <c r="Q643" s="99">
        <f t="shared" si="110"/>
        <v>-1.0477959157971955E-2</v>
      </c>
      <c r="S643" s="7">
        <f t="shared" ref="S643:S706" si="113">G643*1.1</f>
        <v>7656000.0000000009</v>
      </c>
      <c r="T643" s="7">
        <f t="shared" ref="T643:T706" si="114">G643/3</f>
        <v>2320000</v>
      </c>
      <c r="U643" s="7">
        <f t="shared" ref="U643:U706" si="115">G911</f>
        <v>11030000</v>
      </c>
      <c r="V643" s="7">
        <f t="shared" ref="V643:V706" si="116">(U643-S643)*R643</f>
        <v>0</v>
      </c>
      <c r="W643" s="7">
        <f t="shared" ref="W643:W706" si="117">(T643*$AI$6/200)*R643</f>
        <v>0</v>
      </c>
      <c r="X643" s="7">
        <f t="shared" ref="X643:X706" si="118">V643+W643</f>
        <v>0</v>
      </c>
    </row>
    <row r="644" spans="1:24">
      <c r="A644">
        <v>643</v>
      </c>
      <c r="B644" s="96" t="s">
        <v>2960</v>
      </c>
      <c r="C644" s="95">
        <v>41111</v>
      </c>
      <c r="D644" s="82">
        <v>7040000</v>
      </c>
      <c r="E644" s="82">
        <v>7010000</v>
      </c>
      <c r="F644" s="82">
        <v>7040000</v>
      </c>
      <c r="G644" s="82">
        <v>7020000</v>
      </c>
      <c r="I644" s="97">
        <v>0</v>
      </c>
      <c r="J644" s="97">
        <v>0</v>
      </c>
      <c r="K644" s="97">
        <v>0</v>
      </c>
      <c r="M644" s="7">
        <f t="shared" si="111"/>
        <v>0</v>
      </c>
      <c r="N644" s="7">
        <f t="shared" si="109"/>
        <v>0</v>
      </c>
      <c r="O644" s="7">
        <f t="shared" ref="O644:O707" si="119">G644-G643</f>
        <v>60000</v>
      </c>
      <c r="P644" s="99">
        <f t="shared" si="112"/>
        <v>8.6206896551724137E-3</v>
      </c>
      <c r="Q644" s="99">
        <f t="shared" si="110"/>
        <v>-1.2723390019277088E-2</v>
      </c>
      <c r="S644" s="7">
        <f t="shared" si="113"/>
        <v>7722000.0000000009</v>
      </c>
      <c r="T644" s="7">
        <f t="shared" si="114"/>
        <v>2340000</v>
      </c>
      <c r="U644" s="7">
        <f t="shared" si="115"/>
        <v>10970000</v>
      </c>
      <c r="V644" s="7">
        <f t="shared" si="116"/>
        <v>0</v>
      </c>
      <c r="W644" s="7">
        <f t="shared" si="117"/>
        <v>0</v>
      </c>
      <c r="X644" s="7">
        <f t="shared" si="118"/>
        <v>0</v>
      </c>
    </row>
    <row r="645" spans="1:24">
      <c r="A645">
        <v>644</v>
      </c>
      <c r="B645" s="96" t="s">
        <v>2959</v>
      </c>
      <c r="C645" s="95">
        <v>41113</v>
      </c>
      <c r="D645" s="82">
        <v>6930000</v>
      </c>
      <c r="E645" s="82">
        <v>6930000</v>
      </c>
      <c r="F645" s="82">
        <v>7010000</v>
      </c>
      <c r="G645" s="82">
        <v>6990000</v>
      </c>
      <c r="I645" s="97">
        <v>0</v>
      </c>
      <c r="J645" s="97">
        <v>0</v>
      </c>
      <c r="K645" s="97">
        <v>0</v>
      </c>
      <c r="M645" s="7">
        <f t="shared" si="111"/>
        <v>0</v>
      </c>
      <c r="N645" s="7">
        <f t="shared" si="109"/>
        <v>0</v>
      </c>
      <c r="O645" s="7">
        <f t="shared" si="119"/>
        <v>-30000</v>
      </c>
      <c r="P645" s="99">
        <f t="shared" si="112"/>
        <v>-4.2735042735042739E-3</v>
      </c>
      <c r="Q645" s="99">
        <f t="shared" si="110"/>
        <v>-1.1194898945664958E-2</v>
      </c>
      <c r="S645" s="7">
        <f t="shared" si="113"/>
        <v>7689000.0000000009</v>
      </c>
      <c r="T645" s="7">
        <f t="shared" si="114"/>
        <v>2330000</v>
      </c>
      <c r="U645" s="7">
        <f t="shared" si="115"/>
        <v>10865000</v>
      </c>
      <c r="V645" s="7">
        <f t="shared" si="116"/>
        <v>0</v>
      </c>
      <c r="W645" s="7">
        <f t="shared" si="117"/>
        <v>0</v>
      </c>
      <c r="X645" s="7">
        <f t="shared" si="118"/>
        <v>0</v>
      </c>
    </row>
    <row r="646" spans="1:24">
      <c r="A646">
        <v>645</v>
      </c>
      <c r="B646" s="96" t="s">
        <v>2958</v>
      </c>
      <c r="C646" s="95">
        <v>41114</v>
      </c>
      <c r="D646" s="82">
        <v>7010000</v>
      </c>
      <c r="E646" s="82">
        <v>7010000</v>
      </c>
      <c r="F646" s="82">
        <v>7110000</v>
      </c>
      <c r="G646" s="82">
        <v>7110000</v>
      </c>
      <c r="I646" s="98">
        <v>0</v>
      </c>
      <c r="J646" s="98">
        <v>0</v>
      </c>
      <c r="K646" s="98">
        <v>0</v>
      </c>
      <c r="M646" s="7">
        <f t="shared" si="111"/>
        <v>0</v>
      </c>
      <c r="N646" s="7">
        <f t="shared" si="109"/>
        <v>0</v>
      </c>
      <c r="O646" s="7">
        <f t="shared" si="119"/>
        <v>120000</v>
      </c>
      <c r="P646" s="99">
        <f t="shared" si="112"/>
        <v>1.7167381974248927E-2</v>
      </c>
      <c r="Q646" s="99">
        <f t="shared" si="110"/>
        <v>-1.4059952514943878E-2</v>
      </c>
      <c r="S646" s="7">
        <f t="shared" si="113"/>
        <v>7821000.0000000009</v>
      </c>
      <c r="T646" s="7">
        <f t="shared" si="114"/>
        <v>2370000</v>
      </c>
      <c r="U646" s="7">
        <f t="shared" si="115"/>
        <v>10870000</v>
      </c>
      <c r="V646" s="7">
        <f t="shared" si="116"/>
        <v>0</v>
      </c>
      <c r="W646" s="7">
        <f t="shared" si="117"/>
        <v>0</v>
      </c>
      <c r="X646" s="7">
        <f t="shared" si="118"/>
        <v>0</v>
      </c>
    </row>
    <row r="647" spans="1:24">
      <c r="A647">
        <v>646</v>
      </c>
      <c r="B647" s="96" t="s">
        <v>2957</v>
      </c>
      <c r="C647" s="95">
        <v>41115</v>
      </c>
      <c r="D647" s="82">
        <v>7120000</v>
      </c>
      <c r="E647" s="82">
        <v>7120000</v>
      </c>
      <c r="F647" s="82">
        <v>7180000</v>
      </c>
      <c r="G647" s="82">
        <v>7180000</v>
      </c>
      <c r="I647" s="82">
        <f>G647*1.1</f>
        <v>7898000.0000000009</v>
      </c>
      <c r="J647" s="82">
        <f>G647/3</f>
        <v>2393333.3333333335</v>
      </c>
      <c r="K647" s="7">
        <f>G915</f>
        <v>11050000</v>
      </c>
      <c r="L647" s="7">
        <f>K647-I647</f>
        <v>3151999.9999999991</v>
      </c>
      <c r="M647" s="7">
        <f t="shared" si="111"/>
        <v>299166.66666666669</v>
      </c>
      <c r="N647" s="7">
        <f t="shared" si="109"/>
        <v>3451166.6666666656</v>
      </c>
      <c r="O647" s="7">
        <f t="shared" si="119"/>
        <v>70000</v>
      </c>
      <c r="P647" s="99">
        <f t="shared" si="112"/>
        <v>9.8452883263009851E-3</v>
      </c>
      <c r="Q647" s="99">
        <f t="shared" si="110"/>
        <v>4.5178666948480651E-3</v>
      </c>
      <c r="R647">
        <v>1</v>
      </c>
      <c r="S647" s="7">
        <f t="shared" si="113"/>
        <v>7898000.0000000009</v>
      </c>
      <c r="T647" s="7">
        <f t="shared" si="114"/>
        <v>2393333.3333333335</v>
      </c>
      <c r="U647" s="7">
        <f t="shared" si="115"/>
        <v>11050000</v>
      </c>
      <c r="V647" s="7">
        <f t="shared" si="116"/>
        <v>3151999.9999999991</v>
      </c>
      <c r="W647" s="7">
        <f t="shared" si="117"/>
        <v>299166.66666666669</v>
      </c>
      <c r="X647" s="7">
        <f t="shared" si="118"/>
        <v>3451166.6666666656</v>
      </c>
    </row>
    <row r="648" spans="1:24">
      <c r="A648">
        <v>647</v>
      </c>
      <c r="B648" s="96" t="s">
        <v>2956</v>
      </c>
      <c r="C648" s="95">
        <v>41116</v>
      </c>
      <c r="D648" s="82">
        <v>7280000</v>
      </c>
      <c r="E648" s="82">
        <v>7280000</v>
      </c>
      <c r="F648" s="82">
        <v>7370000</v>
      </c>
      <c r="G648" s="82">
        <v>7370000</v>
      </c>
      <c r="I648" s="97">
        <v>0</v>
      </c>
      <c r="J648" s="97">
        <v>0</v>
      </c>
      <c r="K648" s="97">
        <v>0</v>
      </c>
      <c r="M648" s="7">
        <f t="shared" si="111"/>
        <v>0</v>
      </c>
      <c r="N648" s="7">
        <f t="shared" ref="N648:N711" si="120">L648+M648</f>
        <v>0</v>
      </c>
      <c r="O648" s="7">
        <f t="shared" si="119"/>
        <v>190000</v>
      </c>
      <c r="P648" s="99">
        <f t="shared" si="112"/>
        <v>2.6462395543175487E-2</v>
      </c>
      <c r="Q648" s="99">
        <f t="shared" ref="Q648:Q711" si="121">SUM(P643:P647)</f>
        <v>1.7894228467476736E-2</v>
      </c>
      <c r="S648" s="7">
        <f t="shared" si="113"/>
        <v>8107000.0000000009</v>
      </c>
      <c r="T648" s="7">
        <f t="shared" si="114"/>
        <v>2456666.6666666665</v>
      </c>
      <c r="U648" s="7">
        <f t="shared" si="115"/>
        <v>10870000</v>
      </c>
      <c r="V648" s="7">
        <f t="shared" si="116"/>
        <v>0</v>
      </c>
      <c r="W648" s="7">
        <f t="shared" si="117"/>
        <v>0</v>
      </c>
      <c r="X648" s="7">
        <f t="shared" si="118"/>
        <v>0</v>
      </c>
    </row>
    <row r="649" spans="1:24">
      <c r="A649">
        <v>648</v>
      </c>
      <c r="B649" s="96" t="s">
        <v>2955</v>
      </c>
      <c r="C649" s="95">
        <v>41118</v>
      </c>
      <c r="D649" s="82">
        <v>7390000</v>
      </c>
      <c r="E649" s="82">
        <v>7380000</v>
      </c>
      <c r="F649" s="82">
        <v>7440000</v>
      </c>
      <c r="G649" s="82">
        <v>7380000</v>
      </c>
      <c r="I649" s="97">
        <v>0</v>
      </c>
      <c r="J649" s="97">
        <v>0</v>
      </c>
      <c r="K649" s="97">
        <v>0</v>
      </c>
      <c r="M649" s="7">
        <f t="shared" si="111"/>
        <v>0</v>
      </c>
      <c r="N649" s="7">
        <f t="shared" si="120"/>
        <v>0</v>
      </c>
      <c r="O649" s="7">
        <f t="shared" si="119"/>
        <v>10000</v>
      </c>
      <c r="P649" s="99">
        <f t="shared" si="112"/>
        <v>1.3568521031207597E-3</v>
      </c>
      <c r="Q649" s="99">
        <f t="shared" si="121"/>
        <v>5.7822251225393542E-2</v>
      </c>
      <c r="S649" s="7">
        <f t="shared" si="113"/>
        <v>8118000.0000000009</v>
      </c>
      <c r="T649" s="7">
        <f t="shared" si="114"/>
        <v>2460000</v>
      </c>
      <c r="U649" s="7">
        <f t="shared" si="115"/>
        <v>10935000</v>
      </c>
      <c r="V649" s="7">
        <f t="shared" si="116"/>
        <v>0</v>
      </c>
      <c r="W649" s="7">
        <f t="shared" si="117"/>
        <v>0</v>
      </c>
      <c r="X649" s="7">
        <f t="shared" si="118"/>
        <v>0</v>
      </c>
    </row>
    <row r="650" spans="1:24">
      <c r="A650">
        <v>649</v>
      </c>
      <c r="B650" s="96" t="s">
        <v>2954</v>
      </c>
      <c r="C650" s="95">
        <v>41119</v>
      </c>
      <c r="D650" s="82">
        <v>7320000</v>
      </c>
      <c r="E650" s="82">
        <v>7230000</v>
      </c>
      <c r="F650" s="82">
        <v>7340000</v>
      </c>
      <c r="G650" s="82">
        <v>7280000</v>
      </c>
      <c r="I650" s="97">
        <v>0</v>
      </c>
      <c r="J650" s="97">
        <v>0</v>
      </c>
      <c r="K650" s="97">
        <v>0</v>
      </c>
      <c r="M650" s="7">
        <f t="shared" si="111"/>
        <v>0</v>
      </c>
      <c r="N650" s="7">
        <f t="shared" si="120"/>
        <v>0</v>
      </c>
      <c r="O650" s="7">
        <f t="shared" si="119"/>
        <v>-100000</v>
      </c>
      <c r="P650" s="99">
        <f t="shared" si="112"/>
        <v>-1.3550135501355014E-2</v>
      </c>
      <c r="Q650" s="99">
        <f t="shared" si="121"/>
        <v>5.0558413673341886E-2</v>
      </c>
      <c r="S650" s="7">
        <f t="shared" si="113"/>
        <v>8008000.0000000009</v>
      </c>
      <c r="T650" s="7">
        <f t="shared" si="114"/>
        <v>2426666.6666666665</v>
      </c>
      <c r="U650" s="7">
        <f t="shared" si="115"/>
        <v>10850000</v>
      </c>
      <c r="V650" s="7">
        <f t="shared" si="116"/>
        <v>0</v>
      </c>
      <c r="W650" s="7">
        <f t="shared" si="117"/>
        <v>0</v>
      </c>
      <c r="X650" s="7">
        <f t="shared" si="118"/>
        <v>0</v>
      </c>
    </row>
    <row r="651" spans="1:24">
      <c r="A651">
        <v>650</v>
      </c>
      <c r="B651" s="96" t="s">
        <v>2953</v>
      </c>
      <c r="C651" s="95">
        <v>41120</v>
      </c>
      <c r="D651" s="82">
        <v>7300000</v>
      </c>
      <c r="E651" s="82">
        <v>7300000</v>
      </c>
      <c r="F651" s="82">
        <v>7380000</v>
      </c>
      <c r="G651" s="82">
        <v>7350000</v>
      </c>
      <c r="I651" s="98">
        <v>0</v>
      </c>
      <c r="J651" s="98">
        <v>0</v>
      </c>
      <c r="K651" s="98">
        <v>0</v>
      </c>
      <c r="M651" s="7">
        <f t="shared" si="111"/>
        <v>0</v>
      </c>
      <c r="N651" s="7">
        <f t="shared" si="120"/>
        <v>0</v>
      </c>
      <c r="O651" s="7">
        <f t="shared" si="119"/>
        <v>70000</v>
      </c>
      <c r="P651" s="99">
        <f t="shared" si="112"/>
        <v>9.6153846153846159E-3</v>
      </c>
      <c r="Q651" s="99">
        <f t="shared" si="121"/>
        <v>4.1281782445491147E-2</v>
      </c>
      <c r="S651" s="7">
        <f t="shared" si="113"/>
        <v>8085000.0000000009</v>
      </c>
      <c r="T651" s="7">
        <f t="shared" si="114"/>
        <v>2450000</v>
      </c>
      <c r="U651" s="7">
        <f t="shared" si="115"/>
        <v>10860000</v>
      </c>
      <c r="V651" s="7">
        <f t="shared" si="116"/>
        <v>0</v>
      </c>
      <c r="W651" s="7">
        <f t="shared" si="117"/>
        <v>0</v>
      </c>
      <c r="X651" s="7">
        <f t="shared" si="118"/>
        <v>0</v>
      </c>
    </row>
    <row r="652" spans="1:24">
      <c r="A652">
        <v>651</v>
      </c>
      <c r="B652" s="96" t="s">
        <v>2952</v>
      </c>
      <c r="C652" s="95">
        <v>41121</v>
      </c>
      <c r="D652" s="82">
        <v>7340000</v>
      </c>
      <c r="E652" s="82">
        <v>7335000</v>
      </c>
      <c r="F652" s="82">
        <v>7400000</v>
      </c>
      <c r="G652" s="82">
        <v>7400000</v>
      </c>
      <c r="I652" s="82">
        <f>G652*1.1</f>
        <v>8140000.0000000009</v>
      </c>
      <c r="J652" s="82">
        <f>G652/3</f>
        <v>2466666.6666666665</v>
      </c>
      <c r="K652" s="7">
        <f>G920</f>
        <v>10715000</v>
      </c>
      <c r="L652" s="7">
        <f>K652-I652</f>
        <v>2574999.9999999991</v>
      </c>
      <c r="M652" s="7">
        <f t="shared" si="111"/>
        <v>308333.33333333331</v>
      </c>
      <c r="N652" s="7">
        <f t="shared" si="120"/>
        <v>2883333.3333333326</v>
      </c>
      <c r="O652" s="7">
        <f t="shared" si="119"/>
        <v>50000</v>
      </c>
      <c r="P652" s="99">
        <f t="shared" si="112"/>
        <v>6.8027210884353739E-3</v>
      </c>
      <c r="Q652" s="99">
        <f t="shared" si="121"/>
        <v>3.3729785086626829E-2</v>
      </c>
      <c r="R652">
        <v>1</v>
      </c>
      <c r="S652" s="7">
        <f t="shared" si="113"/>
        <v>8140000.0000000009</v>
      </c>
      <c r="T652" s="7">
        <f t="shared" si="114"/>
        <v>2466666.6666666665</v>
      </c>
      <c r="U652" s="7">
        <f t="shared" si="115"/>
        <v>10715000</v>
      </c>
      <c r="V652" s="7">
        <f t="shared" si="116"/>
        <v>2574999.9999999991</v>
      </c>
      <c r="W652" s="7">
        <f t="shared" si="117"/>
        <v>308333.33333333331</v>
      </c>
      <c r="X652" s="7">
        <f t="shared" si="118"/>
        <v>2883333.3333333326</v>
      </c>
    </row>
    <row r="653" spans="1:24">
      <c r="A653">
        <v>652</v>
      </c>
      <c r="B653" s="96" t="s">
        <v>2951</v>
      </c>
      <c r="C653" s="95">
        <v>41122</v>
      </c>
      <c r="D653" s="82">
        <v>7390000</v>
      </c>
      <c r="E653" s="82">
        <v>7390000</v>
      </c>
      <c r="F653" s="82">
        <v>7490000</v>
      </c>
      <c r="G653" s="82">
        <v>7430000</v>
      </c>
      <c r="I653" s="97">
        <v>0</v>
      </c>
      <c r="J653" s="97">
        <v>0</v>
      </c>
      <c r="K653" s="97">
        <v>0</v>
      </c>
      <c r="M653" s="7">
        <f t="shared" si="111"/>
        <v>0</v>
      </c>
      <c r="N653" s="7">
        <f t="shared" si="120"/>
        <v>0</v>
      </c>
      <c r="O653" s="7">
        <f t="shared" si="119"/>
        <v>30000</v>
      </c>
      <c r="P653" s="99">
        <f t="shared" si="112"/>
        <v>4.0540540540540543E-3</v>
      </c>
      <c r="Q653" s="99">
        <f t="shared" si="121"/>
        <v>3.0687217848761224E-2</v>
      </c>
      <c r="S653" s="7">
        <f t="shared" si="113"/>
        <v>8173000.0000000009</v>
      </c>
      <c r="T653" s="7">
        <f t="shared" si="114"/>
        <v>2476666.6666666665</v>
      </c>
      <c r="U653" s="7">
        <f t="shared" si="115"/>
        <v>10530000</v>
      </c>
      <c r="V653" s="7">
        <f t="shared" si="116"/>
        <v>0</v>
      </c>
      <c r="W653" s="7">
        <f t="shared" si="117"/>
        <v>0</v>
      </c>
      <c r="X653" s="7">
        <f t="shared" si="118"/>
        <v>0</v>
      </c>
    </row>
    <row r="654" spans="1:24">
      <c r="A654">
        <v>653</v>
      </c>
      <c r="B654" s="96" t="s">
        <v>2950</v>
      </c>
      <c r="C654" s="95">
        <v>41123</v>
      </c>
      <c r="D654" s="82">
        <v>7450000</v>
      </c>
      <c r="E654" s="82">
        <v>7450000</v>
      </c>
      <c r="F654" s="82">
        <v>7490000</v>
      </c>
      <c r="G654" s="82">
        <v>7460000</v>
      </c>
      <c r="I654" s="97">
        <v>0</v>
      </c>
      <c r="J654" s="97">
        <v>0</v>
      </c>
      <c r="K654" s="97">
        <v>0</v>
      </c>
      <c r="M654" s="7">
        <f t="shared" si="111"/>
        <v>0</v>
      </c>
      <c r="N654" s="7">
        <f t="shared" si="120"/>
        <v>0</v>
      </c>
      <c r="O654" s="7">
        <f t="shared" si="119"/>
        <v>30000</v>
      </c>
      <c r="P654" s="99">
        <f t="shared" si="112"/>
        <v>4.0376850605652759E-3</v>
      </c>
      <c r="Q654" s="99">
        <f t="shared" si="121"/>
        <v>8.2788763596397912E-3</v>
      </c>
      <c r="S654" s="7">
        <f t="shared" si="113"/>
        <v>8206000.0000000009</v>
      </c>
      <c r="T654" s="7">
        <f t="shared" si="114"/>
        <v>2486666.6666666665</v>
      </c>
      <c r="U654" s="7">
        <f t="shared" si="115"/>
        <v>10120000</v>
      </c>
      <c r="V654" s="7">
        <f t="shared" si="116"/>
        <v>0</v>
      </c>
      <c r="W654" s="7">
        <f t="shared" si="117"/>
        <v>0</v>
      </c>
      <c r="X654" s="7">
        <f t="shared" si="118"/>
        <v>0</v>
      </c>
    </row>
    <row r="655" spans="1:24">
      <c r="A655">
        <v>654</v>
      </c>
      <c r="B655" s="96" t="s">
        <v>2949</v>
      </c>
      <c r="C655" s="95">
        <v>41125</v>
      </c>
      <c r="D655" s="82">
        <v>7420000</v>
      </c>
      <c r="E655" s="82">
        <v>7380000</v>
      </c>
      <c r="F655" s="82">
        <v>7430000</v>
      </c>
      <c r="G655" s="82">
        <v>7390000</v>
      </c>
      <c r="I655" s="97">
        <v>0</v>
      </c>
      <c r="J655" s="97">
        <v>0</v>
      </c>
      <c r="K655" s="97">
        <v>0</v>
      </c>
      <c r="M655" s="7">
        <f t="shared" si="111"/>
        <v>0</v>
      </c>
      <c r="N655" s="7">
        <f t="shared" si="120"/>
        <v>0</v>
      </c>
      <c r="O655" s="7">
        <f t="shared" si="119"/>
        <v>-70000</v>
      </c>
      <c r="P655" s="99">
        <f t="shared" si="112"/>
        <v>-9.3833780160857902E-3</v>
      </c>
      <c r="Q655" s="99">
        <f t="shared" si="121"/>
        <v>1.0959709317084305E-2</v>
      </c>
      <c r="S655" s="7">
        <f t="shared" si="113"/>
        <v>8129000.0000000009</v>
      </c>
      <c r="T655" s="7">
        <f t="shared" si="114"/>
        <v>2463333.3333333335</v>
      </c>
      <c r="U655" s="7">
        <f t="shared" si="115"/>
        <v>10230000</v>
      </c>
      <c r="V655" s="7">
        <f t="shared" si="116"/>
        <v>0</v>
      </c>
      <c r="W655" s="7">
        <f t="shared" si="117"/>
        <v>0</v>
      </c>
      <c r="X655" s="7">
        <f t="shared" si="118"/>
        <v>0</v>
      </c>
    </row>
    <row r="656" spans="1:24">
      <c r="A656">
        <v>655</v>
      </c>
      <c r="B656" s="96" t="s">
        <v>2948</v>
      </c>
      <c r="C656" s="95">
        <v>41126</v>
      </c>
      <c r="D656" s="82">
        <v>7360000</v>
      </c>
      <c r="E656" s="82">
        <v>7360000</v>
      </c>
      <c r="F656" s="82">
        <v>7510000</v>
      </c>
      <c r="G656" s="82">
        <v>7490000</v>
      </c>
      <c r="I656" s="98">
        <v>0</v>
      </c>
      <c r="J656" s="98">
        <v>0</v>
      </c>
      <c r="K656" s="98">
        <v>0</v>
      </c>
      <c r="M656" s="7">
        <f t="shared" si="111"/>
        <v>0</v>
      </c>
      <c r="N656" s="7">
        <f t="shared" si="120"/>
        <v>0</v>
      </c>
      <c r="O656" s="7">
        <f t="shared" si="119"/>
        <v>100000</v>
      </c>
      <c r="P656" s="99">
        <f t="shared" si="112"/>
        <v>1.3531799729364006E-2</v>
      </c>
      <c r="Q656" s="99">
        <f t="shared" si="121"/>
        <v>1.5126466802353529E-2</v>
      </c>
      <c r="S656" s="7">
        <f t="shared" si="113"/>
        <v>8239000.0000000009</v>
      </c>
      <c r="T656" s="7">
        <f t="shared" si="114"/>
        <v>2496666.6666666665</v>
      </c>
      <c r="U656" s="7">
        <f t="shared" si="115"/>
        <v>10270000</v>
      </c>
      <c r="V656" s="7">
        <f t="shared" si="116"/>
        <v>0</v>
      </c>
      <c r="W656" s="7">
        <f t="shared" si="117"/>
        <v>0</v>
      </c>
      <c r="X656" s="7">
        <f t="shared" si="118"/>
        <v>0</v>
      </c>
    </row>
    <row r="657" spans="1:24">
      <c r="A657">
        <v>656</v>
      </c>
      <c r="B657" s="96" t="s">
        <v>2947</v>
      </c>
      <c r="C657" s="95">
        <v>41127</v>
      </c>
      <c r="D657" s="82">
        <v>7660000</v>
      </c>
      <c r="E657" s="82">
        <v>7630000</v>
      </c>
      <c r="F657" s="82">
        <v>7800000</v>
      </c>
      <c r="G657" s="82">
        <v>7680000</v>
      </c>
      <c r="I657" s="82">
        <f>G657*1.1</f>
        <v>8448000</v>
      </c>
      <c r="J657" s="82">
        <f>G657/3</f>
        <v>2560000</v>
      </c>
      <c r="K657" s="7">
        <f>G925</f>
        <v>10400000</v>
      </c>
      <c r="L657" s="7">
        <f>K657-I657</f>
        <v>1952000</v>
      </c>
      <c r="M657" s="7">
        <f t="shared" si="111"/>
        <v>320000</v>
      </c>
      <c r="N657" s="7">
        <f t="shared" si="120"/>
        <v>2272000</v>
      </c>
      <c r="O657" s="7">
        <f t="shared" si="119"/>
        <v>190000</v>
      </c>
      <c r="P657" s="99">
        <f t="shared" si="112"/>
        <v>2.5367156208277702E-2</v>
      </c>
      <c r="Q657" s="99">
        <f t="shared" si="121"/>
        <v>1.904288191633292E-2</v>
      </c>
      <c r="R657">
        <v>1</v>
      </c>
      <c r="S657" s="7">
        <f t="shared" si="113"/>
        <v>8448000</v>
      </c>
      <c r="T657" s="7">
        <f t="shared" si="114"/>
        <v>2560000</v>
      </c>
      <c r="U657" s="7">
        <f t="shared" si="115"/>
        <v>10400000</v>
      </c>
      <c r="V657" s="7">
        <f t="shared" si="116"/>
        <v>1952000</v>
      </c>
      <c r="W657" s="7">
        <f t="shared" si="117"/>
        <v>320000</v>
      </c>
      <c r="X657" s="7">
        <f t="shared" si="118"/>
        <v>2272000</v>
      </c>
    </row>
    <row r="658" spans="1:24">
      <c r="A658">
        <v>657</v>
      </c>
      <c r="B658" s="96" t="s">
        <v>2946</v>
      </c>
      <c r="C658" s="95">
        <v>41128</v>
      </c>
      <c r="D658" s="82">
        <v>7820000</v>
      </c>
      <c r="E658" s="82">
        <v>7750000</v>
      </c>
      <c r="F658" s="82">
        <v>7900000</v>
      </c>
      <c r="G658" s="82">
        <v>7840000</v>
      </c>
      <c r="I658" s="97">
        <v>0</v>
      </c>
      <c r="J658" s="97">
        <v>0</v>
      </c>
      <c r="K658" s="97">
        <v>0</v>
      </c>
      <c r="M658" s="7">
        <f t="shared" si="111"/>
        <v>0</v>
      </c>
      <c r="N658" s="7">
        <f t="shared" si="120"/>
        <v>0</v>
      </c>
      <c r="O658" s="7">
        <f t="shared" si="119"/>
        <v>160000</v>
      </c>
      <c r="P658" s="99">
        <f t="shared" si="112"/>
        <v>2.0833333333333332E-2</v>
      </c>
      <c r="Q658" s="99">
        <f t="shared" si="121"/>
        <v>3.7607317036175245E-2</v>
      </c>
      <c r="S658" s="7">
        <f t="shared" si="113"/>
        <v>8624000</v>
      </c>
      <c r="T658" s="7">
        <f t="shared" si="114"/>
        <v>2613333.3333333335</v>
      </c>
      <c r="U658" s="7">
        <f t="shared" si="115"/>
        <v>10370000</v>
      </c>
      <c r="V658" s="7">
        <f t="shared" si="116"/>
        <v>0</v>
      </c>
      <c r="W658" s="7">
        <f t="shared" si="117"/>
        <v>0</v>
      </c>
      <c r="X658" s="7">
        <f t="shared" si="118"/>
        <v>0</v>
      </c>
    </row>
    <row r="659" spans="1:24">
      <c r="A659">
        <v>658</v>
      </c>
      <c r="B659" s="96" t="s">
        <v>2945</v>
      </c>
      <c r="C659" s="95">
        <v>41129</v>
      </c>
      <c r="D659" s="82">
        <v>7810000</v>
      </c>
      <c r="E659" s="82">
        <v>7630000</v>
      </c>
      <c r="F659" s="82">
        <v>7820000</v>
      </c>
      <c r="G659" s="82">
        <v>7630000</v>
      </c>
      <c r="I659" s="97">
        <v>0</v>
      </c>
      <c r="J659" s="97">
        <v>0</v>
      </c>
      <c r="K659" s="97">
        <v>0</v>
      </c>
      <c r="M659" s="7">
        <f t="shared" si="111"/>
        <v>0</v>
      </c>
      <c r="N659" s="7">
        <f t="shared" si="120"/>
        <v>0</v>
      </c>
      <c r="O659" s="7">
        <f t="shared" si="119"/>
        <v>-210000</v>
      </c>
      <c r="P659" s="99">
        <f t="shared" si="112"/>
        <v>-2.6785714285714284E-2</v>
      </c>
      <c r="Q659" s="99">
        <f t="shared" si="121"/>
        <v>5.4386596315454519E-2</v>
      </c>
      <c r="S659" s="7">
        <f t="shared" si="113"/>
        <v>8393000</v>
      </c>
      <c r="T659" s="7">
        <f t="shared" si="114"/>
        <v>2543333.3333333335</v>
      </c>
      <c r="U659" s="7">
        <f t="shared" si="115"/>
        <v>10290000</v>
      </c>
      <c r="V659" s="7">
        <f t="shared" si="116"/>
        <v>0</v>
      </c>
      <c r="W659" s="7">
        <f t="shared" si="117"/>
        <v>0</v>
      </c>
      <c r="X659" s="7">
        <f t="shared" si="118"/>
        <v>0</v>
      </c>
    </row>
    <row r="660" spans="1:24">
      <c r="A660">
        <v>659</v>
      </c>
      <c r="B660" s="96" t="s">
        <v>2944</v>
      </c>
      <c r="C660" s="95">
        <v>41130</v>
      </c>
      <c r="D660" s="82">
        <v>7560000</v>
      </c>
      <c r="E660" s="82">
        <v>7560000</v>
      </c>
      <c r="F660" s="82">
        <v>7690000</v>
      </c>
      <c r="G660" s="82">
        <v>7670000</v>
      </c>
      <c r="I660" s="97">
        <v>0</v>
      </c>
      <c r="J660" s="97">
        <v>0</v>
      </c>
      <c r="K660" s="97">
        <v>0</v>
      </c>
      <c r="M660" s="7">
        <f t="shared" si="111"/>
        <v>0</v>
      </c>
      <c r="N660" s="7">
        <f t="shared" si="120"/>
        <v>0</v>
      </c>
      <c r="O660" s="7">
        <f t="shared" si="119"/>
        <v>40000</v>
      </c>
      <c r="P660" s="99">
        <f t="shared" si="112"/>
        <v>5.2424639580602884E-3</v>
      </c>
      <c r="Q660" s="99">
        <f t="shared" si="121"/>
        <v>2.3563196969174961E-2</v>
      </c>
      <c r="S660" s="7">
        <f t="shared" si="113"/>
        <v>8437000</v>
      </c>
      <c r="T660" s="7">
        <f t="shared" si="114"/>
        <v>2556666.6666666665</v>
      </c>
      <c r="U660" s="7">
        <f t="shared" si="115"/>
        <v>10510000</v>
      </c>
      <c r="V660" s="7">
        <f t="shared" si="116"/>
        <v>0</v>
      </c>
      <c r="W660" s="7">
        <f t="shared" si="117"/>
        <v>0</v>
      </c>
      <c r="X660" s="7">
        <f t="shared" si="118"/>
        <v>0</v>
      </c>
    </row>
    <row r="661" spans="1:24">
      <c r="A661">
        <v>660</v>
      </c>
      <c r="B661" s="96" t="s">
        <v>2943</v>
      </c>
      <c r="C661" s="95">
        <v>41132</v>
      </c>
      <c r="D661" s="82">
        <v>7640000</v>
      </c>
      <c r="E661" s="82">
        <v>7640000</v>
      </c>
      <c r="F661" s="82">
        <v>7880000</v>
      </c>
      <c r="G661" s="82">
        <v>7840000</v>
      </c>
      <c r="I661" s="98">
        <v>0</v>
      </c>
      <c r="J661" s="98">
        <v>0</v>
      </c>
      <c r="K661" s="98">
        <v>0</v>
      </c>
      <c r="M661" s="7">
        <f t="shared" si="111"/>
        <v>0</v>
      </c>
      <c r="N661" s="7">
        <f t="shared" si="120"/>
        <v>0</v>
      </c>
      <c r="O661" s="7">
        <f t="shared" si="119"/>
        <v>170000</v>
      </c>
      <c r="P661" s="99">
        <f t="shared" si="112"/>
        <v>2.2164276401564539E-2</v>
      </c>
      <c r="Q661" s="99">
        <f t="shared" si="121"/>
        <v>3.8189038943321041E-2</v>
      </c>
      <c r="S661" s="7">
        <f t="shared" si="113"/>
        <v>8624000</v>
      </c>
      <c r="T661" s="7">
        <f t="shared" si="114"/>
        <v>2613333.3333333335</v>
      </c>
      <c r="U661" s="7">
        <f t="shared" si="115"/>
        <v>10580000</v>
      </c>
      <c r="V661" s="7">
        <f t="shared" si="116"/>
        <v>0</v>
      </c>
      <c r="W661" s="7">
        <f t="shared" si="117"/>
        <v>0</v>
      </c>
      <c r="X661" s="7">
        <f t="shared" si="118"/>
        <v>0</v>
      </c>
    </row>
    <row r="662" spans="1:24">
      <c r="A662">
        <v>661</v>
      </c>
      <c r="B662" s="96" t="s">
        <v>2942</v>
      </c>
      <c r="C662" s="95">
        <v>41133</v>
      </c>
      <c r="D662" s="82">
        <v>7910000</v>
      </c>
      <c r="E662" s="82">
        <v>7840000</v>
      </c>
      <c r="F662" s="82">
        <v>8000000</v>
      </c>
      <c r="G662" s="82">
        <v>7920000</v>
      </c>
      <c r="I662" s="82">
        <f>G662*1.1</f>
        <v>8712000</v>
      </c>
      <c r="J662" s="82">
        <f>G662/3</f>
        <v>2640000</v>
      </c>
      <c r="K662" s="7">
        <f>G930</f>
        <v>10580000</v>
      </c>
      <c r="L662" s="7">
        <f>K662-I662</f>
        <v>1868000</v>
      </c>
      <c r="M662" s="7">
        <f t="shared" si="111"/>
        <v>330000</v>
      </c>
      <c r="N662" s="7">
        <f t="shared" si="120"/>
        <v>2198000</v>
      </c>
      <c r="O662" s="7">
        <f t="shared" si="119"/>
        <v>80000</v>
      </c>
      <c r="P662" s="99">
        <f t="shared" si="112"/>
        <v>1.020408163265306E-2</v>
      </c>
      <c r="Q662" s="99">
        <f t="shared" si="121"/>
        <v>4.6821515615521572E-2</v>
      </c>
      <c r="R662">
        <v>1</v>
      </c>
      <c r="S662" s="7">
        <f t="shared" si="113"/>
        <v>8712000</v>
      </c>
      <c r="T662" s="7">
        <f t="shared" si="114"/>
        <v>2640000</v>
      </c>
      <c r="U662" s="7">
        <f t="shared" si="115"/>
        <v>10580000</v>
      </c>
      <c r="V662" s="7">
        <f t="shared" si="116"/>
        <v>1868000</v>
      </c>
      <c r="W662" s="7">
        <f t="shared" si="117"/>
        <v>330000</v>
      </c>
      <c r="X662" s="7">
        <f t="shared" si="118"/>
        <v>2198000</v>
      </c>
    </row>
    <row r="663" spans="1:24">
      <c r="A663">
        <v>662</v>
      </c>
      <c r="B663" s="96" t="s">
        <v>2941</v>
      </c>
      <c r="C663" s="95">
        <v>41134</v>
      </c>
      <c r="D663" s="82">
        <v>7870000</v>
      </c>
      <c r="E663" s="82">
        <v>7860000</v>
      </c>
      <c r="F663" s="82">
        <v>7910000</v>
      </c>
      <c r="G663" s="82">
        <v>7890000</v>
      </c>
      <c r="I663" s="97">
        <v>0</v>
      </c>
      <c r="J663" s="97">
        <v>0</v>
      </c>
      <c r="K663" s="97">
        <v>0</v>
      </c>
      <c r="M663" s="7">
        <f t="shared" si="111"/>
        <v>0</v>
      </c>
      <c r="N663" s="7">
        <f t="shared" si="120"/>
        <v>0</v>
      </c>
      <c r="O663" s="7">
        <f t="shared" si="119"/>
        <v>-30000</v>
      </c>
      <c r="P663" s="99">
        <f t="shared" si="112"/>
        <v>-3.787878787878788E-3</v>
      </c>
      <c r="Q663" s="99">
        <f t="shared" si="121"/>
        <v>3.1658441039896935E-2</v>
      </c>
      <c r="S663" s="7">
        <f t="shared" si="113"/>
        <v>8679000</v>
      </c>
      <c r="T663" s="7">
        <f t="shared" si="114"/>
        <v>2630000</v>
      </c>
      <c r="U663" s="7">
        <f t="shared" si="115"/>
        <v>10560000</v>
      </c>
      <c r="V663" s="7">
        <f t="shared" si="116"/>
        <v>0</v>
      </c>
      <c r="W663" s="7">
        <f t="shared" si="117"/>
        <v>0</v>
      </c>
      <c r="X663" s="7">
        <f t="shared" si="118"/>
        <v>0</v>
      </c>
    </row>
    <row r="664" spans="1:24">
      <c r="A664">
        <v>663</v>
      </c>
      <c r="B664" s="96" t="s">
        <v>2940</v>
      </c>
      <c r="C664" s="95">
        <v>41135</v>
      </c>
      <c r="D664" s="82">
        <v>7860000</v>
      </c>
      <c r="E664" s="82">
        <v>7840000</v>
      </c>
      <c r="F664" s="82">
        <v>7900000</v>
      </c>
      <c r="G664" s="82">
        <v>7845000</v>
      </c>
      <c r="I664" s="97">
        <v>0</v>
      </c>
      <c r="J664" s="97">
        <v>0</v>
      </c>
      <c r="K664" s="97">
        <v>0</v>
      </c>
      <c r="M664" s="7">
        <f t="shared" si="111"/>
        <v>0</v>
      </c>
      <c r="N664" s="7">
        <f t="shared" si="120"/>
        <v>0</v>
      </c>
      <c r="O664" s="7">
        <f t="shared" si="119"/>
        <v>-45000</v>
      </c>
      <c r="P664" s="99">
        <f t="shared" si="112"/>
        <v>-5.7034220532319393E-3</v>
      </c>
      <c r="Q664" s="99">
        <f t="shared" si="121"/>
        <v>7.037228918684817E-3</v>
      </c>
      <c r="S664" s="7">
        <f t="shared" si="113"/>
        <v>8629500</v>
      </c>
      <c r="T664" s="7">
        <f t="shared" si="114"/>
        <v>2615000</v>
      </c>
      <c r="U664" s="7">
        <f t="shared" si="115"/>
        <v>10610000</v>
      </c>
      <c r="V664" s="7">
        <f t="shared" si="116"/>
        <v>0</v>
      </c>
      <c r="W664" s="7">
        <f t="shared" si="117"/>
        <v>0</v>
      </c>
      <c r="X664" s="7">
        <f t="shared" si="118"/>
        <v>0</v>
      </c>
    </row>
    <row r="665" spans="1:24">
      <c r="A665">
        <v>664</v>
      </c>
      <c r="B665" s="96" t="s">
        <v>2939</v>
      </c>
      <c r="C665" s="95">
        <v>41136</v>
      </c>
      <c r="D665" s="82">
        <v>7830000</v>
      </c>
      <c r="E665" s="82">
        <v>7740000</v>
      </c>
      <c r="F665" s="82">
        <v>7830000</v>
      </c>
      <c r="G665" s="82">
        <v>7770000</v>
      </c>
      <c r="I665" s="97">
        <v>0</v>
      </c>
      <c r="J665" s="97">
        <v>0</v>
      </c>
      <c r="K665" s="97">
        <v>0</v>
      </c>
      <c r="M665" s="7">
        <f t="shared" si="111"/>
        <v>0</v>
      </c>
      <c r="N665" s="7">
        <f t="shared" si="120"/>
        <v>0</v>
      </c>
      <c r="O665" s="7">
        <f t="shared" si="119"/>
        <v>-75000</v>
      </c>
      <c r="P665" s="99">
        <f t="shared" si="112"/>
        <v>-9.5602294455066923E-3</v>
      </c>
      <c r="Q665" s="99">
        <f t="shared" si="121"/>
        <v>2.8119521151167164E-2</v>
      </c>
      <c r="S665" s="7">
        <f t="shared" si="113"/>
        <v>8547000</v>
      </c>
      <c r="T665" s="7">
        <f t="shared" si="114"/>
        <v>2590000</v>
      </c>
      <c r="U665" s="7">
        <f t="shared" si="115"/>
        <v>10900000</v>
      </c>
      <c r="V665" s="7">
        <f t="shared" si="116"/>
        <v>0</v>
      </c>
      <c r="W665" s="7">
        <f t="shared" si="117"/>
        <v>0</v>
      </c>
      <c r="X665" s="7">
        <f t="shared" si="118"/>
        <v>0</v>
      </c>
    </row>
    <row r="666" spans="1:24">
      <c r="A666">
        <v>665</v>
      </c>
      <c r="B666" s="96" t="s">
        <v>2938</v>
      </c>
      <c r="C666" s="95">
        <v>41137</v>
      </c>
      <c r="D666" s="82">
        <v>7790000</v>
      </c>
      <c r="E666" s="82">
        <v>7780000</v>
      </c>
      <c r="F666" s="82">
        <v>7880000</v>
      </c>
      <c r="G666" s="82">
        <v>7850000</v>
      </c>
      <c r="I666" s="98">
        <v>0</v>
      </c>
      <c r="J666" s="98">
        <v>0</v>
      </c>
      <c r="K666" s="98">
        <v>0</v>
      </c>
      <c r="M666" s="7">
        <f t="shared" si="111"/>
        <v>0</v>
      </c>
      <c r="N666" s="7">
        <f t="shared" si="120"/>
        <v>0</v>
      </c>
      <c r="O666" s="7">
        <f t="shared" si="119"/>
        <v>80000</v>
      </c>
      <c r="P666" s="99">
        <f t="shared" si="112"/>
        <v>1.0296010296010296E-2</v>
      </c>
      <c r="Q666" s="99">
        <f t="shared" si="121"/>
        <v>1.3316827747600181E-2</v>
      </c>
      <c r="S666" s="7">
        <f t="shared" si="113"/>
        <v>8635000</v>
      </c>
      <c r="T666" s="7">
        <f t="shared" si="114"/>
        <v>2616666.6666666665</v>
      </c>
      <c r="U666" s="7">
        <f t="shared" si="115"/>
        <v>10780000</v>
      </c>
      <c r="V666" s="7">
        <f t="shared" si="116"/>
        <v>0</v>
      </c>
      <c r="W666" s="7">
        <f t="shared" si="117"/>
        <v>0</v>
      </c>
      <c r="X666" s="7">
        <f t="shared" si="118"/>
        <v>0</v>
      </c>
    </row>
    <row r="667" spans="1:24">
      <c r="A667">
        <v>666</v>
      </c>
      <c r="B667" s="96" t="s">
        <v>2937</v>
      </c>
      <c r="C667" s="95">
        <v>41139</v>
      </c>
      <c r="D667" s="82">
        <v>7870000</v>
      </c>
      <c r="E667" s="82">
        <v>7820000</v>
      </c>
      <c r="F667" s="82">
        <v>7870000</v>
      </c>
      <c r="G667" s="82">
        <v>7860000</v>
      </c>
      <c r="I667" s="82">
        <f>G667*1.1</f>
        <v>8646000</v>
      </c>
      <c r="J667" s="82">
        <f>G667/3</f>
        <v>2620000</v>
      </c>
      <c r="K667" s="7">
        <f>G935</f>
        <v>10680000</v>
      </c>
      <c r="L667" s="7">
        <f>K667-I667</f>
        <v>2034000</v>
      </c>
      <c r="M667" s="7">
        <f t="shared" si="111"/>
        <v>327500</v>
      </c>
      <c r="N667" s="7">
        <f t="shared" si="120"/>
        <v>2361500</v>
      </c>
      <c r="O667" s="7">
        <f t="shared" si="119"/>
        <v>10000</v>
      </c>
      <c r="P667" s="99">
        <f t="shared" si="112"/>
        <v>1.2738853503184713E-3</v>
      </c>
      <c r="Q667" s="99">
        <f t="shared" si="121"/>
        <v>1.4485616420459365E-3</v>
      </c>
      <c r="R667">
        <v>1</v>
      </c>
      <c r="S667" s="7">
        <f t="shared" si="113"/>
        <v>8646000</v>
      </c>
      <c r="T667" s="7">
        <f t="shared" si="114"/>
        <v>2620000</v>
      </c>
      <c r="U667" s="7">
        <f t="shared" si="115"/>
        <v>10680000</v>
      </c>
      <c r="V667" s="7">
        <f t="shared" si="116"/>
        <v>2034000</v>
      </c>
      <c r="W667" s="7">
        <f t="shared" si="117"/>
        <v>327500</v>
      </c>
      <c r="X667" s="7">
        <f t="shared" si="118"/>
        <v>2361500</v>
      </c>
    </row>
    <row r="668" spans="1:24">
      <c r="A668">
        <v>667</v>
      </c>
      <c r="B668" s="96" t="s">
        <v>2936</v>
      </c>
      <c r="C668" s="95">
        <v>41142</v>
      </c>
      <c r="D668" s="82">
        <v>7870000</v>
      </c>
      <c r="E668" s="82">
        <v>7870000</v>
      </c>
      <c r="F668" s="82">
        <v>7960000</v>
      </c>
      <c r="G668" s="82">
        <v>7960000</v>
      </c>
      <c r="I668" s="97">
        <v>0</v>
      </c>
      <c r="J668" s="97">
        <v>0</v>
      </c>
      <c r="K668" s="97">
        <v>0</v>
      </c>
      <c r="M668" s="7">
        <f t="shared" si="111"/>
        <v>0</v>
      </c>
      <c r="N668" s="7">
        <f t="shared" si="120"/>
        <v>0</v>
      </c>
      <c r="O668" s="7">
        <f t="shared" si="119"/>
        <v>100000</v>
      </c>
      <c r="P668" s="99">
        <f t="shared" si="112"/>
        <v>1.2722646310432569E-2</v>
      </c>
      <c r="Q668" s="99">
        <f t="shared" si="121"/>
        <v>-7.4816346402886546E-3</v>
      </c>
      <c r="S668" s="7">
        <f t="shared" si="113"/>
        <v>8756000</v>
      </c>
      <c r="T668" s="7">
        <f t="shared" si="114"/>
        <v>2653333.3333333335</v>
      </c>
      <c r="U668" s="7">
        <f t="shared" si="115"/>
        <v>10570000</v>
      </c>
      <c r="V668" s="7">
        <f t="shared" si="116"/>
        <v>0</v>
      </c>
      <c r="W668" s="7">
        <f t="shared" si="117"/>
        <v>0</v>
      </c>
      <c r="X668" s="7">
        <f t="shared" si="118"/>
        <v>0</v>
      </c>
    </row>
    <row r="669" spans="1:24">
      <c r="A669">
        <v>668</v>
      </c>
      <c r="B669" s="96" t="s">
        <v>2935</v>
      </c>
      <c r="C669" s="95">
        <v>41143</v>
      </c>
      <c r="D669" s="82">
        <v>7985000</v>
      </c>
      <c r="E669" s="82">
        <v>7970000</v>
      </c>
      <c r="F669" s="82">
        <v>8050000</v>
      </c>
      <c r="G669" s="82">
        <v>8050000</v>
      </c>
      <c r="I669" s="97">
        <v>0</v>
      </c>
      <c r="J669" s="97">
        <v>0</v>
      </c>
      <c r="K669" s="97">
        <v>0</v>
      </c>
      <c r="M669" s="7">
        <f t="shared" si="111"/>
        <v>0</v>
      </c>
      <c r="N669" s="7">
        <f t="shared" si="120"/>
        <v>0</v>
      </c>
      <c r="O669" s="7">
        <f t="shared" si="119"/>
        <v>90000</v>
      </c>
      <c r="P669" s="99">
        <f t="shared" si="112"/>
        <v>1.1306532663316583E-2</v>
      </c>
      <c r="Q669" s="99">
        <f t="shared" si="121"/>
        <v>9.0288904580227043E-3</v>
      </c>
      <c r="S669" s="7">
        <f t="shared" si="113"/>
        <v>8855000</v>
      </c>
      <c r="T669" s="7">
        <f t="shared" si="114"/>
        <v>2683333.3333333335</v>
      </c>
      <c r="U669" s="7">
        <f t="shared" si="115"/>
        <v>10650000</v>
      </c>
      <c r="V669" s="7">
        <f t="shared" si="116"/>
        <v>0</v>
      </c>
      <c r="W669" s="7">
        <f t="shared" si="117"/>
        <v>0</v>
      </c>
      <c r="X669" s="7">
        <f t="shared" si="118"/>
        <v>0</v>
      </c>
    </row>
    <row r="670" spans="1:24">
      <c r="A670">
        <v>669</v>
      </c>
      <c r="B670" s="96" t="s">
        <v>2934</v>
      </c>
      <c r="C670" s="95">
        <v>41144</v>
      </c>
      <c r="D670" s="82">
        <v>8180000</v>
      </c>
      <c r="E670" s="82">
        <v>8180000</v>
      </c>
      <c r="F670" s="82">
        <v>8310000</v>
      </c>
      <c r="G670" s="82">
        <v>8265000</v>
      </c>
      <c r="I670" s="97">
        <v>0</v>
      </c>
      <c r="J670" s="97">
        <v>0</v>
      </c>
      <c r="K670" s="97">
        <v>0</v>
      </c>
      <c r="M670" s="7">
        <f t="shared" si="111"/>
        <v>0</v>
      </c>
      <c r="N670" s="7">
        <f t="shared" si="120"/>
        <v>0</v>
      </c>
      <c r="O670" s="7">
        <f t="shared" si="119"/>
        <v>215000</v>
      </c>
      <c r="P670" s="99">
        <f t="shared" si="112"/>
        <v>2.6708074534161491E-2</v>
      </c>
      <c r="Q670" s="99">
        <f t="shared" si="121"/>
        <v>2.6038845174571227E-2</v>
      </c>
      <c r="S670" s="7">
        <f t="shared" si="113"/>
        <v>9091500</v>
      </c>
      <c r="T670" s="7">
        <f t="shared" si="114"/>
        <v>2755000</v>
      </c>
      <c r="U670" s="7">
        <f t="shared" si="115"/>
        <v>10680000</v>
      </c>
      <c r="V670" s="7">
        <f t="shared" si="116"/>
        <v>0</v>
      </c>
      <c r="W670" s="7">
        <f t="shared" si="117"/>
        <v>0</v>
      </c>
      <c r="X670" s="7">
        <f t="shared" si="118"/>
        <v>0</v>
      </c>
    </row>
    <row r="671" spans="1:24">
      <c r="A671">
        <v>670</v>
      </c>
      <c r="B671" s="96" t="s">
        <v>2933</v>
      </c>
      <c r="C671" s="95">
        <v>41146</v>
      </c>
      <c r="D671" s="82">
        <v>8350000</v>
      </c>
      <c r="E671" s="82">
        <v>8350000</v>
      </c>
      <c r="F671" s="82">
        <v>8520000</v>
      </c>
      <c r="G671" s="82">
        <v>8430000</v>
      </c>
      <c r="I671" s="98">
        <v>0</v>
      </c>
      <c r="J671" s="98">
        <v>0</v>
      </c>
      <c r="K671" s="98">
        <v>0</v>
      </c>
      <c r="M671" s="7">
        <f t="shared" si="111"/>
        <v>0</v>
      </c>
      <c r="N671" s="7">
        <f t="shared" si="120"/>
        <v>0</v>
      </c>
      <c r="O671" s="7">
        <f t="shared" si="119"/>
        <v>165000</v>
      </c>
      <c r="P671" s="99">
        <f t="shared" si="112"/>
        <v>1.9963702359346643E-2</v>
      </c>
      <c r="Q671" s="99">
        <f t="shared" si="121"/>
        <v>6.2307149154239412E-2</v>
      </c>
      <c r="S671" s="7">
        <f t="shared" si="113"/>
        <v>9273000</v>
      </c>
      <c r="T671" s="7">
        <f t="shared" si="114"/>
        <v>2810000</v>
      </c>
      <c r="U671" s="7">
        <f t="shared" si="115"/>
        <v>10750000</v>
      </c>
      <c r="V671" s="7">
        <f t="shared" si="116"/>
        <v>0</v>
      </c>
      <c r="W671" s="7">
        <f t="shared" si="117"/>
        <v>0</v>
      </c>
      <c r="X671" s="7">
        <f t="shared" si="118"/>
        <v>0</v>
      </c>
    </row>
    <row r="672" spans="1:24">
      <c r="A672">
        <v>671</v>
      </c>
      <c r="B672" s="96" t="s">
        <v>2932</v>
      </c>
      <c r="C672" s="95">
        <v>41147</v>
      </c>
      <c r="D672" s="82">
        <v>8420000</v>
      </c>
      <c r="E672" s="82">
        <v>8340000</v>
      </c>
      <c r="F672" s="82">
        <v>8430000</v>
      </c>
      <c r="G672" s="82">
        <v>8340000</v>
      </c>
      <c r="I672" s="82">
        <f>G672*1.1</f>
        <v>9174000</v>
      </c>
      <c r="J672" s="82">
        <f>G672/3</f>
        <v>2780000</v>
      </c>
      <c r="K672" s="7">
        <f>G940</f>
        <v>10750000</v>
      </c>
      <c r="L672" s="7">
        <f>K672-I672</f>
        <v>1576000</v>
      </c>
      <c r="M672" s="7">
        <f t="shared" si="111"/>
        <v>347500</v>
      </c>
      <c r="N672" s="7">
        <f t="shared" si="120"/>
        <v>1923500</v>
      </c>
      <c r="O672" s="7">
        <f t="shared" si="119"/>
        <v>-90000</v>
      </c>
      <c r="P672" s="99">
        <f t="shared" si="112"/>
        <v>-1.0676156583629894E-2</v>
      </c>
      <c r="Q672" s="99">
        <f t="shared" si="121"/>
        <v>7.1974841217575747E-2</v>
      </c>
      <c r="R672">
        <v>1</v>
      </c>
      <c r="S672" s="7">
        <f t="shared" si="113"/>
        <v>9174000</v>
      </c>
      <c r="T672" s="7">
        <f t="shared" si="114"/>
        <v>2780000</v>
      </c>
      <c r="U672" s="7">
        <f t="shared" si="115"/>
        <v>10750000</v>
      </c>
      <c r="V672" s="7">
        <f t="shared" si="116"/>
        <v>1576000</v>
      </c>
      <c r="W672" s="7">
        <f t="shared" si="117"/>
        <v>347500</v>
      </c>
      <c r="X672" s="7">
        <f t="shared" si="118"/>
        <v>1923500</v>
      </c>
    </row>
    <row r="673" spans="1:24">
      <c r="A673">
        <v>672</v>
      </c>
      <c r="B673" s="96" t="s">
        <v>2931</v>
      </c>
      <c r="C673" s="95">
        <v>41148</v>
      </c>
      <c r="D673" s="82">
        <v>8330000</v>
      </c>
      <c r="E673" s="82">
        <v>8300000</v>
      </c>
      <c r="F673" s="82">
        <v>8390000</v>
      </c>
      <c r="G673" s="82">
        <v>8380000</v>
      </c>
      <c r="I673" s="97">
        <v>0</v>
      </c>
      <c r="J673" s="97">
        <v>0</v>
      </c>
      <c r="K673" s="97">
        <v>0</v>
      </c>
      <c r="M673" s="7">
        <f t="shared" si="111"/>
        <v>0</v>
      </c>
      <c r="N673" s="7">
        <f t="shared" si="120"/>
        <v>0</v>
      </c>
      <c r="O673" s="7">
        <f t="shared" si="119"/>
        <v>40000</v>
      </c>
      <c r="P673" s="99">
        <f t="shared" si="112"/>
        <v>4.7961630695443642E-3</v>
      </c>
      <c r="Q673" s="99">
        <f t="shared" si="121"/>
        <v>6.0024799283627382E-2</v>
      </c>
      <c r="S673" s="7">
        <f t="shared" si="113"/>
        <v>9218000</v>
      </c>
      <c r="T673" s="7">
        <f t="shared" si="114"/>
        <v>2793333.3333333335</v>
      </c>
      <c r="U673" s="7">
        <f t="shared" si="115"/>
        <v>10840000</v>
      </c>
      <c r="V673" s="7">
        <f t="shared" si="116"/>
        <v>0</v>
      </c>
      <c r="W673" s="7">
        <f t="shared" si="117"/>
        <v>0</v>
      </c>
      <c r="X673" s="7">
        <f t="shared" si="118"/>
        <v>0</v>
      </c>
    </row>
    <row r="674" spans="1:24">
      <c r="A674">
        <v>673</v>
      </c>
      <c r="B674" s="96" t="s">
        <v>2930</v>
      </c>
      <c r="C674" s="95">
        <v>41149</v>
      </c>
      <c r="D674" s="82">
        <v>8390000</v>
      </c>
      <c r="E674" s="82">
        <v>8350000</v>
      </c>
      <c r="F674" s="82">
        <v>8390000</v>
      </c>
      <c r="G674" s="82">
        <v>8350000</v>
      </c>
      <c r="I674" s="97">
        <v>0</v>
      </c>
      <c r="J674" s="97">
        <v>0</v>
      </c>
      <c r="K674" s="97">
        <v>0</v>
      </c>
      <c r="M674" s="7">
        <f t="shared" si="111"/>
        <v>0</v>
      </c>
      <c r="N674" s="7">
        <f t="shared" si="120"/>
        <v>0</v>
      </c>
      <c r="O674" s="7">
        <f t="shared" si="119"/>
        <v>-30000</v>
      </c>
      <c r="P674" s="99">
        <f t="shared" si="112"/>
        <v>-3.5799522673031028E-3</v>
      </c>
      <c r="Q674" s="99">
        <f t="shared" si="121"/>
        <v>5.2098316042739186E-2</v>
      </c>
      <c r="S674" s="7">
        <f t="shared" si="113"/>
        <v>9185000</v>
      </c>
      <c r="T674" s="7">
        <f t="shared" si="114"/>
        <v>2783333.3333333335</v>
      </c>
      <c r="U674" s="7">
        <f t="shared" si="115"/>
        <v>10630000</v>
      </c>
      <c r="V674" s="7">
        <f t="shared" si="116"/>
        <v>0</v>
      </c>
      <c r="W674" s="7">
        <f t="shared" si="117"/>
        <v>0</v>
      </c>
      <c r="X674" s="7">
        <f t="shared" si="118"/>
        <v>0</v>
      </c>
    </row>
    <row r="675" spans="1:24">
      <c r="A675">
        <v>674</v>
      </c>
      <c r="B675" s="96" t="s">
        <v>2929</v>
      </c>
      <c r="C675" s="95">
        <v>41150</v>
      </c>
      <c r="D675" s="82">
        <v>8360000</v>
      </c>
      <c r="E675" s="82">
        <v>8360000</v>
      </c>
      <c r="F675" s="82">
        <v>8360000</v>
      </c>
      <c r="G675" s="82">
        <v>8360000</v>
      </c>
      <c r="I675" s="97">
        <v>0</v>
      </c>
      <c r="J675" s="97">
        <v>0</v>
      </c>
      <c r="K675" s="97">
        <v>0</v>
      </c>
      <c r="M675" s="7">
        <f t="shared" si="111"/>
        <v>0</v>
      </c>
      <c r="N675" s="7">
        <f t="shared" si="120"/>
        <v>0</v>
      </c>
      <c r="O675" s="7">
        <f t="shared" si="119"/>
        <v>10000</v>
      </c>
      <c r="P675" s="99">
        <f t="shared" si="112"/>
        <v>1.1976047904191617E-3</v>
      </c>
      <c r="Q675" s="99">
        <f t="shared" si="121"/>
        <v>3.7211831112119502E-2</v>
      </c>
      <c r="S675" s="7">
        <f t="shared" si="113"/>
        <v>9196000</v>
      </c>
      <c r="T675" s="7">
        <f t="shared" si="114"/>
        <v>2786666.6666666665</v>
      </c>
      <c r="U675" s="7">
        <f t="shared" si="115"/>
        <v>10720000</v>
      </c>
      <c r="V675" s="7">
        <f t="shared" si="116"/>
        <v>0</v>
      </c>
      <c r="W675" s="7">
        <f t="shared" si="117"/>
        <v>0</v>
      </c>
      <c r="X675" s="7">
        <f t="shared" si="118"/>
        <v>0</v>
      </c>
    </row>
    <row r="676" spans="1:24">
      <c r="A676">
        <v>675</v>
      </c>
      <c r="B676" s="96" t="s">
        <v>2928</v>
      </c>
      <c r="C676" s="95">
        <v>41153</v>
      </c>
      <c r="D676" s="82">
        <v>8440000</v>
      </c>
      <c r="E676" s="82">
        <v>8380000</v>
      </c>
      <c r="F676" s="82">
        <v>8440000</v>
      </c>
      <c r="G676" s="82">
        <v>8380000</v>
      </c>
      <c r="I676" s="98">
        <v>0</v>
      </c>
      <c r="J676" s="98">
        <v>0</v>
      </c>
      <c r="K676" s="98">
        <v>0</v>
      </c>
      <c r="M676" s="7">
        <f t="shared" si="111"/>
        <v>0</v>
      </c>
      <c r="N676" s="7">
        <f t="shared" si="120"/>
        <v>0</v>
      </c>
      <c r="O676" s="7">
        <f t="shared" si="119"/>
        <v>20000</v>
      </c>
      <c r="P676" s="99">
        <f t="shared" si="112"/>
        <v>2.3923444976076554E-3</v>
      </c>
      <c r="Q676" s="99">
        <f t="shared" si="121"/>
        <v>1.1701361368377173E-2</v>
      </c>
      <c r="S676" s="7">
        <f t="shared" si="113"/>
        <v>9218000</v>
      </c>
      <c r="T676" s="7">
        <f t="shared" si="114"/>
        <v>2793333.3333333335</v>
      </c>
      <c r="U676" s="7">
        <f t="shared" si="115"/>
        <v>10630000</v>
      </c>
      <c r="V676" s="7">
        <f t="shared" si="116"/>
        <v>0</v>
      </c>
      <c r="W676" s="7">
        <f t="shared" si="117"/>
        <v>0</v>
      </c>
      <c r="X676" s="7">
        <f t="shared" si="118"/>
        <v>0</v>
      </c>
    </row>
    <row r="677" spans="1:24">
      <c r="A677">
        <v>676</v>
      </c>
      <c r="B677" s="96" t="s">
        <v>2927</v>
      </c>
      <c r="C677" s="95">
        <v>41154</v>
      </c>
      <c r="D677" s="82">
        <v>8390000</v>
      </c>
      <c r="E677" s="82">
        <v>8330000</v>
      </c>
      <c r="F677" s="82">
        <v>8390000</v>
      </c>
      <c r="G677" s="82">
        <v>8330000</v>
      </c>
      <c r="I677" s="82">
        <f>G677*1.1</f>
        <v>9163000</v>
      </c>
      <c r="J677" s="82">
        <f>G677/3</f>
        <v>2776666.6666666665</v>
      </c>
      <c r="K677" s="7">
        <f>G945</f>
        <v>10620000</v>
      </c>
      <c r="L677" s="7">
        <f>K677-I677</f>
        <v>1457000</v>
      </c>
      <c r="M677" s="7">
        <f t="shared" si="111"/>
        <v>347083.33333333326</v>
      </c>
      <c r="N677" s="7">
        <f t="shared" si="120"/>
        <v>1804083.3333333333</v>
      </c>
      <c r="O677" s="7">
        <f t="shared" si="119"/>
        <v>-50000</v>
      </c>
      <c r="P677" s="99">
        <f t="shared" si="112"/>
        <v>-5.9665871121718375E-3</v>
      </c>
      <c r="Q677" s="99">
        <f t="shared" si="121"/>
        <v>-5.8699964933618138E-3</v>
      </c>
      <c r="R677">
        <v>1</v>
      </c>
      <c r="S677" s="7">
        <f t="shared" si="113"/>
        <v>9163000</v>
      </c>
      <c r="T677" s="7">
        <f t="shared" si="114"/>
        <v>2776666.6666666665</v>
      </c>
      <c r="U677" s="7">
        <f t="shared" si="115"/>
        <v>10620000</v>
      </c>
      <c r="V677" s="7">
        <f t="shared" si="116"/>
        <v>1457000</v>
      </c>
      <c r="W677" s="7">
        <f t="shared" si="117"/>
        <v>347083.33333333326</v>
      </c>
      <c r="X677" s="7">
        <f t="shared" si="118"/>
        <v>1804083.3333333333</v>
      </c>
    </row>
    <row r="678" spans="1:24">
      <c r="A678">
        <v>677</v>
      </c>
      <c r="B678" s="96" t="s">
        <v>2926</v>
      </c>
      <c r="C678" s="95">
        <v>41155</v>
      </c>
      <c r="D678" s="82">
        <v>8200000</v>
      </c>
      <c r="E678" s="82">
        <v>8160000</v>
      </c>
      <c r="F678" s="82">
        <v>8370000</v>
      </c>
      <c r="G678" s="82">
        <v>8370000</v>
      </c>
      <c r="I678" s="97">
        <v>0</v>
      </c>
      <c r="J678" s="97">
        <v>0</v>
      </c>
      <c r="K678" s="97">
        <v>0</v>
      </c>
      <c r="M678" s="7">
        <f t="shared" si="111"/>
        <v>0</v>
      </c>
      <c r="N678" s="7">
        <f t="shared" si="120"/>
        <v>0</v>
      </c>
      <c r="O678" s="7">
        <f t="shared" si="119"/>
        <v>40000</v>
      </c>
      <c r="P678" s="99">
        <f t="shared" si="112"/>
        <v>4.8019207683073226E-3</v>
      </c>
      <c r="Q678" s="99">
        <f t="shared" si="121"/>
        <v>-1.1604270219037595E-3</v>
      </c>
      <c r="S678" s="7">
        <f t="shared" si="113"/>
        <v>9207000</v>
      </c>
      <c r="T678" s="7">
        <f t="shared" si="114"/>
        <v>2790000</v>
      </c>
      <c r="U678" s="7">
        <f t="shared" si="115"/>
        <v>10670000</v>
      </c>
      <c r="V678" s="7">
        <f t="shared" si="116"/>
        <v>0</v>
      </c>
      <c r="W678" s="7">
        <f t="shared" si="117"/>
        <v>0</v>
      </c>
      <c r="X678" s="7">
        <f t="shared" si="118"/>
        <v>0</v>
      </c>
    </row>
    <row r="679" spans="1:24">
      <c r="A679">
        <v>678</v>
      </c>
      <c r="B679" s="96" t="s">
        <v>2925</v>
      </c>
      <c r="C679" s="95">
        <v>41156</v>
      </c>
      <c r="D679" s="82">
        <v>8440000</v>
      </c>
      <c r="E679" s="82">
        <v>8400000</v>
      </c>
      <c r="F679" s="82">
        <v>8500000</v>
      </c>
      <c r="G679" s="82">
        <v>8400000</v>
      </c>
      <c r="I679" s="97">
        <v>0</v>
      </c>
      <c r="J679" s="97">
        <v>0</v>
      </c>
      <c r="K679" s="97">
        <v>0</v>
      </c>
      <c r="M679" s="7">
        <f t="shared" si="111"/>
        <v>0</v>
      </c>
      <c r="N679" s="7">
        <f t="shared" si="120"/>
        <v>0</v>
      </c>
      <c r="O679" s="7">
        <f t="shared" si="119"/>
        <v>30000</v>
      </c>
      <c r="P679" s="99">
        <f t="shared" si="112"/>
        <v>3.5842293906810036E-3</v>
      </c>
      <c r="Q679" s="99">
        <f t="shared" si="121"/>
        <v>-1.1546693231408002E-3</v>
      </c>
      <c r="S679" s="7">
        <f t="shared" si="113"/>
        <v>9240000</v>
      </c>
      <c r="T679" s="7">
        <f t="shared" si="114"/>
        <v>2800000</v>
      </c>
      <c r="U679" s="7">
        <f t="shared" si="115"/>
        <v>10470000</v>
      </c>
      <c r="V679" s="7">
        <f t="shared" si="116"/>
        <v>0</v>
      </c>
      <c r="W679" s="7">
        <f t="shared" si="117"/>
        <v>0</v>
      </c>
      <c r="X679" s="7">
        <f t="shared" si="118"/>
        <v>0</v>
      </c>
    </row>
    <row r="680" spans="1:24">
      <c r="A680">
        <v>679</v>
      </c>
      <c r="B680" s="96" t="s">
        <v>2924</v>
      </c>
      <c r="C680" s="95">
        <v>41157</v>
      </c>
      <c r="D680" s="82">
        <v>8420000</v>
      </c>
      <c r="E680" s="82">
        <v>8400000</v>
      </c>
      <c r="F680" s="82">
        <v>8560000</v>
      </c>
      <c r="G680" s="82">
        <v>8550000</v>
      </c>
      <c r="I680" s="97">
        <v>0</v>
      </c>
      <c r="J680" s="97">
        <v>0</v>
      </c>
      <c r="K680" s="97">
        <v>0</v>
      </c>
      <c r="M680" s="7">
        <f t="shared" si="111"/>
        <v>0</v>
      </c>
      <c r="N680" s="7">
        <f t="shared" si="120"/>
        <v>0</v>
      </c>
      <c r="O680" s="7">
        <f t="shared" si="119"/>
        <v>150000</v>
      </c>
      <c r="P680" s="99">
        <f t="shared" si="112"/>
        <v>1.7857142857142856E-2</v>
      </c>
      <c r="Q680" s="99">
        <f t="shared" si="121"/>
        <v>6.0095123348433057E-3</v>
      </c>
      <c r="S680" s="7">
        <f t="shared" si="113"/>
        <v>9405000</v>
      </c>
      <c r="T680" s="7">
        <f t="shared" si="114"/>
        <v>2850000</v>
      </c>
      <c r="U680" s="7">
        <f t="shared" si="115"/>
        <v>10230000</v>
      </c>
      <c r="V680" s="7">
        <f t="shared" si="116"/>
        <v>0</v>
      </c>
      <c r="W680" s="7">
        <f t="shared" si="117"/>
        <v>0</v>
      </c>
      <c r="X680" s="7">
        <f t="shared" si="118"/>
        <v>0</v>
      </c>
    </row>
    <row r="681" spans="1:24">
      <c r="A681">
        <v>680</v>
      </c>
      <c r="B681" s="96" t="s">
        <v>2923</v>
      </c>
      <c r="C681" s="95">
        <v>41158</v>
      </c>
      <c r="D681" s="82">
        <v>8700000</v>
      </c>
      <c r="E681" s="82">
        <v>8620000</v>
      </c>
      <c r="F681" s="82">
        <v>8700000</v>
      </c>
      <c r="G681" s="82">
        <v>8630000</v>
      </c>
      <c r="I681" s="98">
        <v>0</v>
      </c>
      <c r="J681" s="98">
        <v>0</v>
      </c>
      <c r="K681" s="98">
        <v>0</v>
      </c>
      <c r="M681" s="7">
        <f t="shared" si="111"/>
        <v>0</v>
      </c>
      <c r="N681" s="7">
        <f t="shared" si="120"/>
        <v>0</v>
      </c>
      <c r="O681" s="7">
        <f t="shared" si="119"/>
        <v>80000</v>
      </c>
      <c r="P681" s="99">
        <f t="shared" si="112"/>
        <v>9.3567251461988306E-3</v>
      </c>
      <c r="Q681" s="99">
        <f t="shared" si="121"/>
        <v>2.2669050401566998E-2</v>
      </c>
      <c r="S681" s="7">
        <f t="shared" si="113"/>
        <v>9493000</v>
      </c>
      <c r="T681" s="7">
        <f t="shared" si="114"/>
        <v>2876666.6666666665</v>
      </c>
      <c r="U681" s="7">
        <f t="shared" si="115"/>
        <v>10200000</v>
      </c>
      <c r="V681" s="7">
        <f t="shared" si="116"/>
        <v>0</v>
      </c>
      <c r="W681" s="7">
        <f t="shared" si="117"/>
        <v>0</v>
      </c>
      <c r="X681" s="7">
        <f t="shared" si="118"/>
        <v>0</v>
      </c>
    </row>
    <row r="682" spans="1:24">
      <c r="A682">
        <v>681</v>
      </c>
      <c r="B682" s="96" t="s">
        <v>2922</v>
      </c>
      <c r="C682" s="95">
        <v>41160</v>
      </c>
      <c r="D682" s="82">
        <v>8860000</v>
      </c>
      <c r="E682" s="82">
        <v>8860000</v>
      </c>
      <c r="F682" s="82">
        <v>9140000</v>
      </c>
      <c r="G682" s="82">
        <v>9080000</v>
      </c>
      <c r="I682" s="82">
        <f>G682*1.1</f>
        <v>9988000</v>
      </c>
      <c r="J682" s="82">
        <f>G682/3</f>
        <v>3026666.6666666665</v>
      </c>
      <c r="K682" s="7">
        <f>G950</f>
        <v>10330000</v>
      </c>
      <c r="L682" s="7">
        <f>K682-I682</f>
        <v>342000</v>
      </c>
      <c r="M682" s="7">
        <f t="shared" si="111"/>
        <v>378333.33333333326</v>
      </c>
      <c r="N682" s="7">
        <f t="shared" si="120"/>
        <v>720333.33333333326</v>
      </c>
      <c r="O682" s="7">
        <f t="shared" si="119"/>
        <v>450000</v>
      </c>
      <c r="P682" s="99">
        <f t="shared" si="112"/>
        <v>5.2143684820393978E-2</v>
      </c>
      <c r="Q682" s="99">
        <f t="shared" si="121"/>
        <v>2.9633431050158174E-2</v>
      </c>
      <c r="R682">
        <v>1</v>
      </c>
      <c r="S682" s="7">
        <f t="shared" si="113"/>
        <v>9988000</v>
      </c>
      <c r="T682" s="7">
        <f t="shared" si="114"/>
        <v>3026666.6666666665</v>
      </c>
      <c r="U682" s="7">
        <f t="shared" si="115"/>
        <v>10330000</v>
      </c>
      <c r="V682" s="7">
        <f t="shared" si="116"/>
        <v>342000</v>
      </c>
      <c r="W682" s="7">
        <f t="shared" si="117"/>
        <v>378333.33333333326</v>
      </c>
      <c r="X682" s="7">
        <f t="shared" si="118"/>
        <v>720333.33333333326</v>
      </c>
    </row>
    <row r="683" spans="1:24">
      <c r="A683">
        <v>682</v>
      </c>
      <c r="B683" s="96" t="s">
        <v>2921</v>
      </c>
      <c r="C683" s="95">
        <v>41161</v>
      </c>
      <c r="D683" s="82">
        <v>9220000</v>
      </c>
      <c r="E683" s="82">
        <v>9220000</v>
      </c>
      <c r="F683" s="82">
        <v>9450000</v>
      </c>
      <c r="G683" s="82">
        <v>9450000</v>
      </c>
      <c r="I683" s="97">
        <v>0</v>
      </c>
      <c r="J683" s="97">
        <v>0</v>
      </c>
      <c r="K683" s="97">
        <v>0</v>
      </c>
      <c r="M683" s="7">
        <f t="shared" si="111"/>
        <v>0</v>
      </c>
      <c r="N683" s="7">
        <f t="shared" si="120"/>
        <v>0</v>
      </c>
      <c r="O683" s="7">
        <f t="shared" si="119"/>
        <v>370000</v>
      </c>
      <c r="P683" s="99">
        <f t="shared" si="112"/>
        <v>4.0748898678414094E-2</v>
      </c>
      <c r="Q683" s="99">
        <f t="shared" si="121"/>
        <v>8.7743702982723992E-2</v>
      </c>
      <c r="S683" s="7">
        <f t="shared" si="113"/>
        <v>10395000</v>
      </c>
      <c r="T683" s="7">
        <f t="shared" si="114"/>
        <v>3150000</v>
      </c>
      <c r="U683" s="7">
        <f t="shared" si="115"/>
        <v>10380000</v>
      </c>
      <c r="V683" s="7">
        <f t="shared" si="116"/>
        <v>0</v>
      </c>
      <c r="W683" s="7">
        <f t="shared" si="117"/>
        <v>0</v>
      </c>
      <c r="X683" s="7">
        <f t="shared" si="118"/>
        <v>0</v>
      </c>
    </row>
    <row r="684" spans="1:24">
      <c r="A684">
        <v>683</v>
      </c>
      <c r="B684" s="96" t="s">
        <v>2920</v>
      </c>
      <c r="C684" s="95">
        <v>41162</v>
      </c>
      <c r="D684" s="82">
        <v>9800000</v>
      </c>
      <c r="E684" s="82">
        <v>9360000</v>
      </c>
      <c r="F684" s="82">
        <v>9800000</v>
      </c>
      <c r="G684" s="82">
        <v>9360000</v>
      </c>
      <c r="I684" s="97">
        <v>0</v>
      </c>
      <c r="J684" s="97">
        <v>0</v>
      </c>
      <c r="K684" s="97">
        <v>0</v>
      </c>
      <c r="M684" s="7">
        <f t="shared" si="111"/>
        <v>0</v>
      </c>
      <c r="N684" s="7">
        <f t="shared" si="120"/>
        <v>0</v>
      </c>
      <c r="O684" s="7">
        <f t="shared" si="119"/>
        <v>-90000</v>
      </c>
      <c r="P684" s="99">
        <f t="shared" si="112"/>
        <v>-9.5238095238095247E-3</v>
      </c>
      <c r="Q684" s="99">
        <f t="shared" si="121"/>
        <v>0.12369068089283076</v>
      </c>
      <c r="S684" s="7">
        <f t="shared" si="113"/>
        <v>10296000</v>
      </c>
      <c r="T684" s="7">
        <f t="shared" si="114"/>
        <v>3120000</v>
      </c>
      <c r="U684" s="7">
        <f t="shared" si="115"/>
        <v>10420000</v>
      </c>
      <c r="V684" s="7">
        <f t="shared" si="116"/>
        <v>0</v>
      </c>
      <c r="W684" s="7">
        <f t="shared" si="117"/>
        <v>0</v>
      </c>
      <c r="X684" s="7">
        <f t="shared" si="118"/>
        <v>0</v>
      </c>
    </row>
    <row r="685" spans="1:24">
      <c r="A685">
        <v>684</v>
      </c>
      <c r="B685" s="96" t="s">
        <v>2919</v>
      </c>
      <c r="C685" s="95">
        <v>41163</v>
      </c>
      <c r="D685" s="82">
        <v>9240000</v>
      </c>
      <c r="E685" s="82">
        <v>8750000</v>
      </c>
      <c r="F685" s="82">
        <v>9290000</v>
      </c>
      <c r="G685" s="82">
        <v>9290000</v>
      </c>
      <c r="I685" s="97">
        <v>0</v>
      </c>
      <c r="J685" s="97">
        <v>0</v>
      </c>
      <c r="K685" s="97">
        <v>0</v>
      </c>
      <c r="M685" s="7">
        <f t="shared" si="111"/>
        <v>0</v>
      </c>
      <c r="N685" s="7">
        <f t="shared" si="120"/>
        <v>0</v>
      </c>
      <c r="O685" s="7">
        <f t="shared" si="119"/>
        <v>-70000</v>
      </c>
      <c r="P685" s="99">
        <f t="shared" si="112"/>
        <v>-7.478632478632479E-3</v>
      </c>
      <c r="Q685" s="99">
        <f t="shared" si="121"/>
        <v>0.11058264197834022</v>
      </c>
      <c r="S685" s="7">
        <f t="shared" si="113"/>
        <v>10219000</v>
      </c>
      <c r="T685" s="7">
        <f t="shared" si="114"/>
        <v>3096666.6666666665</v>
      </c>
      <c r="U685" s="7">
        <f t="shared" si="115"/>
        <v>10390000</v>
      </c>
      <c r="V685" s="7">
        <f t="shared" si="116"/>
        <v>0</v>
      </c>
      <c r="W685" s="7">
        <f t="shared" si="117"/>
        <v>0</v>
      </c>
      <c r="X685" s="7">
        <f t="shared" si="118"/>
        <v>0</v>
      </c>
    </row>
    <row r="686" spans="1:24">
      <c r="A686">
        <v>685</v>
      </c>
      <c r="B686" s="96" t="s">
        <v>2918</v>
      </c>
      <c r="C686" s="95">
        <v>41165</v>
      </c>
      <c r="D686" s="82">
        <v>8970000</v>
      </c>
      <c r="E686" s="82">
        <v>8930000</v>
      </c>
      <c r="F686" s="82">
        <v>9230000</v>
      </c>
      <c r="G686" s="82">
        <v>9140000</v>
      </c>
      <c r="I686" s="98">
        <v>0</v>
      </c>
      <c r="J686" s="98">
        <v>0</v>
      </c>
      <c r="K686" s="98">
        <v>0</v>
      </c>
      <c r="M686" s="7">
        <f t="shared" si="111"/>
        <v>0</v>
      </c>
      <c r="N686" s="7">
        <f t="shared" si="120"/>
        <v>0</v>
      </c>
      <c r="O686" s="7">
        <f t="shared" si="119"/>
        <v>-150000</v>
      </c>
      <c r="P686" s="99">
        <f t="shared" si="112"/>
        <v>-1.6146393972012917E-2</v>
      </c>
      <c r="Q686" s="99">
        <f t="shared" si="121"/>
        <v>8.5246866642564895E-2</v>
      </c>
      <c r="S686" s="7">
        <f t="shared" si="113"/>
        <v>10054000</v>
      </c>
      <c r="T686" s="7">
        <f t="shared" si="114"/>
        <v>3046666.6666666665</v>
      </c>
      <c r="U686" s="7">
        <f t="shared" si="115"/>
        <v>10750000</v>
      </c>
      <c r="V686" s="7">
        <f t="shared" si="116"/>
        <v>0</v>
      </c>
      <c r="W686" s="7">
        <f t="shared" si="117"/>
        <v>0</v>
      </c>
      <c r="X686" s="7">
        <f t="shared" si="118"/>
        <v>0</v>
      </c>
    </row>
    <row r="687" spans="1:24">
      <c r="A687">
        <v>686</v>
      </c>
      <c r="B687" s="96" t="s">
        <v>2917</v>
      </c>
      <c r="C687" s="95">
        <v>41167</v>
      </c>
      <c r="D687" s="82">
        <v>9230000</v>
      </c>
      <c r="E687" s="82">
        <v>9220000</v>
      </c>
      <c r="F687" s="82">
        <v>9550000</v>
      </c>
      <c r="G687" s="82">
        <v>9420000</v>
      </c>
      <c r="I687" s="82">
        <f>G687*1.1</f>
        <v>10362000</v>
      </c>
      <c r="J687" s="82">
        <f>G687/3</f>
        <v>3140000</v>
      </c>
      <c r="K687" s="7">
        <f>G955</f>
        <v>10950000</v>
      </c>
      <c r="L687" s="7">
        <f>K687-I687</f>
        <v>588000</v>
      </c>
      <c r="M687" s="7">
        <f t="shared" si="111"/>
        <v>392500</v>
      </c>
      <c r="N687" s="7">
        <f t="shared" si="120"/>
        <v>980500</v>
      </c>
      <c r="O687" s="7">
        <f t="shared" si="119"/>
        <v>280000</v>
      </c>
      <c r="P687" s="99">
        <f t="shared" si="112"/>
        <v>3.0634573304157548E-2</v>
      </c>
      <c r="Q687" s="99">
        <f t="shared" si="121"/>
        <v>5.9743747524353165E-2</v>
      </c>
      <c r="R687">
        <v>1</v>
      </c>
      <c r="S687" s="7">
        <f t="shared" si="113"/>
        <v>10362000</v>
      </c>
      <c r="T687" s="7">
        <f t="shared" si="114"/>
        <v>3140000</v>
      </c>
      <c r="U687" s="7">
        <f t="shared" si="115"/>
        <v>10950000</v>
      </c>
      <c r="V687" s="7">
        <f t="shared" si="116"/>
        <v>588000</v>
      </c>
      <c r="W687" s="7">
        <f t="shared" si="117"/>
        <v>392500</v>
      </c>
      <c r="X687" s="7">
        <f t="shared" si="118"/>
        <v>980500</v>
      </c>
    </row>
    <row r="688" spans="1:24">
      <c r="A688">
        <v>687</v>
      </c>
      <c r="B688" s="96" t="s">
        <v>2916</v>
      </c>
      <c r="C688" s="95">
        <v>41168</v>
      </c>
      <c r="D688" s="82">
        <v>9450000</v>
      </c>
      <c r="E688" s="82">
        <v>9400000</v>
      </c>
      <c r="F688" s="82">
        <v>9500000</v>
      </c>
      <c r="G688" s="82">
        <v>9420000</v>
      </c>
      <c r="I688" s="97">
        <v>0</v>
      </c>
      <c r="J688" s="97">
        <v>0</v>
      </c>
      <c r="K688" s="97">
        <v>0</v>
      </c>
      <c r="M688" s="7">
        <f t="shared" si="111"/>
        <v>0</v>
      </c>
      <c r="N688" s="7">
        <f t="shared" si="120"/>
        <v>0</v>
      </c>
      <c r="O688" s="7">
        <f t="shared" si="119"/>
        <v>0</v>
      </c>
      <c r="P688" s="99">
        <f t="shared" si="112"/>
        <v>0</v>
      </c>
      <c r="Q688" s="99">
        <f t="shared" si="121"/>
        <v>3.8234636008116718E-2</v>
      </c>
      <c r="S688" s="7">
        <f t="shared" si="113"/>
        <v>10362000</v>
      </c>
      <c r="T688" s="7">
        <f t="shared" si="114"/>
        <v>3140000</v>
      </c>
      <c r="U688" s="7">
        <f t="shared" si="115"/>
        <v>10870000</v>
      </c>
      <c r="V688" s="7">
        <f t="shared" si="116"/>
        <v>0</v>
      </c>
      <c r="W688" s="7">
        <f t="shared" si="117"/>
        <v>0</v>
      </c>
      <c r="X688" s="7">
        <f t="shared" si="118"/>
        <v>0</v>
      </c>
    </row>
    <row r="689" spans="1:24">
      <c r="A689">
        <v>688</v>
      </c>
      <c r="B689" s="96" t="s">
        <v>2915</v>
      </c>
      <c r="C689" s="95">
        <v>41169</v>
      </c>
      <c r="D689" s="82">
        <v>9660000</v>
      </c>
      <c r="E689" s="82">
        <v>9520000</v>
      </c>
      <c r="F689" s="82">
        <v>9690000</v>
      </c>
      <c r="G689" s="82">
        <v>9540000</v>
      </c>
      <c r="I689" s="97">
        <v>0</v>
      </c>
      <c r="J689" s="97">
        <v>0</v>
      </c>
      <c r="K689" s="97">
        <v>0</v>
      </c>
      <c r="M689" s="7">
        <f t="shared" si="111"/>
        <v>0</v>
      </c>
      <c r="N689" s="7">
        <f t="shared" si="120"/>
        <v>0</v>
      </c>
      <c r="O689" s="7">
        <f t="shared" si="119"/>
        <v>120000</v>
      </c>
      <c r="P689" s="99">
        <f t="shared" si="112"/>
        <v>1.2738853503184714E-2</v>
      </c>
      <c r="Q689" s="99">
        <f t="shared" si="121"/>
        <v>-2.5142626702973729E-3</v>
      </c>
      <c r="S689" s="7">
        <f t="shared" si="113"/>
        <v>10494000</v>
      </c>
      <c r="T689" s="7">
        <f t="shared" si="114"/>
        <v>3180000</v>
      </c>
      <c r="U689" s="7">
        <f t="shared" si="115"/>
        <v>10950000</v>
      </c>
      <c r="V689" s="7">
        <f t="shared" si="116"/>
        <v>0</v>
      </c>
      <c r="W689" s="7">
        <f t="shared" si="117"/>
        <v>0</v>
      </c>
      <c r="X689" s="7">
        <f t="shared" si="118"/>
        <v>0</v>
      </c>
    </row>
    <row r="690" spans="1:24">
      <c r="A690">
        <v>689</v>
      </c>
      <c r="B690" s="96" t="s">
        <v>2914</v>
      </c>
      <c r="C690" s="95">
        <v>41170</v>
      </c>
      <c r="D690" s="82">
        <v>9390000</v>
      </c>
      <c r="E690" s="82">
        <v>9300000</v>
      </c>
      <c r="F690" s="82">
        <v>9480000</v>
      </c>
      <c r="G690" s="82">
        <v>9340000</v>
      </c>
      <c r="I690" s="97">
        <v>0</v>
      </c>
      <c r="J690" s="97">
        <v>0</v>
      </c>
      <c r="K690" s="97">
        <v>0</v>
      </c>
      <c r="M690" s="7">
        <f t="shared" si="111"/>
        <v>0</v>
      </c>
      <c r="N690" s="7">
        <f t="shared" si="120"/>
        <v>0</v>
      </c>
      <c r="O690" s="7">
        <f t="shared" si="119"/>
        <v>-200000</v>
      </c>
      <c r="P690" s="99">
        <f t="shared" si="112"/>
        <v>-2.0964360587002098E-2</v>
      </c>
      <c r="Q690" s="99">
        <f t="shared" si="121"/>
        <v>1.9748400356696866E-2</v>
      </c>
      <c r="S690" s="7">
        <f t="shared" si="113"/>
        <v>10274000</v>
      </c>
      <c r="T690" s="7">
        <f t="shared" si="114"/>
        <v>3113333.3333333335</v>
      </c>
      <c r="U690" s="7">
        <f t="shared" si="115"/>
        <v>10880000</v>
      </c>
      <c r="V690" s="7">
        <f t="shared" si="116"/>
        <v>0</v>
      </c>
      <c r="W690" s="7">
        <f t="shared" si="117"/>
        <v>0</v>
      </c>
      <c r="X690" s="7">
        <f t="shared" si="118"/>
        <v>0</v>
      </c>
    </row>
    <row r="691" spans="1:24">
      <c r="A691">
        <v>690</v>
      </c>
      <c r="B691" s="96" t="s">
        <v>2913</v>
      </c>
      <c r="C691" s="95">
        <v>41171</v>
      </c>
      <c r="D691" s="82">
        <v>9320000</v>
      </c>
      <c r="E691" s="82">
        <v>9300000</v>
      </c>
      <c r="F691" s="82">
        <v>9500000</v>
      </c>
      <c r="G691" s="82">
        <v>9490000</v>
      </c>
      <c r="I691" s="98">
        <v>0</v>
      </c>
      <c r="J691" s="98">
        <v>0</v>
      </c>
      <c r="K691" s="98">
        <v>0</v>
      </c>
      <c r="M691" s="7">
        <f t="shared" si="111"/>
        <v>0</v>
      </c>
      <c r="N691" s="7">
        <f t="shared" si="120"/>
        <v>0</v>
      </c>
      <c r="O691" s="7">
        <f t="shared" si="119"/>
        <v>150000</v>
      </c>
      <c r="P691" s="99">
        <f t="shared" si="112"/>
        <v>1.6059957173447537E-2</v>
      </c>
      <c r="Q691" s="99">
        <f t="shared" si="121"/>
        <v>6.262672248327248E-3</v>
      </c>
      <c r="S691" s="7">
        <f t="shared" si="113"/>
        <v>10439000</v>
      </c>
      <c r="T691" s="7">
        <f t="shared" si="114"/>
        <v>3163333.3333333335</v>
      </c>
      <c r="U691" s="7">
        <f t="shared" si="115"/>
        <v>11035000</v>
      </c>
      <c r="V691" s="7">
        <f t="shared" si="116"/>
        <v>0</v>
      </c>
      <c r="W691" s="7">
        <f t="shared" si="117"/>
        <v>0</v>
      </c>
      <c r="X691" s="7">
        <f t="shared" si="118"/>
        <v>0</v>
      </c>
    </row>
    <row r="692" spans="1:24">
      <c r="A692">
        <v>691</v>
      </c>
      <c r="B692" s="96" t="s">
        <v>2912</v>
      </c>
      <c r="C692" s="95">
        <v>41172</v>
      </c>
      <c r="D692" s="82">
        <v>9460000</v>
      </c>
      <c r="E692" s="82">
        <v>9460000</v>
      </c>
      <c r="F692" s="82">
        <v>9520000</v>
      </c>
      <c r="G692" s="82">
        <v>9500000</v>
      </c>
      <c r="I692" s="82">
        <f>G692*1.1</f>
        <v>10450000</v>
      </c>
      <c r="J692" s="82">
        <f>G692/3</f>
        <v>3166666.6666666665</v>
      </c>
      <c r="K692" s="7">
        <f>G960</f>
        <v>11280000</v>
      </c>
      <c r="L692" s="7">
        <f>K692-I692</f>
        <v>830000</v>
      </c>
      <c r="M692" s="7">
        <f t="shared" si="111"/>
        <v>395833.33333333326</v>
      </c>
      <c r="N692" s="7">
        <f t="shared" si="120"/>
        <v>1225833.3333333333</v>
      </c>
      <c r="O692" s="7">
        <f t="shared" si="119"/>
        <v>10000</v>
      </c>
      <c r="P692" s="99">
        <f t="shared" si="112"/>
        <v>1.053740779768177E-3</v>
      </c>
      <c r="Q692" s="99">
        <f t="shared" si="121"/>
        <v>3.8469023393787702E-2</v>
      </c>
      <c r="R692">
        <v>1</v>
      </c>
      <c r="S692" s="7">
        <f t="shared" si="113"/>
        <v>10450000</v>
      </c>
      <c r="T692" s="7">
        <f t="shared" si="114"/>
        <v>3166666.6666666665</v>
      </c>
      <c r="U692" s="7">
        <f t="shared" si="115"/>
        <v>11280000</v>
      </c>
      <c r="V692" s="7">
        <f t="shared" si="116"/>
        <v>830000</v>
      </c>
      <c r="W692" s="7">
        <f t="shared" si="117"/>
        <v>395833.33333333326</v>
      </c>
      <c r="X692" s="7">
        <f t="shared" si="118"/>
        <v>1225833.3333333333</v>
      </c>
    </row>
    <row r="693" spans="1:24">
      <c r="A693">
        <v>692</v>
      </c>
      <c r="B693" s="96" t="s">
        <v>2911</v>
      </c>
      <c r="C693" s="95">
        <v>41174</v>
      </c>
      <c r="D693" s="82">
        <v>9660000</v>
      </c>
      <c r="E693" s="82">
        <v>9550000</v>
      </c>
      <c r="F693" s="82">
        <v>9700000</v>
      </c>
      <c r="G693" s="82">
        <v>9700000</v>
      </c>
      <c r="I693" s="97">
        <v>0</v>
      </c>
      <c r="J693" s="97">
        <v>0</v>
      </c>
      <c r="K693" s="97">
        <v>0</v>
      </c>
      <c r="M693" s="7">
        <f t="shared" si="111"/>
        <v>0</v>
      </c>
      <c r="N693" s="7">
        <f t="shared" si="120"/>
        <v>0</v>
      </c>
      <c r="O693" s="7">
        <f t="shared" si="119"/>
        <v>200000</v>
      </c>
      <c r="P693" s="99">
        <f t="shared" si="112"/>
        <v>2.1052631578947368E-2</v>
      </c>
      <c r="Q693" s="99">
        <f t="shared" si="121"/>
        <v>8.88819086939833E-3</v>
      </c>
      <c r="S693" s="7">
        <f t="shared" si="113"/>
        <v>10670000</v>
      </c>
      <c r="T693" s="7">
        <f t="shared" si="114"/>
        <v>3233333.3333333335</v>
      </c>
      <c r="U693" s="7">
        <f t="shared" si="115"/>
        <v>11470000</v>
      </c>
      <c r="V693" s="7">
        <f t="shared" si="116"/>
        <v>0</v>
      </c>
      <c r="W693" s="7">
        <f t="shared" si="117"/>
        <v>0</v>
      </c>
      <c r="X693" s="7">
        <f t="shared" si="118"/>
        <v>0</v>
      </c>
    </row>
    <row r="694" spans="1:24">
      <c r="A694">
        <v>693</v>
      </c>
      <c r="B694" s="96" t="s">
        <v>2910</v>
      </c>
      <c r="C694" s="95">
        <v>41175</v>
      </c>
      <c r="D694" s="82">
        <v>9680000</v>
      </c>
      <c r="E694" s="82">
        <v>9660000</v>
      </c>
      <c r="F694" s="82">
        <v>9830000</v>
      </c>
      <c r="G694" s="82">
        <v>9780000</v>
      </c>
      <c r="I694" s="97">
        <v>0</v>
      </c>
      <c r="J694" s="97">
        <v>0</v>
      </c>
      <c r="K694" s="97">
        <v>0</v>
      </c>
      <c r="M694" s="7">
        <f t="shared" si="111"/>
        <v>0</v>
      </c>
      <c r="N694" s="7">
        <f t="shared" si="120"/>
        <v>0</v>
      </c>
      <c r="O694" s="7">
        <f t="shared" si="119"/>
        <v>80000</v>
      </c>
      <c r="P694" s="99">
        <f t="shared" si="112"/>
        <v>8.2474226804123713E-3</v>
      </c>
      <c r="Q694" s="99">
        <f t="shared" si="121"/>
        <v>2.99408224483457E-2</v>
      </c>
      <c r="S694" s="7">
        <f t="shared" si="113"/>
        <v>10758000</v>
      </c>
      <c r="T694" s="7">
        <f t="shared" si="114"/>
        <v>3260000</v>
      </c>
      <c r="U694" s="7">
        <f t="shared" si="115"/>
        <v>11125000</v>
      </c>
      <c r="V694" s="7">
        <f t="shared" si="116"/>
        <v>0</v>
      </c>
      <c r="W694" s="7">
        <f t="shared" si="117"/>
        <v>0</v>
      </c>
      <c r="X694" s="7">
        <f t="shared" si="118"/>
        <v>0</v>
      </c>
    </row>
    <row r="695" spans="1:24">
      <c r="A695">
        <v>694</v>
      </c>
      <c r="B695" s="96" t="s">
        <v>2909</v>
      </c>
      <c r="C695" s="95">
        <v>41176</v>
      </c>
      <c r="D695" s="82">
        <v>9700000</v>
      </c>
      <c r="E695" s="82">
        <v>9690000</v>
      </c>
      <c r="F695" s="82">
        <v>10130000</v>
      </c>
      <c r="G695" s="82">
        <v>10110000</v>
      </c>
      <c r="I695" s="97">
        <v>0</v>
      </c>
      <c r="J695" s="97">
        <v>0</v>
      </c>
      <c r="K695" s="97">
        <v>0</v>
      </c>
      <c r="M695" s="7">
        <f t="shared" si="111"/>
        <v>0</v>
      </c>
      <c r="N695" s="7">
        <f t="shared" si="120"/>
        <v>0</v>
      </c>
      <c r="O695" s="7">
        <f t="shared" si="119"/>
        <v>330000</v>
      </c>
      <c r="P695" s="99">
        <f t="shared" si="112"/>
        <v>3.3742331288343558E-2</v>
      </c>
      <c r="Q695" s="99">
        <f t="shared" si="121"/>
        <v>2.5449391625573359E-2</v>
      </c>
      <c r="S695" s="7">
        <f t="shared" si="113"/>
        <v>11121000</v>
      </c>
      <c r="T695" s="7">
        <f t="shared" si="114"/>
        <v>3370000</v>
      </c>
      <c r="U695" s="7">
        <f t="shared" si="115"/>
        <v>11200000</v>
      </c>
      <c r="V695" s="7">
        <f t="shared" si="116"/>
        <v>0</v>
      </c>
      <c r="W695" s="7">
        <f t="shared" si="117"/>
        <v>0</v>
      </c>
      <c r="X695" s="7">
        <f t="shared" si="118"/>
        <v>0</v>
      </c>
    </row>
    <row r="696" spans="1:24">
      <c r="A696">
        <v>695</v>
      </c>
      <c r="B696" s="96" t="s">
        <v>2908</v>
      </c>
      <c r="C696" s="95">
        <v>41177</v>
      </c>
      <c r="D696" s="82">
        <v>10310000</v>
      </c>
      <c r="E696" s="82">
        <v>10170000</v>
      </c>
      <c r="F696" s="82">
        <v>10680000</v>
      </c>
      <c r="G696" s="82">
        <v>10290000</v>
      </c>
      <c r="I696" s="98">
        <v>0</v>
      </c>
      <c r="J696" s="98">
        <v>0</v>
      </c>
      <c r="K696" s="98">
        <v>0</v>
      </c>
      <c r="M696" s="7">
        <f t="shared" si="111"/>
        <v>0</v>
      </c>
      <c r="N696" s="7">
        <f t="shared" si="120"/>
        <v>0</v>
      </c>
      <c r="O696" s="7">
        <f t="shared" si="119"/>
        <v>180000</v>
      </c>
      <c r="P696" s="99">
        <f t="shared" si="112"/>
        <v>1.7804154302670624E-2</v>
      </c>
      <c r="Q696" s="99">
        <f t="shared" si="121"/>
        <v>8.0156083500919018E-2</v>
      </c>
      <c r="S696" s="7">
        <f t="shared" si="113"/>
        <v>11319000</v>
      </c>
      <c r="T696" s="7">
        <f t="shared" si="114"/>
        <v>3430000</v>
      </c>
      <c r="U696" s="7">
        <f t="shared" si="115"/>
        <v>11080000</v>
      </c>
      <c r="V696" s="7">
        <f t="shared" si="116"/>
        <v>0</v>
      </c>
      <c r="W696" s="7">
        <f t="shared" si="117"/>
        <v>0</v>
      </c>
      <c r="X696" s="7">
        <f t="shared" si="118"/>
        <v>0</v>
      </c>
    </row>
    <row r="697" spans="1:24">
      <c r="A697">
        <v>696</v>
      </c>
      <c r="B697" s="96" t="s">
        <v>2907</v>
      </c>
      <c r="C697" s="95">
        <v>41178</v>
      </c>
      <c r="D697" s="82">
        <v>10520000</v>
      </c>
      <c r="E697" s="82">
        <v>10380000</v>
      </c>
      <c r="F697" s="82">
        <v>10630000</v>
      </c>
      <c r="G697" s="82">
        <v>10490000</v>
      </c>
      <c r="I697" s="82">
        <f>G697*1.1</f>
        <v>11539000</v>
      </c>
      <c r="J697" s="82">
        <f>G697/3</f>
        <v>3496666.6666666665</v>
      </c>
      <c r="K697" s="7">
        <f>G965</f>
        <v>10630000</v>
      </c>
      <c r="L697" s="7">
        <f>K697-I697</f>
        <v>-909000</v>
      </c>
      <c r="M697" s="7">
        <f t="shared" si="111"/>
        <v>437083.33333333326</v>
      </c>
      <c r="N697" s="7">
        <f t="shared" si="120"/>
        <v>-471916.66666666674</v>
      </c>
      <c r="O697" s="7">
        <f t="shared" si="119"/>
        <v>200000</v>
      </c>
      <c r="P697" s="99">
        <f t="shared" si="112"/>
        <v>1.9436345966958212E-2</v>
      </c>
      <c r="Q697" s="99">
        <f t="shared" si="121"/>
        <v>8.1900280630142097E-2</v>
      </c>
      <c r="R697">
        <v>1</v>
      </c>
      <c r="S697" s="7">
        <f t="shared" si="113"/>
        <v>11539000</v>
      </c>
      <c r="T697" s="7">
        <f t="shared" si="114"/>
        <v>3496666.6666666665</v>
      </c>
      <c r="U697" s="7">
        <f t="shared" si="115"/>
        <v>10630000</v>
      </c>
      <c r="V697" s="7">
        <f t="shared" si="116"/>
        <v>-909000</v>
      </c>
      <c r="W697" s="7">
        <f t="shared" si="117"/>
        <v>437083.33333333326</v>
      </c>
      <c r="X697" s="7">
        <f t="shared" si="118"/>
        <v>-471916.66666666674</v>
      </c>
    </row>
    <row r="698" spans="1:24">
      <c r="A698">
        <v>697</v>
      </c>
      <c r="B698" s="96" t="s">
        <v>2906</v>
      </c>
      <c r="C698" s="95">
        <v>41179</v>
      </c>
      <c r="D698" s="82">
        <v>10800000</v>
      </c>
      <c r="E698" s="82">
        <v>10700000</v>
      </c>
      <c r="F698" s="82">
        <v>10870000</v>
      </c>
      <c r="G698" s="82">
        <v>10700000</v>
      </c>
      <c r="I698" s="97">
        <v>0</v>
      </c>
      <c r="J698" s="97">
        <v>0</v>
      </c>
      <c r="K698" s="97">
        <v>0</v>
      </c>
      <c r="M698" s="7">
        <f t="shared" si="111"/>
        <v>0</v>
      </c>
      <c r="N698" s="7">
        <f t="shared" si="120"/>
        <v>0</v>
      </c>
      <c r="O698" s="7">
        <f t="shared" si="119"/>
        <v>210000</v>
      </c>
      <c r="P698" s="99">
        <f t="shared" si="112"/>
        <v>2.0019065776930411E-2</v>
      </c>
      <c r="Q698" s="99">
        <f t="shared" si="121"/>
        <v>0.10028288581733215</v>
      </c>
      <c r="S698" s="7">
        <f t="shared" si="113"/>
        <v>11770000.000000002</v>
      </c>
      <c r="T698" s="7">
        <f t="shared" si="114"/>
        <v>3566666.6666666665</v>
      </c>
      <c r="U698" s="7">
        <f t="shared" si="115"/>
        <v>10490000</v>
      </c>
      <c r="V698" s="7">
        <f t="shared" si="116"/>
        <v>0</v>
      </c>
      <c r="W698" s="7">
        <f t="shared" si="117"/>
        <v>0</v>
      </c>
      <c r="X698" s="7">
        <f t="shared" si="118"/>
        <v>0</v>
      </c>
    </row>
    <row r="699" spans="1:24">
      <c r="A699">
        <v>698</v>
      </c>
      <c r="B699" s="96" t="s">
        <v>2905</v>
      </c>
      <c r="C699" s="95">
        <v>41181</v>
      </c>
      <c r="D699" s="82">
        <v>10940000</v>
      </c>
      <c r="E699" s="82">
        <v>10940000</v>
      </c>
      <c r="F699" s="82">
        <v>11480000</v>
      </c>
      <c r="G699" s="82">
        <v>11320000</v>
      </c>
      <c r="I699" s="97">
        <v>0</v>
      </c>
      <c r="J699" s="97">
        <v>0</v>
      </c>
      <c r="K699" s="97">
        <v>0</v>
      </c>
      <c r="M699" s="7">
        <f t="shared" si="111"/>
        <v>0</v>
      </c>
      <c r="N699" s="7">
        <f t="shared" si="120"/>
        <v>0</v>
      </c>
      <c r="O699" s="7">
        <f t="shared" si="119"/>
        <v>620000</v>
      </c>
      <c r="P699" s="99">
        <f t="shared" si="112"/>
        <v>5.7943925233644861E-2</v>
      </c>
      <c r="Q699" s="99">
        <f t="shared" si="121"/>
        <v>9.9249320015315182E-2</v>
      </c>
      <c r="S699" s="7">
        <f t="shared" si="113"/>
        <v>12452000.000000002</v>
      </c>
      <c r="T699" s="7">
        <f t="shared" si="114"/>
        <v>3773333.3333333335</v>
      </c>
      <c r="U699" s="7">
        <f t="shared" si="115"/>
        <v>10350000</v>
      </c>
      <c r="V699" s="7">
        <f t="shared" si="116"/>
        <v>0</v>
      </c>
      <c r="W699" s="7">
        <f t="shared" si="117"/>
        <v>0</v>
      </c>
      <c r="X699" s="7">
        <f t="shared" si="118"/>
        <v>0</v>
      </c>
    </row>
    <row r="700" spans="1:24">
      <c r="A700">
        <v>699</v>
      </c>
      <c r="B700" s="96" t="s">
        <v>2904</v>
      </c>
      <c r="C700" s="95">
        <v>41182</v>
      </c>
      <c r="D700" s="82">
        <v>11700000</v>
      </c>
      <c r="E700" s="82">
        <v>11400000</v>
      </c>
      <c r="F700" s="82">
        <v>11710000</v>
      </c>
      <c r="G700" s="82">
        <v>11670000</v>
      </c>
      <c r="I700" s="97">
        <v>0</v>
      </c>
      <c r="J700" s="97">
        <v>0</v>
      </c>
      <c r="K700" s="97">
        <v>0</v>
      </c>
      <c r="M700" s="7">
        <f t="shared" si="111"/>
        <v>0</v>
      </c>
      <c r="N700" s="7">
        <f t="shared" si="120"/>
        <v>0</v>
      </c>
      <c r="O700" s="7">
        <f t="shared" si="119"/>
        <v>350000</v>
      </c>
      <c r="P700" s="99">
        <f t="shared" si="112"/>
        <v>3.0918727915194347E-2</v>
      </c>
      <c r="Q700" s="99">
        <f t="shared" si="121"/>
        <v>0.14894582256854766</v>
      </c>
      <c r="S700" s="7">
        <f t="shared" si="113"/>
        <v>12837000.000000002</v>
      </c>
      <c r="T700" s="7">
        <f t="shared" si="114"/>
        <v>3890000</v>
      </c>
      <c r="U700" s="7">
        <f t="shared" si="115"/>
        <v>10090000</v>
      </c>
      <c r="V700" s="7">
        <f t="shared" si="116"/>
        <v>0</v>
      </c>
      <c r="W700" s="7">
        <f t="shared" si="117"/>
        <v>0</v>
      </c>
      <c r="X700" s="7">
        <f t="shared" si="118"/>
        <v>0</v>
      </c>
    </row>
    <row r="701" spans="1:24">
      <c r="A701">
        <v>700</v>
      </c>
      <c r="B701" s="96" t="s">
        <v>2903</v>
      </c>
      <c r="C701" s="95">
        <v>41183</v>
      </c>
      <c r="D701" s="82">
        <v>12550000</v>
      </c>
      <c r="E701" s="82">
        <v>12540000</v>
      </c>
      <c r="F701" s="82">
        <v>13450000</v>
      </c>
      <c r="G701" s="82">
        <v>13450000</v>
      </c>
      <c r="I701" s="98">
        <v>0</v>
      </c>
      <c r="J701" s="98">
        <v>0</v>
      </c>
      <c r="K701" s="98">
        <v>0</v>
      </c>
      <c r="M701" s="7">
        <f t="shared" si="111"/>
        <v>0</v>
      </c>
      <c r="N701" s="7">
        <f t="shared" si="120"/>
        <v>0</v>
      </c>
      <c r="O701" s="7">
        <f t="shared" si="119"/>
        <v>1780000</v>
      </c>
      <c r="P701" s="99">
        <f t="shared" si="112"/>
        <v>0.15252784918594686</v>
      </c>
      <c r="Q701" s="99">
        <f t="shared" si="121"/>
        <v>0.14612221919539845</v>
      </c>
      <c r="S701" s="7">
        <f t="shared" si="113"/>
        <v>14795000.000000002</v>
      </c>
      <c r="T701" s="7">
        <f t="shared" si="114"/>
        <v>4483333.333333333</v>
      </c>
      <c r="U701" s="7">
        <f t="shared" si="115"/>
        <v>10110000</v>
      </c>
      <c r="V701" s="7">
        <f t="shared" si="116"/>
        <v>0</v>
      </c>
      <c r="W701" s="7">
        <f t="shared" si="117"/>
        <v>0</v>
      </c>
      <c r="X701" s="7">
        <f t="shared" si="118"/>
        <v>0</v>
      </c>
    </row>
    <row r="702" spans="1:24">
      <c r="A702">
        <v>701</v>
      </c>
      <c r="B702" s="96" t="s">
        <v>2902</v>
      </c>
      <c r="C702" s="95">
        <v>41184</v>
      </c>
      <c r="D702" s="82">
        <v>14400000</v>
      </c>
      <c r="E702" s="82">
        <v>12000000</v>
      </c>
      <c r="F702" s="82">
        <v>14400000</v>
      </c>
      <c r="G702" s="82">
        <v>13500000</v>
      </c>
      <c r="I702" s="82">
        <f>G702*1.1</f>
        <v>14850000.000000002</v>
      </c>
      <c r="J702" s="82">
        <f>G702/3</f>
        <v>4500000</v>
      </c>
      <c r="K702" s="7">
        <f>G970</f>
        <v>9640000</v>
      </c>
      <c r="L702" s="7">
        <f>K702-I702</f>
        <v>-5210000.0000000019</v>
      </c>
      <c r="M702" s="7">
        <f t="shared" si="111"/>
        <v>562500</v>
      </c>
      <c r="N702" s="7">
        <f t="shared" si="120"/>
        <v>-4647500.0000000019</v>
      </c>
      <c r="O702" s="7">
        <f t="shared" si="119"/>
        <v>50000</v>
      </c>
      <c r="P702" s="99">
        <f t="shared" si="112"/>
        <v>3.7174721189591076E-3</v>
      </c>
      <c r="Q702" s="99">
        <f t="shared" si="121"/>
        <v>0.28084591407867471</v>
      </c>
      <c r="R702">
        <v>1</v>
      </c>
      <c r="S702" s="7">
        <f t="shared" si="113"/>
        <v>14850000.000000002</v>
      </c>
      <c r="T702" s="7">
        <f t="shared" si="114"/>
        <v>4500000</v>
      </c>
      <c r="U702" s="7">
        <f t="shared" si="115"/>
        <v>9640000</v>
      </c>
      <c r="V702" s="7">
        <f t="shared" si="116"/>
        <v>-5210000.0000000019</v>
      </c>
      <c r="W702" s="7">
        <f t="shared" si="117"/>
        <v>562500</v>
      </c>
      <c r="X702" s="7">
        <f t="shared" si="118"/>
        <v>-4647500.0000000019</v>
      </c>
    </row>
    <row r="703" spans="1:24">
      <c r="A703">
        <v>702</v>
      </c>
      <c r="B703" s="96" t="s">
        <v>2901</v>
      </c>
      <c r="C703" s="95">
        <v>41192</v>
      </c>
      <c r="D703" s="82">
        <v>12700000</v>
      </c>
      <c r="E703" s="82">
        <v>12550000</v>
      </c>
      <c r="F703" s="82">
        <v>12850000</v>
      </c>
      <c r="G703" s="82">
        <v>12800000</v>
      </c>
      <c r="I703" s="97">
        <v>0</v>
      </c>
      <c r="J703" s="97">
        <v>0</v>
      </c>
      <c r="K703" s="97">
        <v>0</v>
      </c>
      <c r="M703" s="7">
        <f t="shared" si="111"/>
        <v>0</v>
      </c>
      <c r="N703" s="7">
        <f t="shared" si="120"/>
        <v>0</v>
      </c>
      <c r="O703" s="7">
        <f t="shared" si="119"/>
        <v>-700000</v>
      </c>
      <c r="P703" s="99">
        <f t="shared" si="112"/>
        <v>-5.185185185185185E-2</v>
      </c>
      <c r="Q703" s="99">
        <f t="shared" si="121"/>
        <v>0.26512704023067557</v>
      </c>
      <c r="S703" s="7">
        <f t="shared" si="113"/>
        <v>14080000.000000002</v>
      </c>
      <c r="T703" s="7">
        <f t="shared" si="114"/>
        <v>4266666.666666667</v>
      </c>
      <c r="U703" s="7">
        <f t="shared" si="115"/>
        <v>9600000</v>
      </c>
      <c r="V703" s="7">
        <f t="shared" si="116"/>
        <v>0</v>
      </c>
      <c r="W703" s="7">
        <f t="shared" si="117"/>
        <v>0</v>
      </c>
      <c r="X703" s="7">
        <f t="shared" si="118"/>
        <v>0</v>
      </c>
    </row>
    <row r="704" spans="1:24">
      <c r="A704">
        <v>703</v>
      </c>
      <c r="B704" s="96" t="s">
        <v>2900</v>
      </c>
      <c r="C704" s="95">
        <v>41193</v>
      </c>
      <c r="D704" s="82">
        <v>12850000</v>
      </c>
      <c r="E704" s="82">
        <v>12830000</v>
      </c>
      <c r="F704" s="82">
        <v>12900000</v>
      </c>
      <c r="G704" s="82">
        <v>12830000</v>
      </c>
      <c r="I704" s="97">
        <v>0</v>
      </c>
      <c r="J704" s="97">
        <v>0</v>
      </c>
      <c r="K704" s="97">
        <v>0</v>
      </c>
      <c r="M704" s="7">
        <f t="shared" si="111"/>
        <v>0</v>
      </c>
      <c r="N704" s="7">
        <f t="shared" si="120"/>
        <v>0</v>
      </c>
      <c r="O704" s="7">
        <f t="shared" si="119"/>
        <v>30000</v>
      </c>
      <c r="P704" s="99">
        <f t="shared" si="112"/>
        <v>2.3437499999999999E-3</v>
      </c>
      <c r="Q704" s="99">
        <f t="shared" si="121"/>
        <v>0.19325612260189334</v>
      </c>
      <c r="S704" s="7">
        <f t="shared" si="113"/>
        <v>14113000.000000002</v>
      </c>
      <c r="T704" s="7">
        <f t="shared" si="114"/>
        <v>4276666.666666667</v>
      </c>
      <c r="U704" s="7">
        <f t="shared" si="115"/>
        <v>9660000</v>
      </c>
      <c r="V704" s="7">
        <f t="shared" si="116"/>
        <v>0</v>
      </c>
      <c r="W704" s="7">
        <f t="shared" si="117"/>
        <v>0</v>
      </c>
      <c r="X704" s="7">
        <f t="shared" si="118"/>
        <v>0</v>
      </c>
    </row>
    <row r="705" spans="1:24">
      <c r="A705">
        <v>704</v>
      </c>
      <c r="B705" s="96" t="s">
        <v>2899</v>
      </c>
      <c r="C705" s="95">
        <v>41195</v>
      </c>
      <c r="D705" s="82">
        <v>12880000</v>
      </c>
      <c r="E705" s="82">
        <v>12880000</v>
      </c>
      <c r="F705" s="82">
        <v>13100000</v>
      </c>
      <c r="G705" s="82">
        <v>13100000</v>
      </c>
      <c r="I705" s="97">
        <v>0</v>
      </c>
      <c r="J705" s="97">
        <v>0</v>
      </c>
      <c r="K705" s="97">
        <v>0</v>
      </c>
      <c r="M705" s="7">
        <f t="shared" si="111"/>
        <v>0</v>
      </c>
      <c r="N705" s="7">
        <f t="shared" si="120"/>
        <v>0</v>
      </c>
      <c r="O705" s="7">
        <f t="shared" si="119"/>
        <v>270000</v>
      </c>
      <c r="P705" s="99">
        <f t="shared" si="112"/>
        <v>2.1044427123928292E-2</v>
      </c>
      <c r="Q705" s="99">
        <f t="shared" si="121"/>
        <v>0.13765594736824849</v>
      </c>
      <c r="S705" s="7">
        <f t="shared" si="113"/>
        <v>14410000.000000002</v>
      </c>
      <c r="T705" s="7">
        <f t="shared" si="114"/>
        <v>4366666.666666667</v>
      </c>
      <c r="U705" s="7">
        <f t="shared" si="115"/>
        <v>10000000</v>
      </c>
      <c r="V705" s="7">
        <f t="shared" si="116"/>
        <v>0</v>
      </c>
      <c r="W705" s="7">
        <f t="shared" si="117"/>
        <v>0</v>
      </c>
      <c r="X705" s="7">
        <f t="shared" si="118"/>
        <v>0</v>
      </c>
    </row>
    <row r="706" spans="1:24">
      <c r="A706">
        <v>705</v>
      </c>
      <c r="B706" s="96" t="s">
        <v>2898</v>
      </c>
      <c r="C706" s="95">
        <v>41198</v>
      </c>
      <c r="D706" s="82">
        <v>14050000</v>
      </c>
      <c r="E706" s="82">
        <v>14050000</v>
      </c>
      <c r="F706" s="82">
        <v>14230000</v>
      </c>
      <c r="G706" s="82">
        <v>14200000</v>
      </c>
      <c r="I706" s="98">
        <v>0</v>
      </c>
      <c r="J706" s="98">
        <v>0</v>
      </c>
      <c r="K706" s="98">
        <v>0</v>
      </c>
      <c r="M706" s="7">
        <f t="shared" ref="M706:M769" si="122">J706*$AI$6/200</f>
        <v>0</v>
      </c>
      <c r="N706" s="7">
        <f t="shared" si="120"/>
        <v>0</v>
      </c>
      <c r="O706" s="7">
        <f t="shared" si="119"/>
        <v>1100000</v>
      </c>
      <c r="P706" s="99">
        <f t="shared" si="112"/>
        <v>8.3969465648854963E-2</v>
      </c>
      <c r="Q706" s="99">
        <f t="shared" si="121"/>
        <v>0.12778164657698243</v>
      </c>
      <c r="S706" s="7">
        <f t="shared" si="113"/>
        <v>15620000.000000002</v>
      </c>
      <c r="T706" s="7">
        <f t="shared" si="114"/>
        <v>4733333.333333333</v>
      </c>
      <c r="U706" s="7">
        <f t="shared" si="115"/>
        <v>9080000</v>
      </c>
      <c r="V706" s="7">
        <f t="shared" si="116"/>
        <v>0</v>
      </c>
      <c r="W706" s="7">
        <f t="shared" si="117"/>
        <v>0</v>
      </c>
      <c r="X706" s="7">
        <f t="shared" si="118"/>
        <v>0</v>
      </c>
    </row>
    <row r="707" spans="1:24">
      <c r="A707">
        <v>706</v>
      </c>
      <c r="B707" s="96" t="s">
        <v>2897</v>
      </c>
      <c r="C707" s="95">
        <v>41199</v>
      </c>
      <c r="D707" s="82">
        <v>15150000</v>
      </c>
      <c r="E707" s="82">
        <v>14950000</v>
      </c>
      <c r="F707" s="82">
        <v>15150000</v>
      </c>
      <c r="G707" s="82">
        <v>14980000</v>
      </c>
      <c r="I707" s="82">
        <f>G707*1.1</f>
        <v>16478000.000000002</v>
      </c>
      <c r="J707" s="82">
        <f>G707/3</f>
        <v>4993333.333333333</v>
      </c>
      <c r="K707" s="7">
        <f>G975</f>
        <v>9310000</v>
      </c>
      <c r="L707" s="7">
        <f>K707-I707</f>
        <v>-7168000.0000000019</v>
      </c>
      <c r="M707" s="7">
        <f t="shared" si="122"/>
        <v>624166.66666666663</v>
      </c>
      <c r="N707" s="7">
        <f t="shared" si="120"/>
        <v>-6543833.3333333349</v>
      </c>
      <c r="O707" s="7">
        <f t="shared" si="119"/>
        <v>780000</v>
      </c>
      <c r="P707" s="99">
        <f t="shared" ref="P707:P770" si="123">O707/G706</f>
        <v>5.4929577464788736E-2</v>
      </c>
      <c r="Q707" s="99">
        <f t="shared" si="121"/>
        <v>5.9223263039890506E-2</v>
      </c>
      <c r="R707">
        <v>1</v>
      </c>
      <c r="S707" s="7">
        <f t="shared" ref="S707:S770" si="124">G707*1.1</f>
        <v>16478000.000000002</v>
      </c>
      <c r="T707" s="7">
        <f t="shared" ref="T707:T770" si="125">G707/3</f>
        <v>4993333.333333333</v>
      </c>
      <c r="U707" s="7">
        <f t="shared" ref="U707:U770" si="126">G975</f>
        <v>9310000</v>
      </c>
      <c r="V707" s="7">
        <f t="shared" ref="V707:V770" si="127">(U707-S707)*R707</f>
        <v>-7168000.0000000019</v>
      </c>
      <c r="W707" s="7">
        <f t="shared" ref="W707:W770" si="128">(T707*$AI$6/200)*R707</f>
        <v>624166.66666666663</v>
      </c>
      <c r="X707" s="7">
        <f t="shared" ref="X707:X770" si="129">V707+W707</f>
        <v>-6543833.3333333349</v>
      </c>
    </row>
    <row r="708" spans="1:24">
      <c r="A708">
        <v>707</v>
      </c>
      <c r="B708" s="96" t="s">
        <v>2896</v>
      </c>
      <c r="C708" s="95">
        <v>41203</v>
      </c>
      <c r="D708" s="82">
        <v>13800000</v>
      </c>
      <c r="E708" s="82">
        <v>13800000</v>
      </c>
      <c r="F708" s="82">
        <v>14050000</v>
      </c>
      <c r="G708" s="82">
        <v>13860000</v>
      </c>
      <c r="I708" s="97">
        <v>0</v>
      </c>
      <c r="J708" s="97">
        <v>0</v>
      </c>
      <c r="K708" s="97">
        <v>0</v>
      </c>
      <c r="M708" s="7">
        <f t="shared" si="122"/>
        <v>0</v>
      </c>
      <c r="N708" s="7">
        <f t="shared" si="120"/>
        <v>0</v>
      </c>
      <c r="O708" s="7">
        <f t="shared" ref="O708:O771" si="130">G708-G707</f>
        <v>-1120000</v>
      </c>
      <c r="P708" s="99">
        <f t="shared" si="123"/>
        <v>-7.476635514018691E-2</v>
      </c>
      <c r="Q708" s="99">
        <f t="shared" si="121"/>
        <v>0.11043536838572013</v>
      </c>
      <c r="S708" s="7">
        <f t="shared" si="124"/>
        <v>15246000.000000002</v>
      </c>
      <c r="T708" s="7">
        <f t="shared" si="125"/>
        <v>4620000</v>
      </c>
      <c r="U708" s="7">
        <f t="shared" si="126"/>
        <v>9310000</v>
      </c>
      <c r="V708" s="7">
        <f t="shared" si="127"/>
        <v>0</v>
      </c>
      <c r="W708" s="7">
        <f t="shared" si="128"/>
        <v>0</v>
      </c>
      <c r="X708" s="7">
        <f t="shared" si="129"/>
        <v>0</v>
      </c>
    </row>
    <row r="709" spans="1:24">
      <c r="A709">
        <v>708</v>
      </c>
      <c r="B709" s="96" t="s">
        <v>2895</v>
      </c>
      <c r="C709" s="95">
        <v>41204</v>
      </c>
      <c r="D709" s="82">
        <v>13850000</v>
      </c>
      <c r="E709" s="82">
        <v>12940000</v>
      </c>
      <c r="F709" s="82">
        <v>13850000</v>
      </c>
      <c r="G709" s="82">
        <v>13200000</v>
      </c>
      <c r="I709" s="97">
        <v>0</v>
      </c>
      <c r="J709" s="97">
        <v>0</v>
      </c>
      <c r="K709" s="97">
        <v>0</v>
      </c>
      <c r="M709" s="7">
        <f t="shared" si="122"/>
        <v>0</v>
      </c>
      <c r="N709" s="7">
        <f t="shared" si="120"/>
        <v>0</v>
      </c>
      <c r="O709" s="7">
        <f t="shared" si="130"/>
        <v>-660000</v>
      </c>
      <c r="P709" s="99">
        <f t="shared" si="123"/>
        <v>-4.7619047619047616E-2</v>
      </c>
      <c r="Q709" s="99">
        <f t="shared" si="121"/>
        <v>8.7520865097385089E-2</v>
      </c>
      <c r="S709" s="7">
        <f t="shared" si="124"/>
        <v>14520000.000000002</v>
      </c>
      <c r="T709" s="7">
        <f t="shared" si="125"/>
        <v>4400000</v>
      </c>
      <c r="U709" s="7">
        <f t="shared" si="126"/>
        <v>9260000</v>
      </c>
      <c r="V709" s="7">
        <f t="shared" si="127"/>
        <v>0</v>
      </c>
      <c r="W709" s="7">
        <f t="shared" si="128"/>
        <v>0</v>
      </c>
      <c r="X709" s="7">
        <f t="shared" si="129"/>
        <v>0</v>
      </c>
    </row>
    <row r="710" spans="1:24">
      <c r="A710">
        <v>709</v>
      </c>
      <c r="B710" s="96" t="s">
        <v>2894</v>
      </c>
      <c r="C710" s="95">
        <v>41205</v>
      </c>
      <c r="D710" s="82">
        <v>12500000</v>
      </c>
      <c r="E710" s="82">
        <v>12100000</v>
      </c>
      <c r="F710" s="82">
        <v>12600000</v>
      </c>
      <c r="G710" s="82">
        <v>12500000</v>
      </c>
      <c r="I710" s="97">
        <v>0</v>
      </c>
      <c r="J710" s="97">
        <v>0</v>
      </c>
      <c r="K710" s="97">
        <v>0</v>
      </c>
      <c r="M710" s="7">
        <f t="shared" si="122"/>
        <v>0</v>
      </c>
      <c r="N710" s="7">
        <f t="shared" si="120"/>
        <v>0</v>
      </c>
      <c r="O710" s="7">
        <f t="shared" si="130"/>
        <v>-700000</v>
      </c>
      <c r="P710" s="99">
        <f t="shared" si="123"/>
        <v>-5.3030303030303032E-2</v>
      </c>
      <c r="Q710" s="99">
        <f t="shared" si="121"/>
        <v>3.7558067478337467E-2</v>
      </c>
      <c r="S710" s="7">
        <f t="shared" si="124"/>
        <v>13750000.000000002</v>
      </c>
      <c r="T710" s="7">
        <f t="shared" si="125"/>
        <v>4166666.6666666665</v>
      </c>
      <c r="U710" s="7">
        <f t="shared" si="126"/>
        <v>9800000</v>
      </c>
      <c r="V710" s="7">
        <f t="shared" si="127"/>
        <v>0</v>
      </c>
      <c r="W710" s="7">
        <f t="shared" si="128"/>
        <v>0</v>
      </c>
      <c r="X710" s="7">
        <f t="shared" si="129"/>
        <v>0</v>
      </c>
    </row>
    <row r="711" spans="1:24">
      <c r="A711">
        <v>710</v>
      </c>
      <c r="B711" s="96" t="s">
        <v>2893</v>
      </c>
      <c r="C711" s="95">
        <v>41206</v>
      </c>
      <c r="D711" s="82">
        <v>12800000</v>
      </c>
      <c r="E711" s="82">
        <v>12800000</v>
      </c>
      <c r="F711" s="82">
        <v>13400000</v>
      </c>
      <c r="G711" s="82">
        <v>13000000</v>
      </c>
      <c r="I711" s="98">
        <v>0</v>
      </c>
      <c r="J711" s="98">
        <v>0</v>
      </c>
      <c r="K711" s="98">
        <v>0</v>
      </c>
      <c r="M711" s="7">
        <f t="shared" si="122"/>
        <v>0</v>
      </c>
      <c r="N711" s="7">
        <f t="shared" si="120"/>
        <v>0</v>
      </c>
      <c r="O711" s="7">
        <f t="shared" si="130"/>
        <v>500000</v>
      </c>
      <c r="P711" s="99">
        <f t="shared" si="123"/>
        <v>0.04</v>
      </c>
      <c r="Q711" s="99">
        <f t="shared" si="121"/>
        <v>-3.6516662675893853E-2</v>
      </c>
      <c r="S711" s="7">
        <f t="shared" si="124"/>
        <v>14300000.000000002</v>
      </c>
      <c r="T711" s="7">
        <f t="shared" si="125"/>
        <v>4333333.333333333</v>
      </c>
      <c r="U711" s="7">
        <f t="shared" si="126"/>
        <v>9710000</v>
      </c>
      <c r="V711" s="7">
        <f t="shared" si="127"/>
        <v>0</v>
      </c>
      <c r="W711" s="7">
        <f t="shared" si="128"/>
        <v>0</v>
      </c>
      <c r="X711" s="7">
        <f t="shared" si="129"/>
        <v>0</v>
      </c>
    </row>
    <row r="712" spans="1:24">
      <c r="A712">
        <v>711</v>
      </c>
      <c r="B712" s="96" t="s">
        <v>2892</v>
      </c>
      <c r="C712" s="95">
        <v>41207</v>
      </c>
      <c r="D712" s="82">
        <v>13100000</v>
      </c>
      <c r="E712" s="82">
        <v>13000000</v>
      </c>
      <c r="F712" s="82">
        <v>13150000</v>
      </c>
      <c r="G712" s="82">
        <v>13050000</v>
      </c>
      <c r="I712" s="82">
        <f>G712*1.1</f>
        <v>14355000.000000002</v>
      </c>
      <c r="J712" s="82">
        <f>G712/3</f>
        <v>4350000</v>
      </c>
      <c r="K712" s="7">
        <f>G980</f>
        <v>9680000</v>
      </c>
      <c r="L712" s="7">
        <f>K712-I712</f>
        <v>-4675000.0000000019</v>
      </c>
      <c r="M712" s="7">
        <f t="shared" si="122"/>
        <v>543750</v>
      </c>
      <c r="N712" s="7">
        <f t="shared" ref="N712:N775" si="131">L712+M712</f>
        <v>-4131250.0000000019</v>
      </c>
      <c r="O712" s="7">
        <f t="shared" si="130"/>
        <v>50000</v>
      </c>
      <c r="P712" s="99">
        <f t="shared" si="123"/>
        <v>3.8461538461538464E-3</v>
      </c>
      <c r="Q712" s="99">
        <f t="shared" ref="Q712:Q775" si="132">SUM(P707:P711)</f>
        <v>-8.0486128324748829E-2</v>
      </c>
      <c r="R712">
        <v>4</v>
      </c>
      <c r="S712" s="7">
        <f t="shared" si="124"/>
        <v>14355000.000000002</v>
      </c>
      <c r="T712" s="7">
        <f t="shared" si="125"/>
        <v>4350000</v>
      </c>
      <c r="U712" s="7">
        <f t="shared" si="126"/>
        <v>9680000</v>
      </c>
      <c r="V712" s="7">
        <f t="shared" si="127"/>
        <v>-18700000.000000007</v>
      </c>
      <c r="W712" s="7">
        <f t="shared" si="128"/>
        <v>2175000</v>
      </c>
      <c r="X712" s="7">
        <f t="shared" si="129"/>
        <v>-16525000.000000007</v>
      </c>
    </row>
    <row r="713" spans="1:24">
      <c r="A713">
        <v>712</v>
      </c>
      <c r="B713" s="96" t="s">
        <v>2891</v>
      </c>
      <c r="C713" s="95">
        <v>41209</v>
      </c>
      <c r="D713" s="82">
        <v>12800000</v>
      </c>
      <c r="E713" s="82">
        <v>12600000</v>
      </c>
      <c r="F713" s="82">
        <v>12850000</v>
      </c>
      <c r="G713" s="82">
        <v>12730000</v>
      </c>
      <c r="I713" s="97">
        <v>0</v>
      </c>
      <c r="J713" s="97">
        <v>0</v>
      </c>
      <c r="K713" s="97">
        <v>0</v>
      </c>
      <c r="M713" s="7">
        <f t="shared" si="122"/>
        <v>0</v>
      </c>
      <c r="N713" s="7">
        <f t="shared" si="131"/>
        <v>0</v>
      </c>
      <c r="O713" s="7">
        <f t="shared" si="130"/>
        <v>-320000</v>
      </c>
      <c r="P713" s="99">
        <f t="shared" si="123"/>
        <v>-2.4521072796934867E-2</v>
      </c>
      <c r="Q713" s="99">
        <f t="shared" si="132"/>
        <v>-0.13156955194338371</v>
      </c>
      <c r="R713">
        <v>4</v>
      </c>
      <c r="S713" s="7">
        <f t="shared" si="124"/>
        <v>14003000.000000002</v>
      </c>
      <c r="T713" s="7">
        <f t="shared" si="125"/>
        <v>4243333.333333333</v>
      </c>
      <c r="U713" s="7">
        <f t="shared" si="126"/>
        <v>9900000</v>
      </c>
      <c r="V713" s="7">
        <f t="shared" si="127"/>
        <v>-16412000.000000007</v>
      </c>
      <c r="W713" s="7">
        <f t="shared" si="128"/>
        <v>2121666.6666666665</v>
      </c>
      <c r="X713" s="7">
        <f t="shared" si="129"/>
        <v>-14290333.333333341</v>
      </c>
    </row>
    <row r="714" spans="1:24">
      <c r="A714">
        <v>713</v>
      </c>
      <c r="B714" s="96" t="s">
        <v>2890</v>
      </c>
      <c r="C714" s="95">
        <v>41210</v>
      </c>
      <c r="D714" s="82">
        <v>12700000</v>
      </c>
      <c r="E714" s="82">
        <v>12500000</v>
      </c>
      <c r="F714" s="82">
        <v>12950000</v>
      </c>
      <c r="G714" s="82">
        <v>12950000</v>
      </c>
      <c r="I714" s="97">
        <v>0</v>
      </c>
      <c r="J714" s="97">
        <v>0</v>
      </c>
      <c r="K714" s="97">
        <v>0</v>
      </c>
      <c r="M714" s="7">
        <f t="shared" si="122"/>
        <v>0</v>
      </c>
      <c r="N714" s="7">
        <f t="shared" si="131"/>
        <v>0</v>
      </c>
      <c r="O714" s="7">
        <f t="shared" si="130"/>
        <v>220000</v>
      </c>
      <c r="P714" s="99">
        <f t="shared" si="123"/>
        <v>1.7282010997643361E-2</v>
      </c>
      <c r="Q714" s="99">
        <f t="shared" si="132"/>
        <v>-8.1324269600131671E-2</v>
      </c>
      <c r="S714" s="7">
        <f t="shared" si="124"/>
        <v>14245000.000000002</v>
      </c>
      <c r="T714" s="7">
        <f t="shared" si="125"/>
        <v>4316666.666666667</v>
      </c>
      <c r="U714" s="7">
        <f t="shared" si="126"/>
        <v>9660000</v>
      </c>
      <c r="V714" s="7">
        <f t="shared" si="127"/>
        <v>0</v>
      </c>
      <c r="W714" s="7">
        <f t="shared" si="128"/>
        <v>0</v>
      </c>
      <c r="X714" s="7">
        <f t="shared" si="129"/>
        <v>0</v>
      </c>
    </row>
    <row r="715" spans="1:24">
      <c r="A715">
        <v>714</v>
      </c>
      <c r="B715" s="96" t="s">
        <v>2889</v>
      </c>
      <c r="C715" s="95">
        <v>41211</v>
      </c>
      <c r="D715" s="82">
        <v>13150000</v>
      </c>
      <c r="E715" s="82">
        <v>12980000</v>
      </c>
      <c r="F715" s="82">
        <v>13200000</v>
      </c>
      <c r="G715" s="82">
        <v>13050000</v>
      </c>
      <c r="I715" s="97">
        <v>0</v>
      </c>
      <c r="J715" s="97">
        <v>0</v>
      </c>
      <c r="K715" s="97">
        <v>0</v>
      </c>
      <c r="M715" s="7">
        <f t="shared" si="122"/>
        <v>0</v>
      </c>
      <c r="N715" s="7">
        <f t="shared" si="131"/>
        <v>0</v>
      </c>
      <c r="O715" s="7">
        <f t="shared" si="130"/>
        <v>100000</v>
      </c>
      <c r="P715" s="99">
        <f t="shared" si="123"/>
        <v>7.7220077220077222E-3</v>
      </c>
      <c r="Q715" s="99">
        <f t="shared" si="132"/>
        <v>-1.6423210983440694E-2</v>
      </c>
      <c r="S715" s="7">
        <f t="shared" si="124"/>
        <v>14355000.000000002</v>
      </c>
      <c r="T715" s="7">
        <f t="shared" si="125"/>
        <v>4350000</v>
      </c>
      <c r="U715" s="7">
        <f t="shared" si="126"/>
        <v>9700000</v>
      </c>
      <c r="V715" s="7">
        <f t="shared" si="127"/>
        <v>0</v>
      </c>
      <c r="W715" s="7">
        <f t="shared" si="128"/>
        <v>0</v>
      </c>
      <c r="X715" s="7">
        <f t="shared" si="129"/>
        <v>0</v>
      </c>
    </row>
    <row r="716" spans="1:24">
      <c r="A716">
        <v>715</v>
      </c>
      <c r="B716" s="96" t="s">
        <v>2888</v>
      </c>
      <c r="C716" s="95">
        <v>41212</v>
      </c>
      <c r="D716" s="82">
        <v>12700000</v>
      </c>
      <c r="E716" s="82">
        <v>12700000</v>
      </c>
      <c r="F716" s="82">
        <v>12880000</v>
      </c>
      <c r="G716" s="82">
        <v>12770000</v>
      </c>
      <c r="I716" s="98">
        <v>0</v>
      </c>
      <c r="J716" s="98">
        <v>0</v>
      </c>
      <c r="K716" s="98">
        <v>0</v>
      </c>
      <c r="M716" s="7">
        <f t="shared" si="122"/>
        <v>0</v>
      </c>
      <c r="N716" s="7">
        <f t="shared" si="131"/>
        <v>0</v>
      </c>
      <c r="O716" s="7">
        <f t="shared" si="130"/>
        <v>-280000</v>
      </c>
      <c r="P716" s="99">
        <f t="shared" si="123"/>
        <v>-2.1455938697318006E-2</v>
      </c>
      <c r="Q716" s="99">
        <f t="shared" si="132"/>
        <v>4.4329099768870062E-2</v>
      </c>
      <c r="S716" s="7">
        <f t="shared" si="124"/>
        <v>14047000.000000002</v>
      </c>
      <c r="T716" s="7">
        <f t="shared" si="125"/>
        <v>4256666.666666667</v>
      </c>
      <c r="U716" s="7">
        <f t="shared" si="126"/>
        <v>9750000</v>
      </c>
      <c r="V716" s="7">
        <f t="shared" si="127"/>
        <v>0</v>
      </c>
      <c r="W716" s="7">
        <f t="shared" si="128"/>
        <v>0</v>
      </c>
      <c r="X716" s="7">
        <f t="shared" si="129"/>
        <v>0</v>
      </c>
    </row>
    <row r="717" spans="1:24">
      <c r="A717">
        <v>716</v>
      </c>
      <c r="B717" s="96" t="s">
        <v>2887</v>
      </c>
      <c r="C717" s="95">
        <v>41213</v>
      </c>
      <c r="D717" s="82">
        <v>12620000</v>
      </c>
      <c r="E717" s="82">
        <v>12520000</v>
      </c>
      <c r="F717" s="82">
        <v>12730000</v>
      </c>
      <c r="G717" s="82">
        <v>12670000</v>
      </c>
      <c r="I717" s="82">
        <f>G717*1.1</f>
        <v>13937000.000000002</v>
      </c>
      <c r="J717" s="82">
        <f>G717/3</f>
        <v>4223333.333333333</v>
      </c>
      <c r="K717" s="7">
        <f>G985</f>
        <v>9650000</v>
      </c>
      <c r="L717" s="7">
        <f>K717-I717</f>
        <v>-4287000.0000000019</v>
      </c>
      <c r="M717" s="7">
        <f t="shared" si="122"/>
        <v>527916.66666666663</v>
      </c>
      <c r="N717" s="7">
        <f t="shared" si="131"/>
        <v>-3759083.3333333354</v>
      </c>
      <c r="O717" s="7">
        <f t="shared" si="130"/>
        <v>-100000</v>
      </c>
      <c r="P717" s="99">
        <f t="shared" si="123"/>
        <v>-7.8308535630383716E-3</v>
      </c>
      <c r="Q717" s="99">
        <f t="shared" si="132"/>
        <v>-1.7126838928447942E-2</v>
      </c>
      <c r="R717">
        <v>1</v>
      </c>
      <c r="S717" s="7">
        <f t="shared" si="124"/>
        <v>13937000.000000002</v>
      </c>
      <c r="T717" s="7">
        <f t="shared" si="125"/>
        <v>4223333.333333333</v>
      </c>
      <c r="U717" s="7">
        <f t="shared" si="126"/>
        <v>9650000</v>
      </c>
      <c r="V717" s="7">
        <f t="shared" si="127"/>
        <v>-4287000.0000000019</v>
      </c>
      <c r="W717" s="7">
        <f t="shared" si="128"/>
        <v>527916.66666666663</v>
      </c>
      <c r="X717" s="7">
        <f t="shared" si="129"/>
        <v>-3759083.3333333354</v>
      </c>
    </row>
    <row r="718" spans="1:24">
      <c r="A718">
        <v>717</v>
      </c>
      <c r="B718" s="96" t="s">
        <v>2886</v>
      </c>
      <c r="C718" s="95">
        <v>41214</v>
      </c>
      <c r="D718" s="82">
        <v>12650000</v>
      </c>
      <c r="E718" s="82">
        <v>12650000</v>
      </c>
      <c r="F718" s="82">
        <v>12700000</v>
      </c>
      <c r="G718" s="82">
        <v>12650000</v>
      </c>
      <c r="I718" s="97">
        <v>0</v>
      </c>
      <c r="J718" s="97">
        <v>0</v>
      </c>
      <c r="K718" s="97">
        <v>0</v>
      </c>
      <c r="M718" s="7">
        <f t="shared" si="122"/>
        <v>0</v>
      </c>
      <c r="N718" s="7">
        <f t="shared" si="131"/>
        <v>0</v>
      </c>
      <c r="O718" s="7">
        <f t="shared" si="130"/>
        <v>-20000</v>
      </c>
      <c r="P718" s="99">
        <f t="shared" si="123"/>
        <v>-1.5785319652722968E-3</v>
      </c>
      <c r="Q718" s="99">
        <f t="shared" si="132"/>
        <v>-2.880384633764016E-2</v>
      </c>
      <c r="S718" s="7">
        <f t="shared" si="124"/>
        <v>13915000.000000002</v>
      </c>
      <c r="T718" s="7">
        <f t="shared" si="125"/>
        <v>4216666.666666667</v>
      </c>
      <c r="U718" s="7">
        <f t="shared" si="126"/>
        <v>9770000</v>
      </c>
      <c r="V718" s="7">
        <f t="shared" si="127"/>
        <v>0</v>
      </c>
      <c r="W718" s="7">
        <f t="shared" si="128"/>
        <v>0</v>
      </c>
      <c r="X718" s="7">
        <f t="shared" si="129"/>
        <v>0</v>
      </c>
    </row>
    <row r="719" spans="1:24">
      <c r="A719">
        <v>718</v>
      </c>
      <c r="B719" s="96" t="s">
        <v>2885</v>
      </c>
      <c r="C719" s="95">
        <v>41217</v>
      </c>
      <c r="D719" s="82">
        <v>12300000</v>
      </c>
      <c r="E719" s="82">
        <v>11450000</v>
      </c>
      <c r="F719" s="82">
        <v>12300000</v>
      </c>
      <c r="G719" s="82">
        <v>11450000</v>
      </c>
      <c r="I719" s="97">
        <v>0</v>
      </c>
      <c r="J719" s="97">
        <v>0</v>
      </c>
      <c r="K719" s="97">
        <v>0</v>
      </c>
      <c r="M719" s="7">
        <f t="shared" si="122"/>
        <v>0</v>
      </c>
      <c r="N719" s="7">
        <f t="shared" si="131"/>
        <v>0</v>
      </c>
      <c r="O719" s="7">
        <f t="shared" si="130"/>
        <v>-1200000</v>
      </c>
      <c r="P719" s="99">
        <f t="shared" si="123"/>
        <v>-9.4861660079051377E-2</v>
      </c>
      <c r="Q719" s="99">
        <f t="shared" si="132"/>
        <v>-5.8613055059775904E-3</v>
      </c>
      <c r="S719" s="7">
        <f t="shared" si="124"/>
        <v>12595000.000000002</v>
      </c>
      <c r="T719" s="7">
        <f t="shared" si="125"/>
        <v>3816666.6666666665</v>
      </c>
      <c r="U719" s="7">
        <f t="shared" si="126"/>
        <v>9760000</v>
      </c>
      <c r="V719" s="7">
        <f t="shared" si="127"/>
        <v>0</v>
      </c>
      <c r="W719" s="7">
        <f t="shared" si="128"/>
        <v>0</v>
      </c>
      <c r="X719" s="7">
        <f t="shared" si="129"/>
        <v>0</v>
      </c>
    </row>
    <row r="720" spans="1:24">
      <c r="A720">
        <v>719</v>
      </c>
      <c r="B720" s="96" t="s">
        <v>2884</v>
      </c>
      <c r="C720" s="95">
        <v>41218</v>
      </c>
      <c r="D720" s="82">
        <v>11390000</v>
      </c>
      <c r="E720" s="82">
        <v>11220000</v>
      </c>
      <c r="F720" s="82">
        <v>12280000</v>
      </c>
      <c r="G720" s="82">
        <v>11930000</v>
      </c>
      <c r="I720" s="97">
        <v>0</v>
      </c>
      <c r="J720" s="97">
        <v>0</v>
      </c>
      <c r="K720" s="97">
        <v>0</v>
      </c>
      <c r="M720" s="7">
        <f t="shared" si="122"/>
        <v>0</v>
      </c>
      <c r="N720" s="7">
        <f t="shared" si="131"/>
        <v>0</v>
      </c>
      <c r="O720" s="7">
        <f t="shared" si="130"/>
        <v>480000</v>
      </c>
      <c r="P720" s="99">
        <f t="shared" si="123"/>
        <v>4.1921397379912663E-2</v>
      </c>
      <c r="Q720" s="99">
        <f t="shared" si="132"/>
        <v>-0.11800497658267232</v>
      </c>
      <c r="R720">
        <v>4</v>
      </c>
      <c r="S720" s="7">
        <f t="shared" si="124"/>
        <v>13123000.000000002</v>
      </c>
      <c r="T720" s="7">
        <f t="shared" si="125"/>
        <v>3976666.6666666665</v>
      </c>
      <c r="U720" s="7">
        <f t="shared" si="126"/>
        <v>9740000</v>
      </c>
      <c r="V720" s="7">
        <f t="shared" si="127"/>
        <v>-13532000.000000007</v>
      </c>
      <c r="W720" s="7">
        <f t="shared" si="128"/>
        <v>1988333.333333333</v>
      </c>
      <c r="X720" s="7">
        <f t="shared" si="129"/>
        <v>-11543666.666666675</v>
      </c>
    </row>
    <row r="721" spans="1:24">
      <c r="A721">
        <v>720</v>
      </c>
      <c r="B721" s="96" t="s">
        <v>2883</v>
      </c>
      <c r="C721" s="95">
        <v>41219</v>
      </c>
      <c r="D721" s="82">
        <v>12200000</v>
      </c>
      <c r="E721" s="82">
        <v>12200000</v>
      </c>
      <c r="F721" s="82">
        <v>12600000</v>
      </c>
      <c r="G721" s="82">
        <v>12450000</v>
      </c>
      <c r="I721" s="98">
        <v>0</v>
      </c>
      <c r="J721" s="98">
        <v>0</v>
      </c>
      <c r="K721" s="98">
        <v>0</v>
      </c>
      <c r="M721" s="7">
        <f t="shared" si="122"/>
        <v>0</v>
      </c>
      <c r="N721" s="7">
        <f t="shared" si="131"/>
        <v>0</v>
      </c>
      <c r="O721" s="7">
        <f t="shared" si="130"/>
        <v>520000</v>
      </c>
      <c r="P721" s="99">
        <f t="shared" si="123"/>
        <v>4.3587594300083819E-2</v>
      </c>
      <c r="Q721" s="99">
        <f t="shared" si="132"/>
        <v>-8.3805586924767389E-2</v>
      </c>
      <c r="S721" s="7">
        <f t="shared" si="124"/>
        <v>13695000.000000002</v>
      </c>
      <c r="T721" s="7">
        <f t="shared" si="125"/>
        <v>4150000</v>
      </c>
      <c r="U721" s="7">
        <f t="shared" si="126"/>
        <v>9760000</v>
      </c>
      <c r="V721" s="7">
        <f t="shared" si="127"/>
        <v>0</v>
      </c>
      <c r="W721" s="7">
        <f t="shared" si="128"/>
        <v>0</v>
      </c>
      <c r="X721" s="7">
        <f t="shared" si="129"/>
        <v>0</v>
      </c>
    </row>
    <row r="722" spans="1:24">
      <c r="A722">
        <v>721</v>
      </c>
      <c r="B722" s="96" t="s">
        <v>2882</v>
      </c>
      <c r="C722" s="95">
        <v>41220</v>
      </c>
      <c r="D722" s="82">
        <v>12880000</v>
      </c>
      <c r="E722" s="82">
        <v>12350000</v>
      </c>
      <c r="F722" s="82">
        <v>12900000</v>
      </c>
      <c r="G722" s="82">
        <v>12420000</v>
      </c>
      <c r="I722" s="82">
        <f>G722*1.1</f>
        <v>13662000.000000002</v>
      </c>
      <c r="J722" s="82">
        <f>G722/3</f>
        <v>4140000</v>
      </c>
      <c r="K722" s="7">
        <f>G990</f>
        <v>9590000</v>
      </c>
      <c r="L722" s="7">
        <f>K722-I722</f>
        <v>-4072000.0000000019</v>
      </c>
      <c r="M722" s="7">
        <f t="shared" si="122"/>
        <v>517500</v>
      </c>
      <c r="N722" s="7">
        <f t="shared" si="131"/>
        <v>-3554500.0000000019</v>
      </c>
      <c r="O722" s="7">
        <f t="shared" si="130"/>
        <v>-30000</v>
      </c>
      <c r="P722" s="99">
        <f t="shared" si="123"/>
        <v>-2.4096385542168677E-3</v>
      </c>
      <c r="Q722" s="99">
        <f t="shared" si="132"/>
        <v>-1.876205392736556E-2</v>
      </c>
      <c r="R722">
        <v>1</v>
      </c>
      <c r="S722" s="7">
        <f t="shared" si="124"/>
        <v>13662000.000000002</v>
      </c>
      <c r="T722" s="7">
        <f t="shared" si="125"/>
        <v>4140000</v>
      </c>
      <c r="U722" s="7">
        <f t="shared" si="126"/>
        <v>9590000</v>
      </c>
      <c r="V722" s="7">
        <f t="shared" si="127"/>
        <v>-4072000.0000000019</v>
      </c>
      <c r="W722" s="7">
        <f t="shared" si="128"/>
        <v>517500</v>
      </c>
      <c r="X722" s="7">
        <f t="shared" si="129"/>
        <v>-3554500.0000000019</v>
      </c>
    </row>
    <row r="723" spans="1:24">
      <c r="A723">
        <v>722</v>
      </c>
      <c r="B723" s="96" t="s">
        <v>2881</v>
      </c>
      <c r="C723" s="95">
        <v>41221</v>
      </c>
      <c r="D723" s="82">
        <v>12250000</v>
      </c>
      <c r="E723" s="82">
        <v>12170000</v>
      </c>
      <c r="F723" s="82">
        <v>12250000</v>
      </c>
      <c r="G723" s="82">
        <v>12170000</v>
      </c>
      <c r="I723" s="97">
        <v>0</v>
      </c>
      <c r="J723" s="97">
        <v>0</v>
      </c>
      <c r="K723" s="97">
        <v>0</v>
      </c>
      <c r="M723" s="7">
        <f t="shared" si="122"/>
        <v>0</v>
      </c>
      <c r="N723" s="7">
        <f t="shared" si="131"/>
        <v>0</v>
      </c>
      <c r="O723" s="7">
        <f t="shared" si="130"/>
        <v>-250000</v>
      </c>
      <c r="P723" s="99">
        <f t="shared" si="123"/>
        <v>-2.0128824476650563E-2</v>
      </c>
      <c r="Q723" s="99">
        <f t="shared" si="132"/>
        <v>-1.3340838918544063E-2</v>
      </c>
      <c r="S723" s="7">
        <f t="shared" si="124"/>
        <v>13387000.000000002</v>
      </c>
      <c r="T723" s="7">
        <f t="shared" si="125"/>
        <v>4056666.6666666665</v>
      </c>
      <c r="U723" s="7">
        <f t="shared" si="126"/>
        <v>9560000</v>
      </c>
      <c r="V723" s="7">
        <f t="shared" si="127"/>
        <v>0</v>
      </c>
      <c r="W723" s="7">
        <f t="shared" si="128"/>
        <v>0</v>
      </c>
      <c r="X723" s="7">
        <f t="shared" si="129"/>
        <v>0</v>
      </c>
    </row>
    <row r="724" spans="1:24">
      <c r="A724">
        <v>723</v>
      </c>
      <c r="B724" s="96" t="s">
        <v>2880</v>
      </c>
      <c r="C724" s="95">
        <v>41223</v>
      </c>
      <c r="D724" s="82">
        <v>12300000</v>
      </c>
      <c r="E724" s="82">
        <v>12200000</v>
      </c>
      <c r="F724" s="82">
        <v>12370000</v>
      </c>
      <c r="G724" s="82">
        <v>12320000</v>
      </c>
      <c r="I724" s="97">
        <v>0</v>
      </c>
      <c r="J724" s="97">
        <v>0</v>
      </c>
      <c r="K724" s="97">
        <v>0</v>
      </c>
      <c r="M724" s="7">
        <f t="shared" si="122"/>
        <v>0</v>
      </c>
      <c r="N724" s="7">
        <f t="shared" si="131"/>
        <v>0</v>
      </c>
      <c r="O724" s="7">
        <f t="shared" si="130"/>
        <v>150000</v>
      </c>
      <c r="P724" s="99">
        <f t="shared" si="123"/>
        <v>1.2325390304026294E-2</v>
      </c>
      <c r="Q724" s="99">
        <f t="shared" si="132"/>
        <v>-3.1891131429922323E-2</v>
      </c>
      <c r="S724" s="7">
        <f t="shared" si="124"/>
        <v>13552000.000000002</v>
      </c>
      <c r="T724" s="7">
        <f t="shared" si="125"/>
        <v>4106666.6666666665</v>
      </c>
      <c r="U724" s="7">
        <f t="shared" si="126"/>
        <v>9320000</v>
      </c>
      <c r="V724" s="7">
        <f t="shared" si="127"/>
        <v>0</v>
      </c>
      <c r="W724" s="7">
        <f t="shared" si="128"/>
        <v>0</v>
      </c>
      <c r="X724" s="7">
        <f t="shared" si="129"/>
        <v>0</v>
      </c>
    </row>
    <row r="725" spans="1:24">
      <c r="A725">
        <v>724</v>
      </c>
      <c r="B725" s="96" t="s">
        <v>2879</v>
      </c>
      <c r="C725" s="95">
        <v>41224</v>
      </c>
      <c r="D725" s="82">
        <v>12230000</v>
      </c>
      <c r="E725" s="82">
        <v>12100000</v>
      </c>
      <c r="F725" s="82">
        <v>12280000</v>
      </c>
      <c r="G725" s="82">
        <v>12210000</v>
      </c>
      <c r="I725" s="97">
        <v>0</v>
      </c>
      <c r="J725" s="97">
        <v>0</v>
      </c>
      <c r="K725" s="97">
        <v>0</v>
      </c>
      <c r="M725" s="7">
        <f t="shared" si="122"/>
        <v>0</v>
      </c>
      <c r="N725" s="7">
        <f t="shared" si="131"/>
        <v>0</v>
      </c>
      <c r="O725" s="7">
        <f t="shared" si="130"/>
        <v>-110000</v>
      </c>
      <c r="P725" s="99">
        <f t="shared" si="123"/>
        <v>-8.9285714285714281E-3</v>
      </c>
      <c r="Q725" s="99">
        <f t="shared" si="132"/>
        <v>7.529591895315535E-2</v>
      </c>
      <c r="S725" s="7">
        <f t="shared" si="124"/>
        <v>13431000.000000002</v>
      </c>
      <c r="T725" s="7">
        <f t="shared" si="125"/>
        <v>4070000</v>
      </c>
      <c r="U725" s="7">
        <f t="shared" si="126"/>
        <v>9395000</v>
      </c>
      <c r="V725" s="7">
        <f t="shared" si="127"/>
        <v>0</v>
      </c>
      <c r="W725" s="7">
        <f t="shared" si="128"/>
        <v>0</v>
      </c>
      <c r="X725" s="7">
        <f t="shared" si="129"/>
        <v>0</v>
      </c>
    </row>
    <row r="726" spans="1:24">
      <c r="A726">
        <v>725</v>
      </c>
      <c r="B726" s="96" t="s">
        <v>2878</v>
      </c>
      <c r="C726" s="95">
        <v>41225</v>
      </c>
      <c r="D726" s="82">
        <v>12150000</v>
      </c>
      <c r="E726" s="82">
        <v>12100000</v>
      </c>
      <c r="F726" s="82">
        <v>12200000</v>
      </c>
      <c r="G726" s="82">
        <v>12100000</v>
      </c>
      <c r="I726" s="98">
        <v>0</v>
      </c>
      <c r="J726" s="98">
        <v>0</v>
      </c>
      <c r="K726" s="98">
        <v>0</v>
      </c>
      <c r="M726" s="7">
        <f t="shared" si="122"/>
        <v>0</v>
      </c>
      <c r="N726" s="7">
        <f t="shared" si="131"/>
        <v>0</v>
      </c>
      <c r="O726" s="7">
        <f t="shared" si="130"/>
        <v>-110000</v>
      </c>
      <c r="P726" s="99">
        <f t="shared" si="123"/>
        <v>-9.0090090090090089E-3</v>
      </c>
      <c r="Q726" s="99">
        <f t="shared" si="132"/>
        <v>2.4445950144671259E-2</v>
      </c>
      <c r="S726" s="7">
        <f t="shared" si="124"/>
        <v>13310000.000000002</v>
      </c>
      <c r="T726" s="7">
        <f t="shared" si="125"/>
        <v>4033333.3333333335</v>
      </c>
      <c r="U726" s="7">
        <f t="shared" si="126"/>
        <v>9370000</v>
      </c>
      <c r="V726" s="7">
        <f t="shared" si="127"/>
        <v>0</v>
      </c>
      <c r="W726" s="7">
        <f t="shared" si="128"/>
        <v>0</v>
      </c>
      <c r="X726" s="7">
        <f t="shared" si="129"/>
        <v>0</v>
      </c>
    </row>
    <row r="727" spans="1:24">
      <c r="A727">
        <v>726</v>
      </c>
      <c r="B727" s="96" t="s">
        <v>2877</v>
      </c>
      <c r="C727" s="95">
        <v>41226</v>
      </c>
      <c r="D727" s="82">
        <v>12000000</v>
      </c>
      <c r="E727" s="82">
        <v>11600000</v>
      </c>
      <c r="F727" s="82">
        <v>12000000</v>
      </c>
      <c r="G727" s="82">
        <v>11600000</v>
      </c>
      <c r="I727" s="82">
        <f>G727*1.1</f>
        <v>12760000.000000002</v>
      </c>
      <c r="J727" s="82">
        <f>G727/3</f>
        <v>3866666.6666666665</v>
      </c>
      <c r="K727" s="7">
        <f>G995</f>
        <v>9530000</v>
      </c>
      <c r="L727" s="7">
        <f>K727-I727</f>
        <v>-3230000.0000000019</v>
      </c>
      <c r="M727" s="7">
        <f t="shared" si="122"/>
        <v>483333.33333333326</v>
      </c>
      <c r="N727" s="7">
        <f t="shared" si="131"/>
        <v>-2746666.6666666688</v>
      </c>
      <c r="O727" s="7">
        <f t="shared" si="130"/>
        <v>-500000</v>
      </c>
      <c r="P727" s="99">
        <f t="shared" si="123"/>
        <v>-4.1322314049586778E-2</v>
      </c>
      <c r="Q727" s="99">
        <f t="shared" si="132"/>
        <v>-2.8150653164421571E-2</v>
      </c>
      <c r="R727">
        <v>1</v>
      </c>
      <c r="S727" s="7">
        <f t="shared" si="124"/>
        <v>12760000.000000002</v>
      </c>
      <c r="T727" s="7">
        <f t="shared" si="125"/>
        <v>3866666.6666666665</v>
      </c>
      <c r="U727" s="7">
        <f t="shared" si="126"/>
        <v>9530000</v>
      </c>
      <c r="V727" s="7">
        <f t="shared" si="127"/>
        <v>-3230000.0000000019</v>
      </c>
      <c r="W727" s="7">
        <f t="shared" si="128"/>
        <v>483333.33333333326</v>
      </c>
      <c r="X727" s="7">
        <f t="shared" si="129"/>
        <v>-2746666.6666666688</v>
      </c>
    </row>
    <row r="728" spans="1:24">
      <c r="A728">
        <v>727</v>
      </c>
      <c r="B728" s="96" t="s">
        <v>2876</v>
      </c>
      <c r="C728" s="95">
        <v>41227</v>
      </c>
      <c r="D728" s="82">
        <v>11700000</v>
      </c>
      <c r="E728" s="82">
        <v>11620000</v>
      </c>
      <c r="F728" s="82">
        <v>11900000</v>
      </c>
      <c r="G728" s="82">
        <v>11720000</v>
      </c>
      <c r="I728" s="97">
        <v>0</v>
      </c>
      <c r="J728" s="97">
        <v>0</v>
      </c>
      <c r="K728" s="97">
        <v>0</v>
      </c>
      <c r="M728" s="7">
        <f t="shared" si="122"/>
        <v>0</v>
      </c>
      <c r="N728" s="7">
        <f t="shared" si="131"/>
        <v>0</v>
      </c>
      <c r="O728" s="7">
        <f t="shared" si="130"/>
        <v>120000</v>
      </c>
      <c r="P728" s="99">
        <f t="shared" si="123"/>
        <v>1.0344827586206896E-2</v>
      </c>
      <c r="Q728" s="99">
        <f t="shared" si="132"/>
        <v>-6.7063328659791477E-2</v>
      </c>
      <c r="R728">
        <v>4</v>
      </c>
      <c r="S728" s="7">
        <f t="shared" si="124"/>
        <v>12892000.000000002</v>
      </c>
      <c r="T728" s="7">
        <f t="shared" si="125"/>
        <v>3906666.6666666665</v>
      </c>
      <c r="U728" s="7">
        <f t="shared" si="126"/>
        <v>9555000</v>
      </c>
      <c r="V728" s="7">
        <f t="shared" si="127"/>
        <v>-13348000.000000007</v>
      </c>
      <c r="W728" s="7">
        <f t="shared" si="128"/>
        <v>1953333.333333333</v>
      </c>
      <c r="X728" s="7">
        <f t="shared" si="129"/>
        <v>-11394666.666666675</v>
      </c>
    </row>
    <row r="729" spans="1:24">
      <c r="A729">
        <v>728</v>
      </c>
      <c r="B729" s="96" t="s">
        <v>2875</v>
      </c>
      <c r="C729" s="95">
        <v>41228</v>
      </c>
      <c r="D729" s="82">
        <v>11630000</v>
      </c>
      <c r="E729" s="82">
        <v>11630000</v>
      </c>
      <c r="F729" s="82">
        <v>11630000</v>
      </c>
      <c r="G729" s="82">
        <v>11630000</v>
      </c>
      <c r="I729" s="97">
        <v>0</v>
      </c>
      <c r="J729" s="97">
        <v>0</v>
      </c>
      <c r="K729" s="97">
        <v>0</v>
      </c>
      <c r="M729" s="7">
        <f t="shared" si="122"/>
        <v>0</v>
      </c>
      <c r="N729" s="7">
        <f t="shared" si="131"/>
        <v>0</v>
      </c>
      <c r="O729" s="7">
        <f t="shared" si="130"/>
        <v>-90000</v>
      </c>
      <c r="P729" s="99">
        <f t="shared" si="123"/>
        <v>-7.6791808873720134E-3</v>
      </c>
      <c r="Q729" s="99">
        <f t="shared" si="132"/>
        <v>-3.6589676596934025E-2</v>
      </c>
      <c r="S729" s="7">
        <f t="shared" si="124"/>
        <v>12793000.000000002</v>
      </c>
      <c r="T729" s="7">
        <f t="shared" si="125"/>
        <v>3876666.6666666665</v>
      </c>
      <c r="U729" s="7">
        <f t="shared" si="126"/>
        <v>9560000</v>
      </c>
      <c r="V729" s="7">
        <f t="shared" si="127"/>
        <v>0</v>
      </c>
      <c r="W729" s="7">
        <f t="shared" si="128"/>
        <v>0</v>
      </c>
      <c r="X729" s="7">
        <f t="shared" si="129"/>
        <v>0</v>
      </c>
    </row>
    <row r="730" spans="1:24">
      <c r="A730">
        <v>729</v>
      </c>
      <c r="B730" s="96" t="s">
        <v>2874</v>
      </c>
      <c r="C730" s="95">
        <v>41230</v>
      </c>
      <c r="D730" s="82">
        <v>11580000</v>
      </c>
      <c r="E730" s="82">
        <v>11300000</v>
      </c>
      <c r="F730" s="82">
        <v>11650000</v>
      </c>
      <c r="G730" s="82">
        <v>11300000</v>
      </c>
      <c r="I730" s="97">
        <v>0</v>
      </c>
      <c r="J730" s="97">
        <v>0</v>
      </c>
      <c r="K730" s="97">
        <v>0</v>
      </c>
      <c r="M730" s="7">
        <f t="shared" si="122"/>
        <v>0</v>
      </c>
      <c r="N730" s="7">
        <f t="shared" si="131"/>
        <v>0</v>
      </c>
      <c r="O730" s="7">
        <f t="shared" si="130"/>
        <v>-330000</v>
      </c>
      <c r="P730" s="99">
        <f t="shared" si="123"/>
        <v>-2.8374892519346516E-2</v>
      </c>
      <c r="Q730" s="99">
        <f t="shared" si="132"/>
        <v>-5.659424778833233E-2</v>
      </c>
      <c r="S730" s="7">
        <f t="shared" si="124"/>
        <v>12430000.000000002</v>
      </c>
      <c r="T730" s="7">
        <f t="shared" si="125"/>
        <v>3766666.6666666665</v>
      </c>
      <c r="U730" s="7">
        <f t="shared" si="126"/>
        <v>9535000</v>
      </c>
      <c r="V730" s="7">
        <f t="shared" si="127"/>
        <v>0</v>
      </c>
      <c r="W730" s="7">
        <f t="shared" si="128"/>
        <v>0</v>
      </c>
      <c r="X730" s="7">
        <f t="shared" si="129"/>
        <v>0</v>
      </c>
    </row>
    <row r="731" spans="1:24">
      <c r="A731">
        <v>730</v>
      </c>
      <c r="B731" s="96" t="s">
        <v>2873</v>
      </c>
      <c r="C731" s="95">
        <v>41231</v>
      </c>
      <c r="D731" s="82">
        <v>11180000</v>
      </c>
      <c r="E731" s="82">
        <v>10920000</v>
      </c>
      <c r="F731" s="82">
        <v>11180000</v>
      </c>
      <c r="G731" s="82">
        <v>11080000</v>
      </c>
      <c r="I731" s="98">
        <v>0</v>
      </c>
      <c r="J731" s="98">
        <v>0</v>
      </c>
      <c r="K731" s="98">
        <v>0</v>
      </c>
      <c r="M731" s="7">
        <f t="shared" si="122"/>
        <v>0</v>
      </c>
      <c r="N731" s="7">
        <f t="shared" si="131"/>
        <v>0</v>
      </c>
      <c r="O731" s="7">
        <f t="shared" si="130"/>
        <v>-220000</v>
      </c>
      <c r="P731" s="99">
        <f t="shared" si="123"/>
        <v>-1.9469026548672566E-2</v>
      </c>
      <c r="Q731" s="99">
        <f t="shared" si="132"/>
        <v>-7.6040568879107429E-2</v>
      </c>
      <c r="S731" s="7">
        <f t="shared" si="124"/>
        <v>12188000.000000002</v>
      </c>
      <c r="T731" s="7">
        <f t="shared" si="125"/>
        <v>3693333.3333333335</v>
      </c>
      <c r="U731" s="7">
        <f t="shared" si="126"/>
        <v>9590000</v>
      </c>
      <c r="V731" s="7">
        <f t="shared" si="127"/>
        <v>0</v>
      </c>
      <c r="W731" s="7">
        <f t="shared" si="128"/>
        <v>0</v>
      </c>
      <c r="X731" s="7">
        <f t="shared" si="129"/>
        <v>0</v>
      </c>
    </row>
    <row r="732" spans="1:24">
      <c r="A732">
        <v>731</v>
      </c>
      <c r="B732" s="96" t="s">
        <v>2872</v>
      </c>
      <c r="C732" s="95">
        <v>41232</v>
      </c>
      <c r="D732" s="82">
        <v>11160000</v>
      </c>
      <c r="E732" s="82">
        <v>10930000</v>
      </c>
      <c r="F732" s="82">
        <v>11160000</v>
      </c>
      <c r="G732" s="82">
        <v>10940000</v>
      </c>
      <c r="I732" s="82">
        <f>G732*1.1</f>
        <v>12034000.000000002</v>
      </c>
      <c r="J732" s="82">
        <f>G732/3</f>
        <v>3646666.6666666665</v>
      </c>
      <c r="K732" s="7">
        <f>G1000</f>
        <v>9560000</v>
      </c>
      <c r="L732" s="7">
        <f>K732-I732</f>
        <v>-2474000.0000000019</v>
      </c>
      <c r="M732" s="7">
        <f t="shared" si="122"/>
        <v>455833.33333333326</v>
      </c>
      <c r="N732" s="7">
        <f t="shared" si="131"/>
        <v>-2018166.6666666686</v>
      </c>
      <c r="O732" s="7">
        <f t="shared" si="130"/>
        <v>-140000</v>
      </c>
      <c r="P732" s="99">
        <f t="shared" si="123"/>
        <v>-1.263537906137184E-2</v>
      </c>
      <c r="Q732" s="99">
        <f t="shared" si="132"/>
        <v>-8.6500586418770967E-2</v>
      </c>
      <c r="R732">
        <v>4</v>
      </c>
      <c r="S732" s="7">
        <f t="shared" si="124"/>
        <v>12034000.000000002</v>
      </c>
      <c r="T732" s="7">
        <f t="shared" si="125"/>
        <v>3646666.6666666665</v>
      </c>
      <c r="U732" s="7">
        <f t="shared" si="126"/>
        <v>9560000</v>
      </c>
      <c r="V732" s="7">
        <f t="shared" si="127"/>
        <v>-9896000.0000000075</v>
      </c>
      <c r="W732" s="7">
        <f t="shared" si="128"/>
        <v>1823333.333333333</v>
      </c>
      <c r="X732" s="7">
        <f t="shared" si="129"/>
        <v>-8072666.6666666744</v>
      </c>
    </row>
    <row r="733" spans="1:24">
      <c r="A733">
        <v>732</v>
      </c>
      <c r="B733" s="96" t="s">
        <v>2871</v>
      </c>
      <c r="C733" s="95">
        <v>41233</v>
      </c>
      <c r="D733" s="82">
        <v>10700000</v>
      </c>
      <c r="E733" s="82">
        <v>10490000</v>
      </c>
      <c r="F733" s="82">
        <v>10980000</v>
      </c>
      <c r="G733" s="82">
        <v>10770000</v>
      </c>
      <c r="I733" s="97">
        <v>0</v>
      </c>
      <c r="J733" s="97">
        <v>0</v>
      </c>
      <c r="K733" s="97">
        <v>0</v>
      </c>
      <c r="M733" s="7">
        <f t="shared" si="122"/>
        <v>0</v>
      </c>
      <c r="N733" s="7">
        <f t="shared" si="131"/>
        <v>0</v>
      </c>
      <c r="O733" s="7">
        <f t="shared" si="130"/>
        <v>-170000</v>
      </c>
      <c r="P733" s="99">
        <f t="shared" si="123"/>
        <v>-1.5539305301645339E-2</v>
      </c>
      <c r="Q733" s="99">
        <f t="shared" si="132"/>
        <v>-5.7813651430556043E-2</v>
      </c>
      <c r="S733" s="7">
        <f t="shared" si="124"/>
        <v>11847000.000000002</v>
      </c>
      <c r="T733" s="7">
        <f t="shared" si="125"/>
        <v>3590000</v>
      </c>
      <c r="U733" s="7">
        <f t="shared" si="126"/>
        <v>9610000</v>
      </c>
      <c r="V733" s="7">
        <f t="shared" si="127"/>
        <v>0</v>
      </c>
      <c r="W733" s="7">
        <f t="shared" si="128"/>
        <v>0</v>
      </c>
      <c r="X733" s="7">
        <f t="shared" si="129"/>
        <v>0</v>
      </c>
    </row>
    <row r="734" spans="1:24">
      <c r="A734">
        <v>733</v>
      </c>
      <c r="B734" s="96" t="s">
        <v>2870</v>
      </c>
      <c r="C734" s="95">
        <v>41234</v>
      </c>
      <c r="D734" s="82">
        <v>10820000</v>
      </c>
      <c r="E734" s="82">
        <v>10820000</v>
      </c>
      <c r="F734" s="82">
        <v>11700000</v>
      </c>
      <c r="G734" s="82">
        <v>11280000</v>
      </c>
      <c r="I734" s="97">
        <v>0</v>
      </c>
      <c r="J734" s="97">
        <v>0</v>
      </c>
      <c r="K734" s="97">
        <v>0</v>
      </c>
      <c r="M734" s="7">
        <f t="shared" si="122"/>
        <v>0</v>
      </c>
      <c r="N734" s="7">
        <f t="shared" si="131"/>
        <v>0</v>
      </c>
      <c r="O734" s="7">
        <f t="shared" si="130"/>
        <v>510000</v>
      </c>
      <c r="P734" s="99">
        <f t="shared" si="123"/>
        <v>4.7353760445682451E-2</v>
      </c>
      <c r="Q734" s="99">
        <f t="shared" si="132"/>
        <v>-8.3697784318408269E-2</v>
      </c>
      <c r="S734" s="7">
        <f t="shared" si="124"/>
        <v>12408000.000000002</v>
      </c>
      <c r="T734" s="7">
        <f t="shared" si="125"/>
        <v>3760000</v>
      </c>
      <c r="U734" s="7">
        <f t="shared" si="126"/>
        <v>9700000</v>
      </c>
      <c r="V734" s="7">
        <f t="shared" si="127"/>
        <v>0</v>
      </c>
      <c r="W734" s="7">
        <f t="shared" si="128"/>
        <v>0</v>
      </c>
      <c r="X734" s="7">
        <f t="shared" si="129"/>
        <v>0</v>
      </c>
    </row>
    <row r="735" spans="1:24">
      <c r="A735">
        <v>734</v>
      </c>
      <c r="B735" s="96" t="s">
        <v>2869</v>
      </c>
      <c r="C735" s="95">
        <v>41235</v>
      </c>
      <c r="D735" s="82">
        <v>11550000</v>
      </c>
      <c r="E735" s="82">
        <v>11500000</v>
      </c>
      <c r="F735" s="82">
        <v>11550000</v>
      </c>
      <c r="G735" s="82">
        <v>11550000</v>
      </c>
      <c r="I735" s="97">
        <v>0</v>
      </c>
      <c r="J735" s="97">
        <v>0</v>
      </c>
      <c r="K735" s="97">
        <v>0</v>
      </c>
      <c r="M735" s="7">
        <f t="shared" si="122"/>
        <v>0</v>
      </c>
      <c r="N735" s="7">
        <f t="shared" si="131"/>
        <v>0</v>
      </c>
      <c r="O735" s="7">
        <f t="shared" si="130"/>
        <v>270000</v>
      </c>
      <c r="P735" s="99">
        <f t="shared" si="123"/>
        <v>2.3936170212765957E-2</v>
      </c>
      <c r="Q735" s="99">
        <f t="shared" si="132"/>
        <v>-2.8664842985353815E-2</v>
      </c>
      <c r="S735" s="7">
        <f t="shared" si="124"/>
        <v>12705000.000000002</v>
      </c>
      <c r="T735" s="7">
        <f t="shared" si="125"/>
        <v>3850000</v>
      </c>
      <c r="U735" s="7">
        <f t="shared" si="126"/>
        <v>9650000</v>
      </c>
      <c r="V735" s="7">
        <f t="shared" si="127"/>
        <v>0</v>
      </c>
      <c r="W735" s="7">
        <f t="shared" si="128"/>
        <v>0</v>
      </c>
      <c r="X735" s="7">
        <f t="shared" si="129"/>
        <v>0</v>
      </c>
    </row>
    <row r="736" spans="1:24">
      <c r="A736">
        <v>735</v>
      </c>
      <c r="B736" s="96" t="s">
        <v>2868</v>
      </c>
      <c r="C736" s="95">
        <v>41239</v>
      </c>
      <c r="D736" s="82">
        <v>11700000</v>
      </c>
      <c r="E736" s="82">
        <v>11570000</v>
      </c>
      <c r="F736" s="82">
        <v>11700000</v>
      </c>
      <c r="G736" s="82">
        <v>11600000</v>
      </c>
      <c r="I736" s="98">
        <v>0</v>
      </c>
      <c r="J736" s="98">
        <v>0</v>
      </c>
      <c r="K736" s="98">
        <v>0</v>
      </c>
      <c r="M736" s="7">
        <f t="shared" si="122"/>
        <v>0</v>
      </c>
      <c r="N736" s="7">
        <f t="shared" si="131"/>
        <v>0</v>
      </c>
      <c r="O736" s="7">
        <f t="shared" si="130"/>
        <v>50000</v>
      </c>
      <c r="P736" s="99">
        <f t="shared" si="123"/>
        <v>4.329004329004329E-3</v>
      </c>
      <c r="Q736" s="99">
        <f t="shared" si="132"/>
        <v>2.3646219746758665E-2</v>
      </c>
      <c r="S736" s="7">
        <f t="shared" si="124"/>
        <v>12760000.000000002</v>
      </c>
      <c r="T736" s="7">
        <f t="shared" si="125"/>
        <v>3866666.6666666665</v>
      </c>
      <c r="U736" s="7">
        <f t="shared" si="126"/>
        <v>9710000</v>
      </c>
      <c r="V736" s="7">
        <f t="shared" si="127"/>
        <v>0</v>
      </c>
      <c r="W736" s="7">
        <f t="shared" si="128"/>
        <v>0</v>
      </c>
      <c r="X736" s="7">
        <f t="shared" si="129"/>
        <v>0</v>
      </c>
    </row>
    <row r="737" spans="1:24">
      <c r="A737">
        <v>736</v>
      </c>
      <c r="B737" s="96" t="s">
        <v>2867</v>
      </c>
      <c r="C737" s="95">
        <v>41240</v>
      </c>
      <c r="D737" s="82">
        <v>11350000</v>
      </c>
      <c r="E737" s="82">
        <v>11300000</v>
      </c>
      <c r="F737" s="82">
        <v>11500000</v>
      </c>
      <c r="G737" s="82">
        <v>11430000</v>
      </c>
      <c r="I737" s="82">
        <f>G737*1.1</f>
        <v>12573000.000000002</v>
      </c>
      <c r="J737" s="82">
        <f>G737/3</f>
        <v>3810000</v>
      </c>
      <c r="K737" s="7">
        <f>G1005</f>
        <v>9660000</v>
      </c>
      <c r="L737" s="7">
        <f>K737-I737</f>
        <v>-2913000.0000000019</v>
      </c>
      <c r="M737" s="7">
        <f t="shared" si="122"/>
        <v>476250</v>
      </c>
      <c r="N737" s="7">
        <f t="shared" si="131"/>
        <v>-2436750.0000000019</v>
      </c>
      <c r="O737" s="7">
        <f t="shared" si="130"/>
        <v>-170000</v>
      </c>
      <c r="P737" s="99">
        <f t="shared" si="123"/>
        <v>-1.4655172413793103E-2</v>
      </c>
      <c r="Q737" s="99">
        <f t="shared" si="132"/>
        <v>4.7444250624435559E-2</v>
      </c>
      <c r="R737">
        <v>1</v>
      </c>
      <c r="S737" s="7">
        <f t="shared" si="124"/>
        <v>12573000.000000002</v>
      </c>
      <c r="T737" s="7">
        <f t="shared" si="125"/>
        <v>3810000</v>
      </c>
      <c r="U737" s="7">
        <f t="shared" si="126"/>
        <v>9660000</v>
      </c>
      <c r="V737" s="7">
        <f t="shared" si="127"/>
        <v>-2913000.0000000019</v>
      </c>
      <c r="W737" s="7">
        <f t="shared" si="128"/>
        <v>476250</v>
      </c>
      <c r="X737" s="7">
        <f t="shared" si="129"/>
        <v>-2436750.0000000019</v>
      </c>
    </row>
    <row r="738" spans="1:24">
      <c r="A738">
        <v>737</v>
      </c>
      <c r="B738" s="96" t="s">
        <v>2866</v>
      </c>
      <c r="C738" s="95">
        <v>41241</v>
      </c>
      <c r="D738" s="82">
        <v>11500000</v>
      </c>
      <c r="E738" s="82">
        <v>11400000</v>
      </c>
      <c r="F738" s="82">
        <v>11600000</v>
      </c>
      <c r="G738" s="82">
        <v>11410000</v>
      </c>
      <c r="I738" s="97">
        <v>0</v>
      </c>
      <c r="J738" s="97">
        <v>0</v>
      </c>
      <c r="K738" s="97">
        <v>0</v>
      </c>
      <c r="M738" s="7">
        <f t="shared" si="122"/>
        <v>0</v>
      </c>
      <c r="N738" s="7">
        <f t="shared" si="131"/>
        <v>0</v>
      </c>
      <c r="O738" s="7">
        <f t="shared" si="130"/>
        <v>-20000</v>
      </c>
      <c r="P738" s="99">
        <f t="shared" si="123"/>
        <v>-1.7497812773403325E-3</v>
      </c>
      <c r="Q738" s="99">
        <f t="shared" si="132"/>
        <v>4.5424457272014294E-2</v>
      </c>
      <c r="S738" s="7">
        <f t="shared" si="124"/>
        <v>12551000.000000002</v>
      </c>
      <c r="T738" s="7">
        <f t="shared" si="125"/>
        <v>3803333.3333333335</v>
      </c>
      <c r="U738" s="7">
        <f t="shared" si="126"/>
        <v>9700000</v>
      </c>
      <c r="V738" s="7">
        <f t="shared" si="127"/>
        <v>0</v>
      </c>
      <c r="W738" s="7">
        <f t="shared" si="128"/>
        <v>0</v>
      </c>
      <c r="X738" s="7">
        <f t="shared" si="129"/>
        <v>0</v>
      </c>
    </row>
    <row r="739" spans="1:24">
      <c r="A739">
        <v>738</v>
      </c>
      <c r="B739" s="96" t="s">
        <v>2865</v>
      </c>
      <c r="C739" s="95">
        <v>41242</v>
      </c>
      <c r="D739" s="82">
        <v>11440000</v>
      </c>
      <c r="E739" s="82">
        <v>11430000</v>
      </c>
      <c r="F739" s="82">
        <v>11530000</v>
      </c>
      <c r="G739" s="82">
        <v>11510000</v>
      </c>
      <c r="I739" s="97">
        <v>0</v>
      </c>
      <c r="J739" s="97">
        <v>0</v>
      </c>
      <c r="K739" s="97">
        <v>0</v>
      </c>
      <c r="M739" s="7">
        <f t="shared" si="122"/>
        <v>0</v>
      </c>
      <c r="N739" s="7">
        <f t="shared" si="131"/>
        <v>0</v>
      </c>
      <c r="O739" s="7">
        <f t="shared" si="130"/>
        <v>100000</v>
      </c>
      <c r="P739" s="99">
        <f t="shared" si="123"/>
        <v>8.7642418930762491E-3</v>
      </c>
      <c r="Q739" s="99">
        <f t="shared" si="132"/>
        <v>5.9213981296319308E-2</v>
      </c>
      <c r="S739" s="7">
        <f t="shared" si="124"/>
        <v>12661000.000000002</v>
      </c>
      <c r="T739" s="7">
        <f t="shared" si="125"/>
        <v>3836666.6666666665</v>
      </c>
      <c r="U739" s="7">
        <f t="shared" si="126"/>
        <v>9570000</v>
      </c>
      <c r="V739" s="7">
        <f t="shared" si="127"/>
        <v>0</v>
      </c>
      <c r="W739" s="7">
        <f t="shared" si="128"/>
        <v>0</v>
      </c>
      <c r="X739" s="7">
        <f t="shared" si="129"/>
        <v>0</v>
      </c>
    </row>
    <row r="740" spans="1:24">
      <c r="A740">
        <v>739</v>
      </c>
      <c r="B740" s="96" t="s">
        <v>2864</v>
      </c>
      <c r="C740" s="95">
        <v>41244</v>
      </c>
      <c r="D740" s="82">
        <v>11750000</v>
      </c>
      <c r="E740" s="82">
        <v>11750000</v>
      </c>
      <c r="F740" s="82">
        <v>12000000</v>
      </c>
      <c r="G740" s="82">
        <v>11950000</v>
      </c>
      <c r="I740" s="97">
        <v>0</v>
      </c>
      <c r="J740" s="97">
        <v>0</v>
      </c>
      <c r="K740" s="97">
        <v>0</v>
      </c>
      <c r="M740" s="7">
        <f t="shared" si="122"/>
        <v>0</v>
      </c>
      <c r="N740" s="7">
        <f t="shared" si="131"/>
        <v>0</v>
      </c>
      <c r="O740" s="7">
        <f t="shared" si="130"/>
        <v>440000</v>
      </c>
      <c r="P740" s="99">
        <f t="shared" si="123"/>
        <v>3.8227628149435276E-2</v>
      </c>
      <c r="Q740" s="99">
        <f t="shared" si="132"/>
        <v>2.0624462743713101E-2</v>
      </c>
      <c r="S740" s="7">
        <f t="shared" si="124"/>
        <v>13145000.000000002</v>
      </c>
      <c r="T740" s="7">
        <f t="shared" si="125"/>
        <v>3983333.3333333335</v>
      </c>
      <c r="U740" s="7">
        <f t="shared" si="126"/>
        <v>9480000</v>
      </c>
      <c r="V740" s="7">
        <f t="shared" si="127"/>
        <v>0</v>
      </c>
      <c r="W740" s="7">
        <f t="shared" si="128"/>
        <v>0</v>
      </c>
      <c r="X740" s="7">
        <f t="shared" si="129"/>
        <v>0</v>
      </c>
    </row>
    <row r="741" spans="1:24">
      <c r="A741">
        <v>740</v>
      </c>
      <c r="B741" s="96" t="s">
        <v>2863</v>
      </c>
      <c r="C741" s="95">
        <v>41245</v>
      </c>
      <c r="D741" s="82">
        <v>11850000</v>
      </c>
      <c r="E741" s="82">
        <v>11770000</v>
      </c>
      <c r="F741" s="82">
        <v>11860000</v>
      </c>
      <c r="G741" s="82">
        <v>11770000</v>
      </c>
      <c r="I741" s="98">
        <v>0</v>
      </c>
      <c r="J741" s="98">
        <v>0</v>
      </c>
      <c r="K741" s="98">
        <v>0</v>
      </c>
      <c r="M741" s="7">
        <f t="shared" si="122"/>
        <v>0</v>
      </c>
      <c r="N741" s="7">
        <f t="shared" si="131"/>
        <v>0</v>
      </c>
      <c r="O741" s="7">
        <f t="shared" si="130"/>
        <v>-180000</v>
      </c>
      <c r="P741" s="99">
        <f t="shared" si="123"/>
        <v>-1.506276150627615E-2</v>
      </c>
      <c r="Q741" s="99">
        <f t="shared" si="132"/>
        <v>3.491592068038242E-2</v>
      </c>
      <c r="S741" s="7">
        <f t="shared" si="124"/>
        <v>12947000.000000002</v>
      </c>
      <c r="T741" s="7">
        <f t="shared" si="125"/>
        <v>3923333.3333333335</v>
      </c>
      <c r="U741" s="7">
        <f t="shared" si="126"/>
        <v>9550000</v>
      </c>
      <c r="V741" s="7">
        <f t="shared" si="127"/>
        <v>0</v>
      </c>
      <c r="W741" s="7">
        <f t="shared" si="128"/>
        <v>0</v>
      </c>
      <c r="X741" s="7">
        <f t="shared" si="129"/>
        <v>0</v>
      </c>
    </row>
    <row r="742" spans="1:24">
      <c r="A742">
        <v>741</v>
      </c>
      <c r="B742" s="96" t="s">
        <v>2862</v>
      </c>
      <c r="C742" s="95">
        <v>41246</v>
      </c>
      <c r="D742" s="82">
        <v>11830000</v>
      </c>
      <c r="E742" s="82">
        <v>11790000</v>
      </c>
      <c r="F742" s="82">
        <v>11840000</v>
      </c>
      <c r="G742" s="82">
        <v>11820000</v>
      </c>
      <c r="I742" s="82">
        <f>G742*1.1</f>
        <v>13002000.000000002</v>
      </c>
      <c r="J742" s="82">
        <f>G742/3</f>
        <v>3940000</v>
      </c>
      <c r="K742" s="7">
        <f>G1010</f>
        <v>9510000</v>
      </c>
      <c r="L742" s="7">
        <f>K742-I742</f>
        <v>-3492000.0000000019</v>
      </c>
      <c r="M742" s="7">
        <f t="shared" si="122"/>
        <v>492500</v>
      </c>
      <c r="N742" s="7">
        <f t="shared" si="131"/>
        <v>-2999500.0000000019</v>
      </c>
      <c r="O742" s="7">
        <f t="shared" si="130"/>
        <v>50000</v>
      </c>
      <c r="P742" s="99">
        <f t="shared" si="123"/>
        <v>4.248088360237893E-3</v>
      </c>
      <c r="Q742" s="99">
        <f t="shared" si="132"/>
        <v>1.5524154845101942E-2</v>
      </c>
      <c r="R742">
        <v>1</v>
      </c>
      <c r="S742" s="7">
        <f t="shared" si="124"/>
        <v>13002000.000000002</v>
      </c>
      <c r="T742" s="7">
        <f t="shared" si="125"/>
        <v>3940000</v>
      </c>
      <c r="U742" s="7">
        <f t="shared" si="126"/>
        <v>9510000</v>
      </c>
      <c r="V742" s="7">
        <f t="shared" si="127"/>
        <v>-3492000.0000000019</v>
      </c>
      <c r="W742" s="7">
        <f t="shared" si="128"/>
        <v>492500</v>
      </c>
      <c r="X742" s="7">
        <f t="shared" si="129"/>
        <v>-2999500.0000000019</v>
      </c>
    </row>
    <row r="743" spans="1:24">
      <c r="A743">
        <v>742</v>
      </c>
      <c r="B743" s="96" t="s">
        <v>2861</v>
      </c>
      <c r="C743" s="95">
        <v>41247</v>
      </c>
      <c r="D743" s="82">
        <v>11780000</v>
      </c>
      <c r="E743" s="82">
        <v>11720000</v>
      </c>
      <c r="F743" s="82">
        <v>11800000</v>
      </c>
      <c r="G743" s="82">
        <v>11720000</v>
      </c>
      <c r="I743" s="97">
        <v>0</v>
      </c>
      <c r="J743" s="97">
        <v>0</v>
      </c>
      <c r="K743" s="97">
        <v>0</v>
      </c>
      <c r="M743" s="7">
        <f t="shared" si="122"/>
        <v>0</v>
      </c>
      <c r="N743" s="7">
        <f t="shared" si="131"/>
        <v>0</v>
      </c>
      <c r="O743" s="7">
        <f t="shared" si="130"/>
        <v>-100000</v>
      </c>
      <c r="P743" s="99">
        <f t="shared" si="123"/>
        <v>-8.4602368866328256E-3</v>
      </c>
      <c r="Q743" s="99">
        <f t="shared" si="132"/>
        <v>3.4427415619132935E-2</v>
      </c>
      <c r="S743" s="7">
        <f t="shared" si="124"/>
        <v>12892000.000000002</v>
      </c>
      <c r="T743" s="7">
        <f t="shared" si="125"/>
        <v>3906666.6666666665</v>
      </c>
      <c r="U743" s="7">
        <f t="shared" si="126"/>
        <v>9460000</v>
      </c>
      <c r="V743" s="7">
        <f t="shared" si="127"/>
        <v>0</v>
      </c>
      <c r="W743" s="7">
        <f t="shared" si="128"/>
        <v>0</v>
      </c>
      <c r="X743" s="7">
        <f t="shared" si="129"/>
        <v>0</v>
      </c>
    </row>
    <row r="744" spans="1:24">
      <c r="A744">
        <v>743</v>
      </c>
      <c r="B744" s="96" t="s">
        <v>2860</v>
      </c>
      <c r="C744" s="95">
        <v>41248</v>
      </c>
      <c r="D744" s="82">
        <v>11800000</v>
      </c>
      <c r="E744" s="82">
        <v>11800000</v>
      </c>
      <c r="F744" s="82">
        <v>11930000</v>
      </c>
      <c r="G744" s="82">
        <v>11930000</v>
      </c>
      <c r="I744" s="97">
        <v>0</v>
      </c>
      <c r="J744" s="97">
        <v>0</v>
      </c>
      <c r="K744" s="97">
        <v>0</v>
      </c>
      <c r="M744" s="7">
        <f t="shared" si="122"/>
        <v>0</v>
      </c>
      <c r="N744" s="7">
        <f t="shared" si="131"/>
        <v>0</v>
      </c>
      <c r="O744" s="7">
        <f t="shared" si="130"/>
        <v>210000</v>
      </c>
      <c r="P744" s="99">
        <f t="shared" si="123"/>
        <v>1.7918088737201365E-2</v>
      </c>
      <c r="Q744" s="99">
        <f t="shared" si="132"/>
        <v>2.771696000984044E-2</v>
      </c>
      <c r="S744" s="7">
        <f t="shared" si="124"/>
        <v>13123000.000000002</v>
      </c>
      <c r="T744" s="7">
        <f t="shared" si="125"/>
        <v>3976666.6666666665</v>
      </c>
      <c r="U744" s="7">
        <f t="shared" si="126"/>
        <v>9490000</v>
      </c>
      <c r="V744" s="7">
        <f t="shared" si="127"/>
        <v>0</v>
      </c>
      <c r="W744" s="7">
        <f t="shared" si="128"/>
        <v>0</v>
      </c>
      <c r="X744" s="7">
        <f t="shared" si="129"/>
        <v>0</v>
      </c>
    </row>
    <row r="745" spans="1:24">
      <c r="A745">
        <v>744</v>
      </c>
      <c r="B745" s="96" t="s">
        <v>2859</v>
      </c>
      <c r="C745" s="95">
        <v>41249</v>
      </c>
      <c r="D745" s="82">
        <v>12100000</v>
      </c>
      <c r="E745" s="82">
        <v>12010000</v>
      </c>
      <c r="F745" s="82">
        <v>12100000</v>
      </c>
      <c r="G745" s="82">
        <v>12020000</v>
      </c>
      <c r="I745" s="97">
        <v>0</v>
      </c>
      <c r="J745" s="97">
        <v>0</v>
      </c>
      <c r="K745" s="97">
        <v>0</v>
      </c>
      <c r="M745" s="7">
        <f t="shared" si="122"/>
        <v>0</v>
      </c>
      <c r="N745" s="7">
        <f t="shared" si="131"/>
        <v>0</v>
      </c>
      <c r="O745" s="7">
        <f t="shared" si="130"/>
        <v>90000</v>
      </c>
      <c r="P745" s="99">
        <f t="shared" si="123"/>
        <v>7.5440067057837385E-3</v>
      </c>
      <c r="Q745" s="99">
        <f t="shared" si="132"/>
        <v>3.6870806853965557E-2</v>
      </c>
      <c r="S745" s="7">
        <f t="shared" si="124"/>
        <v>13222000.000000002</v>
      </c>
      <c r="T745" s="7">
        <f t="shared" si="125"/>
        <v>4006666.6666666665</v>
      </c>
      <c r="U745" s="7">
        <f t="shared" si="126"/>
        <v>9440000</v>
      </c>
      <c r="V745" s="7">
        <f t="shared" si="127"/>
        <v>0</v>
      </c>
      <c r="W745" s="7">
        <f t="shared" si="128"/>
        <v>0</v>
      </c>
      <c r="X745" s="7">
        <f t="shared" si="129"/>
        <v>0</v>
      </c>
    </row>
    <row r="746" spans="1:24">
      <c r="A746">
        <v>745</v>
      </c>
      <c r="B746" s="96" t="s">
        <v>2858</v>
      </c>
      <c r="C746" s="95">
        <v>41251</v>
      </c>
      <c r="D746" s="82">
        <v>12080000</v>
      </c>
      <c r="E746" s="82">
        <v>11780000</v>
      </c>
      <c r="F746" s="82">
        <v>12080000</v>
      </c>
      <c r="G746" s="82">
        <v>11800000</v>
      </c>
      <c r="I746" s="98">
        <v>0</v>
      </c>
      <c r="J746" s="98">
        <v>0</v>
      </c>
      <c r="K746" s="98">
        <v>0</v>
      </c>
      <c r="M746" s="7">
        <f t="shared" si="122"/>
        <v>0</v>
      </c>
      <c r="N746" s="7">
        <f t="shared" si="131"/>
        <v>0</v>
      </c>
      <c r="O746" s="7">
        <f t="shared" si="130"/>
        <v>-220000</v>
      </c>
      <c r="P746" s="99">
        <f t="shared" si="123"/>
        <v>-1.8302828618968387E-2</v>
      </c>
      <c r="Q746" s="99">
        <f t="shared" si="132"/>
        <v>6.1871854103140193E-3</v>
      </c>
      <c r="S746" s="7">
        <f t="shared" si="124"/>
        <v>12980000.000000002</v>
      </c>
      <c r="T746" s="7">
        <f t="shared" si="125"/>
        <v>3933333.3333333335</v>
      </c>
      <c r="U746" s="7">
        <f t="shared" si="126"/>
        <v>9195000</v>
      </c>
      <c r="V746" s="7">
        <f t="shared" si="127"/>
        <v>0</v>
      </c>
      <c r="W746" s="7">
        <f t="shared" si="128"/>
        <v>0</v>
      </c>
      <c r="X746" s="7">
        <f t="shared" si="129"/>
        <v>0</v>
      </c>
    </row>
    <row r="747" spans="1:24">
      <c r="A747">
        <v>746</v>
      </c>
      <c r="B747" s="96" t="s">
        <v>2857</v>
      </c>
      <c r="C747" s="95">
        <v>41252</v>
      </c>
      <c r="D747" s="82">
        <v>11700000</v>
      </c>
      <c r="E747" s="82">
        <v>11670000</v>
      </c>
      <c r="F747" s="82">
        <v>11870000</v>
      </c>
      <c r="G747" s="82">
        <v>11850000</v>
      </c>
      <c r="I747" s="82">
        <f>G747*1.1</f>
        <v>13035000.000000002</v>
      </c>
      <c r="J747" s="82">
        <f>G747/3</f>
        <v>3950000</v>
      </c>
      <c r="K747" s="7">
        <f>G1015</f>
        <v>9310000</v>
      </c>
      <c r="L747" s="7">
        <f>K747-I747</f>
        <v>-3725000.0000000019</v>
      </c>
      <c r="M747" s="7">
        <f t="shared" si="122"/>
        <v>493750</v>
      </c>
      <c r="N747" s="7">
        <f t="shared" si="131"/>
        <v>-3231250.0000000019</v>
      </c>
      <c r="O747" s="7">
        <f t="shared" si="130"/>
        <v>50000</v>
      </c>
      <c r="P747" s="99">
        <f t="shared" si="123"/>
        <v>4.2372881355932203E-3</v>
      </c>
      <c r="Q747" s="99">
        <f t="shared" si="132"/>
        <v>2.9471182976217834E-3</v>
      </c>
      <c r="R747">
        <v>1</v>
      </c>
      <c r="S747" s="7">
        <f t="shared" si="124"/>
        <v>13035000.000000002</v>
      </c>
      <c r="T747" s="7">
        <f t="shared" si="125"/>
        <v>3950000</v>
      </c>
      <c r="U747" s="7">
        <f t="shared" si="126"/>
        <v>9310000</v>
      </c>
      <c r="V747" s="7">
        <f t="shared" si="127"/>
        <v>-3725000.0000000019</v>
      </c>
      <c r="W747" s="7">
        <f t="shared" si="128"/>
        <v>493750</v>
      </c>
      <c r="X747" s="7">
        <f t="shared" si="129"/>
        <v>-3231250.0000000019</v>
      </c>
    </row>
    <row r="748" spans="1:24">
      <c r="A748">
        <v>747</v>
      </c>
      <c r="B748" s="96" t="s">
        <v>2856</v>
      </c>
      <c r="C748" s="95">
        <v>41253</v>
      </c>
      <c r="D748" s="82">
        <v>11810000</v>
      </c>
      <c r="E748" s="82">
        <v>11810000</v>
      </c>
      <c r="F748" s="82">
        <v>12050000</v>
      </c>
      <c r="G748" s="82">
        <v>12050000</v>
      </c>
      <c r="I748" s="97">
        <v>0</v>
      </c>
      <c r="J748" s="97">
        <v>0</v>
      </c>
      <c r="K748" s="97">
        <v>0</v>
      </c>
      <c r="M748" s="7">
        <f t="shared" si="122"/>
        <v>0</v>
      </c>
      <c r="N748" s="7">
        <f t="shared" si="131"/>
        <v>0</v>
      </c>
      <c r="O748" s="7">
        <f t="shared" si="130"/>
        <v>200000</v>
      </c>
      <c r="P748" s="99">
        <f t="shared" si="123"/>
        <v>1.6877637130801686E-2</v>
      </c>
      <c r="Q748" s="99">
        <f t="shared" si="132"/>
        <v>2.9363180729771116E-3</v>
      </c>
      <c r="S748" s="7">
        <f t="shared" si="124"/>
        <v>13255000.000000002</v>
      </c>
      <c r="T748" s="7">
        <f t="shared" si="125"/>
        <v>4016666.6666666665</v>
      </c>
      <c r="U748" s="7">
        <f t="shared" si="126"/>
        <v>9260000</v>
      </c>
      <c r="V748" s="7">
        <f t="shared" si="127"/>
        <v>0</v>
      </c>
      <c r="W748" s="7">
        <f t="shared" si="128"/>
        <v>0</v>
      </c>
      <c r="X748" s="7">
        <f t="shared" si="129"/>
        <v>0</v>
      </c>
    </row>
    <row r="749" spans="1:24">
      <c r="A749">
        <v>748</v>
      </c>
      <c r="B749" s="96" t="s">
        <v>2855</v>
      </c>
      <c r="C749" s="95">
        <v>41254</v>
      </c>
      <c r="D749" s="82">
        <v>12040000</v>
      </c>
      <c r="E749" s="82">
        <v>11940000</v>
      </c>
      <c r="F749" s="82">
        <v>12060000</v>
      </c>
      <c r="G749" s="82">
        <v>11980000</v>
      </c>
      <c r="I749" s="97">
        <v>0</v>
      </c>
      <c r="J749" s="97">
        <v>0</v>
      </c>
      <c r="K749" s="97">
        <v>0</v>
      </c>
      <c r="M749" s="7">
        <f t="shared" si="122"/>
        <v>0</v>
      </c>
      <c r="N749" s="7">
        <f t="shared" si="131"/>
        <v>0</v>
      </c>
      <c r="O749" s="7">
        <f t="shared" si="130"/>
        <v>-70000</v>
      </c>
      <c r="P749" s="99">
        <f t="shared" si="123"/>
        <v>-5.8091286307053944E-3</v>
      </c>
      <c r="Q749" s="99">
        <f t="shared" si="132"/>
        <v>2.8274192090411623E-2</v>
      </c>
      <c r="S749" s="7">
        <f t="shared" si="124"/>
        <v>13178000.000000002</v>
      </c>
      <c r="T749" s="7">
        <f t="shared" si="125"/>
        <v>3993333.3333333335</v>
      </c>
      <c r="U749" s="7">
        <f t="shared" si="126"/>
        <v>9240000</v>
      </c>
      <c r="V749" s="7">
        <f t="shared" si="127"/>
        <v>0</v>
      </c>
      <c r="W749" s="7">
        <f t="shared" si="128"/>
        <v>0</v>
      </c>
      <c r="X749" s="7">
        <f t="shared" si="129"/>
        <v>0</v>
      </c>
    </row>
    <row r="750" spans="1:24">
      <c r="A750">
        <v>749</v>
      </c>
      <c r="B750" s="96" t="s">
        <v>2854</v>
      </c>
      <c r="C750" s="95">
        <v>41255</v>
      </c>
      <c r="D750" s="82">
        <v>12020000</v>
      </c>
      <c r="E750" s="82">
        <v>12010000</v>
      </c>
      <c r="F750" s="82">
        <v>12140000</v>
      </c>
      <c r="G750" s="82">
        <v>12140000</v>
      </c>
      <c r="I750" s="97">
        <v>0</v>
      </c>
      <c r="J750" s="97">
        <v>0</v>
      </c>
      <c r="K750" s="97">
        <v>0</v>
      </c>
      <c r="M750" s="7">
        <f t="shared" si="122"/>
        <v>0</v>
      </c>
      <c r="N750" s="7">
        <f t="shared" si="131"/>
        <v>0</v>
      </c>
      <c r="O750" s="7">
        <f t="shared" si="130"/>
        <v>160000</v>
      </c>
      <c r="P750" s="99">
        <f t="shared" si="123"/>
        <v>1.335559265442404E-2</v>
      </c>
      <c r="Q750" s="99">
        <f t="shared" si="132"/>
        <v>4.5469747225048637E-3</v>
      </c>
      <c r="S750" s="7">
        <f t="shared" si="124"/>
        <v>13354000.000000002</v>
      </c>
      <c r="T750" s="7">
        <f t="shared" si="125"/>
        <v>4046666.6666666665</v>
      </c>
      <c r="U750" s="7">
        <f t="shared" si="126"/>
        <v>9290000</v>
      </c>
      <c r="V750" s="7">
        <f t="shared" si="127"/>
        <v>0</v>
      </c>
      <c r="W750" s="7">
        <f t="shared" si="128"/>
        <v>0</v>
      </c>
      <c r="X750" s="7">
        <f t="shared" si="129"/>
        <v>0</v>
      </c>
    </row>
    <row r="751" spans="1:24">
      <c r="A751">
        <v>750</v>
      </c>
      <c r="B751" s="96" t="s">
        <v>2853</v>
      </c>
      <c r="C751" s="95">
        <v>41256</v>
      </c>
      <c r="D751" s="82">
        <v>12050000</v>
      </c>
      <c r="E751" s="82">
        <v>12010000</v>
      </c>
      <c r="F751" s="82">
        <v>12130000</v>
      </c>
      <c r="G751" s="82">
        <v>12080000</v>
      </c>
      <c r="I751" s="98">
        <v>0</v>
      </c>
      <c r="J751" s="98">
        <v>0</v>
      </c>
      <c r="K751" s="98">
        <v>0</v>
      </c>
      <c r="M751" s="7">
        <f t="shared" si="122"/>
        <v>0</v>
      </c>
      <c r="N751" s="7">
        <f t="shared" si="131"/>
        <v>0</v>
      </c>
      <c r="O751" s="7">
        <f t="shared" si="130"/>
        <v>-60000</v>
      </c>
      <c r="P751" s="99">
        <f t="shared" si="123"/>
        <v>-4.9423393739703456E-3</v>
      </c>
      <c r="Q751" s="99">
        <f t="shared" si="132"/>
        <v>1.0358560671145165E-2</v>
      </c>
      <c r="S751" s="7">
        <f t="shared" si="124"/>
        <v>13288000.000000002</v>
      </c>
      <c r="T751" s="7">
        <f t="shared" si="125"/>
        <v>4026666.6666666665</v>
      </c>
      <c r="U751" s="7">
        <f t="shared" si="126"/>
        <v>9280000</v>
      </c>
      <c r="V751" s="7">
        <f t="shared" si="127"/>
        <v>0</v>
      </c>
      <c r="W751" s="7">
        <f t="shared" si="128"/>
        <v>0</v>
      </c>
      <c r="X751" s="7">
        <f t="shared" si="129"/>
        <v>0</v>
      </c>
    </row>
    <row r="752" spans="1:24">
      <c r="A752">
        <v>751</v>
      </c>
      <c r="B752" s="96" t="s">
        <v>2852</v>
      </c>
      <c r="C752" s="95">
        <v>41258</v>
      </c>
      <c r="D752" s="82">
        <v>11920000</v>
      </c>
      <c r="E752" s="82">
        <v>11880000</v>
      </c>
      <c r="F752" s="82">
        <v>12000000</v>
      </c>
      <c r="G752" s="82">
        <v>11900000</v>
      </c>
      <c r="I752" s="82">
        <f>G752*1.1</f>
        <v>13090000.000000002</v>
      </c>
      <c r="J752" s="82">
        <f>G752/3</f>
        <v>3966666.6666666665</v>
      </c>
      <c r="K752" s="7">
        <f>G1020</f>
        <v>9240000</v>
      </c>
      <c r="L752" s="7">
        <f>K752-I752</f>
        <v>-3850000.0000000019</v>
      </c>
      <c r="M752" s="7">
        <f t="shared" si="122"/>
        <v>495833.33333333326</v>
      </c>
      <c r="N752" s="7">
        <f t="shared" si="131"/>
        <v>-3354166.6666666688</v>
      </c>
      <c r="O752" s="7">
        <f t="shared" si="130"/>
        <v>-180000</v>
      </c>
      <c r="P752" s="99">
        <f t="shared" si="123"/>
        <v>-1.4900662251655629E-2</v>
      </c>
      <c r="Q752" s="99">
        <f t="shared" si="132"/>
        <v>2.3719049916143209E-2</v>
      </c>
      <c r="R752">
        <v>1</v>
      </c>
      <c r="S752" s="7">
        <f t="shared" si="124"/>
        <v>13090000.000000002</v>
      </c>
      <c r="T752" s="7">
        <f t="shared" si="125"/>
        <v>3966666.6666666665</v>
      </c>
      <c r="U752" s="7">
        <f t="shared" si="126"/>
        <v>9240000</v>
      </c>
      <c r="V752" s="7">
        <f t="shared" si="127"/>
        <v>-3850000.0000000019</v>
      </c>
      <c r="W752" s="7">
        <f t="shared" si="128"/>
        <v>495833.33333333326</v>
      </c>
      <c r="X752" s="7">
        <f t="shared" si="129"/>
        <v>-3354166.6666666688</v>
      </c>
    </row>
    <row r="753" spans="1:24">
      <c r="A753">
        <v>752</v>
      </c>
      <c r="B753" s="96" t="s">
        <v>2851</v>
      </c>
      <c r="C753" s="95">
        <v>41259</v>
      </c>
      <c r="D753" s="82">
        <v>11960000</v>
      </c>
      <c r="E753" s="82">
        <v>11930000</v>
      </c>
      <c r="F753" s="82">
        <v>11960000</v>
      </c>
      <c r="G753" s="82">
        <v>11950000</v>
      </c>
      <c r="I753" s="97">
        <v>0</v>
      </c>
      <c r="J753" s="97">
        <v>0</v>
      </c>
      <c r="K753" s="97">
        <v>0</v>
      </c>
      <c r="M753" s="7">
        <f t="shared" si="122"/>
        <v>0</v>
      </c>
      <c r="N753" s="7">
        <f t="shared" si="131"/>
        <v>0</v>
      </c>
      <c r="O753" s="7">
        <f t="shared" si="130"/>
        <v>50000</v>
      </c>
      <c r="P753" s="99">
        <f t="shared" si="123"/>
        <v>4.2016806722689074E-3</v>
      </c>
      <c r="Q753" s="99">
        <f t="shared" si="132"/>
        <v>4.5810995288943571E-3</v>
      </c>
      <c r="S753" s="7">
        <f t="shared" si="124"/>
        <v>13145000.000000002</v>
      </c>
      <c r="T753" s="7">
        <f t="shared" si="125"/>
        <v>3983333.3333333335</v>
      </c>
      <c r="U753" s="7">
        <f t="shared" si="126"/>
        <v>9160000</v>
      </c>
      <c r="V753" s="7">
        <f t="shared" si="127"/>
        <v>0</v>
      </c>
      <c r="W753" s="7">
        <f t="shared" si="128"/>
        <v>0</v>
      </c>
      <c r="X753" s="7">
        <f t="shared" si="129"/>
        <v>0</v>
      </c>
    </row>
    <row r="754" spans="1:24">
      <c r="A754">
        <v>753</v>
      </c>
      <c r="B754" s="96" t="s">
        <v>2850</v>
      </c>
      <c r="C754" s="95">
        <v>41260</v>
      </c>
      <c r="D754" s="82">
        <v>11990000</v>
      </c>
      <c r="E754" s="82">
        <v>11970000</v>
      </c>
      <c r="F754" s="82">
        <v>12050000</v>
      </c>
      <c r="G754" s="82">
        <v>12050000</v>
      </c>
      <c r="I754" s="97">
        <v>0</v>
      </c>
      <c r="J754" s="97">
        <v>0</v>
      </c>
      <c r="K754" s="97">
        <v>0</v>
      </c>
      <c r="M754" s="7">
        <f t="shared" si="122"/>
        <v>0</v>
      </c>
      <c r="N754" s="7">
        <f t="shared" si="131"/>
        <v>0</v>
      </c>
      <c r="O754" s="7">
        <f t="shared" si="130"/>
        <v>100000</v>
      </c>
      <c r="P754" s="99">
        <f t="shared" si="123"/>
        <v>8.368200836820083E-3</v>
      </c>
      <c r="Q754" s="99">
        <f t="shared" si="132"/>
        <v>-8.0948569296384228E-3</v>
      </c>
      <c r="S754" s="7">
        <f t="shared" si="124"/>
        <v>13255000.000000002</v>
      </c>
      <c r="T754" s="7">
        <f t="shared" si="125"/>
        <v>4016666.6666666665</v>
      </c>
      <c r="U754" s="7">
        <f t="shared" si="126"/>
        <v>9170000</v>
      </c>
      <c r="V754" s="7">
        <f t="shared" si="127"/>
        <v>0</v>
      </c>
      <c r="W754" s="7">
        <f t="shared" si="128"/>
        <v>0</v>
      </c>
      <c r="X754" s="7">
        <f t="shared" si="129"/>
        <v>0</v>
      </c>
    </row>
    <row r="755" spans="1:24">
      <c r="A755">
        <v>754</v>
      </c>
      <c r="B755" s="96" t="s">
        <v>2849</v>
      </c>
      <c r="C755" s="95">
        <v>41261</v>
      </c>
      <c r="D755" s="82">
        <v>12130000</v>
      </c>
      <c r="E755" s="82">
        <v>12130000</v>
      </c>
      <c r="F755" s="82">
        <v>12500000</v>
      </c>
      <c r="G755" s="82">
        <v>12500000</v>
      </c>
      <c r="I755" s="97">
        <v>0</v>
      </c>
      <c r="J755" s="97">
        <v>0</v>
      </c>
      <c r="K755" s="97">
        <v>0</v>
      </c>
      <c r="M755" s="7">
        <f t="shared" si="122"/>
        <v>0</v>
      </c>
      <c r="N755" s="7">
        <f t="shared" si="131"/>
        <v>0</v>
      </c>
      <c r="O755" s="7">
        <f t="shared" si="130"/>
        <v>450000</v>
      </c>
      <c r="P755" s="99">
        <f t="shared" si="123"/>
        <v>3.7344398340248962E-2</v>
      </c>
      <c r="Q755" s="99">
        <f t="shared" si="132"/>
        <v>6.0824725378870554E-3</v>
      </c>
      <c r="S755" s="7">
        <f t="shared" si="124"/>
        <v>13750000.000000002</v>
      </c>
      <c r="T755" s="7">
        <f t="shared" si="125"/>
        <v>4166666.6666666665</v>
      </c>
      <c r="U755" s="7">
        <f t="shared" si="126"/>
        <v>9110000</v>
      </c>
      <c r="V755" s="7">
        <f t="shared" si="127"/>
        <v>0</v>
      </c>
      <c r="W755" s="7">
        <f t="shared" si="128"/>
        <v>0</v>
      </c>
      <c r="X755" s="7">
        <f t="shared" si="129"/>
        <v>0</v>
      </c>
    </row>
    <row r="756" spans="1:24">
      <c r="A756">
        <v>755</v>
      </c>
      <c r="B756" s="96" t="s">
        <v>2848</v>
      </c>
      <c r="C756" s="95">
        <v>41262</v>
      </c>
      <c r="D756" s="82">
        <v>12400000</v>
      </c>
      <c r="E756" s="82">
        <v>12190000</v>
      </c>
      <c r="F756" s="82">
        <v>12400000</v>
      </c>
      <c r="G756" s="82">
        <v>12200000</v>
      </c>
      <c r="I756" s="98">
        <v>0</v>
      </c>
      <c r="J756" s="98">
        <v>0</v>
      </c>
      <c r="K756" s="98">
        <v>0</v>
      </c>
      <c r="M756" s="7">
        <f t="shared" si="122"/>
        <v>0</v>
      </c>
      <c r="N756" s="7">
        <f t="shared" si="131"/>
        <v>0</v>
      </c>
      <c r="O756" s="7">
        <f t="shared" si="130"/>
        <v>-300000</v>
      </c>
      <c r="P756" s="99">
        <f t="shared" si="123"/>
        <v>-2.4E-2</v>
      </c>
      <c r="Q756" s="99">
        <f t="shared" si="132"/>
        <v>3.0071278223711979E-2</v>
      </c>
      <c r="S756" s="7">
        <f t="shared" si="124"/>
        <v>13420000.000000002</v>
      </c>
      <c r="T756" s="7">
        <f t="shared" si="125"/>
        <v>4066666.6666666665</v>
      </c>
      <c r="U756" s="7">
        <f t="shared" si="126"/>
        <v>8990000</v>
      </c>
      <c r="V756" s="7">
        <f t="shared" si="127"/>
        <v>0</v>
      </c>
      <c r="W756" s="7">
        <f t="shared" si="128"/>
        <v>0</v>
      </c>
      <c r="X756" s="7">
        <f t="shared" si="129"/>
        <v>0</v>
      </c>
    </row>
    <row r="757" spans="1:24">
      <c r="A757">
        <v>756</v>
      </c>
      <c r="B757" s="96" t="s">
        <v>2847</v>
      </c>
      <c r="C757" s="95">
        <v>41263</v>
      </c>
      <c r="D757" s="82">
        <v>12210000</v>
      </c>
      <c r="E757" s="82">
        <v>12210000</v>
      </c>
      <c r="F757" s="82">
        <v>12310000</v>
      </c>
      <c r="G757" s="82">
        <v>12290000</v>
      </c>
      <c r="I757" s="82">
        <f>G757*1.1</f>
        <v>13519000.000000002</v>
      </c>
      <c r="J757" s="82">
        <f>G757/3</f>
        <v>4096666.6666666665</v>
      </c>
      <c r="K757" s="7">
        <f>G1025</f>
        <v>8850000</v>
      </c>
      <c r="L757" s="7">
        <f>K757-I757</f>
        <v>-4669000.0000000019</v>
      </c>
      <c r="M757" s="7">
        <f t="shared" si="122"/>
        <v>512083.33333333326</v>
      </c>
      <c r="N757" s="7">
        <f t="shared" si="131"/>
        <v>-4156916.6666666688</v>
      </c>
      <c r="O757" s="7">
        <f t="shared" si="130"/>
        <v>90000</v>
      </c>
      <c r="P757" s="99">
        <f t="shared" si="123"/>
        <v>7.3770491803278691E-3</v>
      </c>
      <c r="Q757" s="99">
        <f t="shared" si="132"/>
        <v>1.1013617597682324E-2</v>
      </c>
      <c r="R757">
        <v>1</v>
      </c>
      <c r="S757" s="7">
        <f t="shared" si="124"/>
        <v>13519000.000000002</v>
      </c>
      <c r="T757" s="7">
        <f t="shared" si="125"/>
        <v>4096666.6666666665</v>
      </c>
      <c r="U757" s="7">
        <f t="shared" si="126"/>
        <v>8850000</v>
      </c>
      <c r="V757" s="7">
        <f t="shared" si="127"/>
        <v>-4669000.0000000019</v>
      </c>
      <c r="W757" s="7">
        <f t="shared" si="128"/>
        <v>512083.33333333326</v>
      </c>
      <c r="X757" s="7">
        <f t="shared" si="129"/>
        <v>-4156916.6666666688</v>
      </c>
    </row>
    <row r="758" spans="1:24">
      <c r="A758">
        <v>757</v>
      </c>
      <c r="B758" s="96" t="s">
        <v>2846</v>
      </c>
      <c r="C758" s="95">
        <v>41265</v>
      </c>
      <c r="D758" s="82">
        <v>12380000</v>
      </c>
      <c r="E758" s="82">
        <v>12330000</v>
      </c>
      <c r="F758" s="82">
        <v>12440000</v>
      </c>
      <c r="G758" s="82">
        <v>12430000</v>
      </c>
      <c r="I758" s="97">
        <v>0</v>
      </c>
      <c r="J758" s="97">
        <v>0</v>
      </c>
      <c r="K758" s="97">
        <v>0</v>
      </c>
      <c r="M758" s="7">
        <f t="shared" si="122"/>
        <v>0</v>
      </c>
      <c r="N758" s="7">
        <f t="shared" si="131"/>
        <v>0</v>
      </c>
      <c r="O758" s="7">
        <f t="shared" si="130"/>
        <v>140000</v>
      </c>
      <c r="P758" s="99">
        <f t="shared" si="123"/>
        <v>1.1391375101708706E-2</v>
      </c>
      <c r="Q758" s="99">
        <f t="shared" si="132"/>
        <v>3.329132902966582E-2</v>
      </c>
      <c r="S758" s="7">
        <f t="shared" si="124"/>
        <v>13673000.000000002</v>
      </c>
      <c r="T758" s="7">
        <f t="shared" si="125"/>
        <v>4143333.3333333335</v>
      </c>
      <c r="U758" s="7">
        <f t="shared" si="126"/>
        <v>8280000</v>
      </c>
      <c r="V758" s="7">
        <f t="shared" si="127"/>
        <v>0</v>
      </c>
      <c r="W758" s="7">
        <f t="shared" si="128"/>
        <v>0</v>
      </c>
      <c r="X758" s="7">
        <f t="shared" si="129"/>
        <v>0</v>
      </c>
    </row>
    <row r="759" spans="1:24">
      <c r="A759">
        <v>758</v>
      </c>
      <c r="B759" s="96" t="s">
        <v>2845</v>
      </c>
      <c r="C759" s="95">
        <v>41266</v>
      </c>
      <c r="D759" s="82">
        <v>12500000</v>
      </c>
      <c r="E759" s="82">
        <v>12490000</v>
      </c>
      <c r="F759" s="82">
        <v>12830000</v>
      </c>
      <c r="G759" s="82">
        <v>12830000</v>
      </c>
      <c r="I759" s="97">
        <v>0</v>
      </c>
      <c r="J759" s="97">
        <v>0</v>
      </c>
      <c r="K759" s="97">
        <v>0</v>
      </c>
      <c r="M759" s="7">
        <f t="shared" si="122"/>
        <v>0</v>
      </c>
      <c r="N759" s="7">
        <f t="shared" si="131"/>
        <v>0</v>
      </c>
      <c r="O759" s="7">
        <f t="shared" si="130"/>
        <v>400000</v>
      </c>
      <c r="P759" s="99">
        <f t="shared" si="123"/>
        <v>3.2180209171359615E-2</v>
      </c>
      <c r="Q759" s="99">
        <f t="shared" si="132"/>
        <v>4.0481023459105619E-2</v>
      </c>
      <c r="S759" s="7">
        <f t="shared" si="124"/>
        <v>14113000.000000002</v>
      </c>
      <c r="T759" s="7">
        <f t="shared" si="125"/>
        <v>4276666.666666667</v>
      </c>
      <c r="U759" s="7">
        <f t="shared" si="126"/>
        <v>8430000</v>
      </c>
      <c r="V759" s="7">
        <f t="shared" si="127"/>
        <v>0</v>
      </c>
      <c r="W759" s="7">
        <f t="shared" si="128"/>
        <v>0</v>
      </c>
      <c r="X759" s="7">
        <f t="shared" si="129"/>
        <v>0</v>
      </c>
    </row>
    <row r="760" spans="1:24">
      <c r="A760">
        <v>759</v>
      </c>
      <c r="B760" s="96" t="s">
        <v>2844</v>
      </c>
      <c r="C760" s="95">
        <v>41267</v>
      </c>
      <c r="D760" s="82">
        <v>13100000</v>
      </c>
      <c r="E760" s="82">
        <v>13000000</v>
      </c>
      <c r="F760" s="82">
        <v>13650000</v>
      </c>
      <c r="G760" s="82">
        <v>13460000</v>
      </c>
      <c r="I760" s="97">
        <v>0</v>
      </c>
      <c r="J760" s="97">
        <v>0</v>
      </c>
      <c r="K760" s="97">
        <v>0</v>
      </c>
      <c r="M760" s="7">
        <f t="shared" si="122"/>
        <v>0</v>
      </c>
      <c r="N760" s="7">
        <f t="shared" si="131"/>
        <v>0</v>
      </c>
      <c r="O760" s="7">
        <f t="shared" si="130"/>
        <v>630000</v>
      </c>
      <c r="P760" s="99">
        <f t="shared" si="123"/>
        <v>4.9103663289166016E-2</v>
      </c>
      <c r="Q760" s="99">
        <f t="shared" si="132"/>
        <v>6.429303179364515E-2</v>
      </c>
      <c r="S760" s="7">
        <f t="shared" si="124"/>
        <v>14806000.000000002</v>
      </c>
      <c r="T760" s="7">
        <f t="shared" si="125"/>
        <v>4486666.666666667</v>
      </c>
      <c r="U760" s="7">
        <f t="shared" si="126"/>
        <v>8590000</v>
      </c>
      <c r="V760" s="7">
        <f t="shared" si="127"/>
        <v>0</v>
      </c>
      <c r="W760" s="7">
        <f t="shared" si="128"/>
        <v>0</v>
      </c>
      <c r="X760" s="7">
        <f t="shared" si="129"/>
        <v>0</v>
      </c>
    </row>
    <row r="761" spans="1:24">
      <c r="A761">
        <v>760</v>
      </c>
      <c r="B761" s="96" t="s">
        <v>2843</v>
      </c>
      <c r="C761" s="95">
        <v>41268</v>
      </c>
      <c r="D761" s="82">
        <v>13590000</v>
      </c>
      <c r="E761" s="82">
        <v>12930000</v>
      </c>
      <c r="F761" s="82">
        <v>13600000</v>
      </c>
      <c r="G761" s="82">
        <v>12930000</v>
      </c>
      <c r="I761" s="98">
        <v>0</v>
      </c>
      <c r="J761" s="98">
        <v>0</v>
      </c>
      <c r="K761" s="98">
        <v>0</v>
      </c>
      <c r="M761" s="7">
        <f t="shared" si="122"/>
        <v>0</v>
      </c>
      <c r="N761" s="7">
        <f t="shared" si="131"/>
        <v>0</v>
      </c>
      <c r="O761" s="7">
        <f t="shared" si="130"/>
        <v>-530000</v>
      </c>
      <c r="P761" s="99">
        <f t="shared" si="123"/>
        <v>-3.9375928677563149E-2</v>
      </c>
      <c r="Q761" s="99">
        <f t="shared" si="132"/>
        <v>7.6052296742562198E-2</v>
      </c>
      <c r="S761" s="7">
        <f t="shared" si="124"/>
        <v>14223000.000000002</v>
      </c>
      <c r="T761" s="7">
        <f t="shared" si="125"/>
        <v>4310000</v>
      </c>
      <c r="U761" s="7">
        <f t="shared" si="126"/>
        <v>8680000</v>
      </c>
      <c r="V761" s="7">
        <f t="shared" si="127"/>
        <v>0</v>
      </c>
      <c r="W761" s="7">
        <f t="shared" si="128"/>
        <v>0</v>
      </c>
      <c r="X761" s="7">
        <f t="shared" si="129"/>
        <v>0</v>
      </c>
    </row>
    <row r="762" spans="1:24">
      <c r="A762">
        <v>761</v>
      </c>
      <c r="B762" s="96" t="s">
        <v>2842</v>
      </c>
      <c r="C762" s="95">
        <v>41269</v>
      </c>
      <c r="D762" s="82">
        <v>12780000</v>
      </c>
      <c r="E762" s="82">
        <v>12780000</v>
      </c>
      <c r="F762" s="82">
        <v>12850000</v>
      </c>
      <c r="G762" s="82">
        <v>12800000</v>
      </c>
      <c r="I762" s="82">
        <f>G762*1.1</f>
        <v>14080000.000000002</v>
      </c>
      <c r="J762" s="82">
        <f>G762/3</f>
        <v>4266666.666666667</v>
      </c>
      <c r="K762" s="7">
        <f>G1030</f>
        <v>8590000</v>
      </c>
      <c r="L762" s="7">
        <f>K762-I762</f>
        <v>-5490000.0000000019</v>
      </c>
      <c r="M762" s="7">
        <f t="shared" si="122"/>
        <v>533333.33333333337</v>
      </c>
      <c r="N762" s="7">
        <f t="shared" si="131"/>
        <v>-4956666.6666666688</v>
      </c>
      <c r="O762" s="7">
        <f t="shared" si="130"/>
        <v>-130000</v>
      </c>
      <c r="P762" s="99">
        <f t="shared" si="123"/>
        <v>-1.0054137664346482E-2</v>
      </c>
      <c r="Q762" s="99">
        <f t="shared" si="132"/>
        <v>6.0676368064999056E-2</v>
      </c>
      <c r="R762">
        <v>1</v>
      </c>
      <c r="S762" s="7">
        <f t="shared" si="124"/>
        <v>14080000.000000002</v>
      </c>
      <c r="T762" s="7">
        <f t="shared" si="125"/>
        <v>4266666.666666667</v>
      </c>
      <c r="U762" s="7">
        <f t="shared" si="126"/>
        <v>8590000</v>
      </c>
      <c r="V762" s="7">
        <f t="shared" si="127"/>
        <v>-5490000.0000000019</v>
      </c>
      <c r="W762" s="7">
        <f t="shared" si="128"/>
        <v>533333.33333333337</v>
      </c>
      <c r="X762" s="7">
        <f t="shared" si="129"/>
        <v>-4956666.6666666688</v>
      </c>
    </row>
    <row r="763" spans="1:24">
      <c r="A763">
        <v>762</v>
      </c>
      <c r="B763" s="96" t="s">
        <v>2841</v>
      </c>
      <c r="C763" s="95">
        <v>41270</v>
      </c>
      <c r="D763" s="82">
        <v>12850000</v>
      </c>
      <c r="E763" s="82">
        <v>12830000</v>
      </c>
      <c r="F763" s="82">
        <v>12880000</v>
      </c>
      <c r="G763" s="82">
        <v>12870000</v>
      </c>
      <c r="I763" s="97">
        <v>0</v>
      </c>
      <c r="J763" s="97">
        <v>0</v>
      </c>
      <c r="K763" s="97">
        <v>0</v>
      </c>
      <c r="M763" s="7">
        <f t="shared" si="122"/>
        <v>0</v>
      </c>
      <c r="N763" s="7">
        <f t="shared" si="131"/>
        <v>0</v>
      </c>
      <c r="O763" s="7">
        <f t="shared" si="130"/>
        <v>70000</v>
      </c>
      <c r="P763" s="99">
        <f t="shared" si="123"/>
        <v>5.4687499999999997E-3</v>
      </c>
      <c r="Q763" s="99">
        <f t="shared" si="132"/>
        <v>4.3245181220324697E-2</v>
      </c>
      <c r="S763" s="7">
        <f t="shared" si="124"/>
        <v>14157000.000000002</v>
      </c>
      <c r="T763" s="7">
        <f t="shared" si="125"/>
        <v>4290000</v>
      </c>
      <c r="U763" s="7">
        <f t="shared" si="126"/>
        <v>8710000</v>
      </c>
      <c r="V763" s="7">
        <f t="shared" si="127"/>
        <v>0</v>
      </c>
      <c r="W763" s="7">
        <f t="shared" si="128"/>
        <v>0</v>
      </c>
      <c r="X763" s="7">
        <f t="shared" si="129"/>
        <v>0</v>
      </c>
    </row>
    <row r="764" spans="1:24">
      <c r="A764">
        <v>763</v>
      </c>
      <c r="B764" s="96" t="s">
        <v>2840</v>
      </c>
      <c r="C764" s="95">
        <v>41272</v>
      </c>
      <c r="D764" s="82">
        <v>12600000</v>
      </c>
      <c r="E764" s="82">
        <v>12460000</v>
      </c>
      <c r="F764" s="82">
        <v>12600000</v>
      </c>
      <c r="G764" s="82">
        <v>12460000</v>
      </c>
      <c r="I764" s="97">
        <v>0</v>
      </c>
      <c r="J764" s="97">
        <v>0</v>
      </c>
      <c r="K764" s="97">
        <v>0</v>
      </c>
      <c r="M764" s="7">
        <f t="shared" si="122"/>
        <v>0</v>
      </c>
      <c r="N764" s="7">
        <f t="shared" si="131"/>
        <v>0</v>
      </c>
      <c r="O764" s="7">
        <f t="shared" si="130"/>
        <v>-410000</v>
      </c>
      <c r="P764" s="99">
        <f t="shared" si="123"/>
        <v>-3.1857031857031856E-2</v>
      </c>
      <c r="Q764" s="99">
        <f t="shared" si="132"/>
        <v>3.7322556118615992E-2</v>
      </c>
      <c r="S764" s="7">
        <f t="shared" si="124"/>
        <v>13706000.000000002</v>
      </c>
      <c r="T764" s="7">
        <f t="shared" si="125"/>
        <v>4153333.3333333335</v>
      </c>
      <c r="U764" s="7">
        <f t="shared" si="126"/>
        <v>8800000</v>
      </c>
      <c r="V764" s="7">
        <f t="shared" si="127"/>
        <v>0</v>
      </c>
      <c r="W764" s="7">
        <f t="shared" si="128"/>
        <v>0</v>
      </c>
      <c r="X764" s="7">
        <f t="shared" si="129"/>
        <v>0</v>
      </c>
    </row>
    <row r="765" spans="1:24">
      <c r="A765">
        <v>764</v>
      </c>
      <c r="B765" s="96" t="s">
        <v>2839</v>
      </c>
      <c r="C765" s="95">
        <v>41273</v>
      </c>
      <c r="D765" s="82">
        <v>12300000</v>
      </c>
      <c r="E765" s="82">
        <v>12250000</v>
      </c>
      <c r="F765" s="82">
        <v>12600000</v>
      </c>
      <c r="G765" s="82">
        <v>12600000</v>
      </c>
      <c r="I765" s="97">
        <v>0</v>
      </c>
      <c r="J765" s="97">
        <v>0</v>
      </c>
      <c r="K765" s="97">
        <v>0</v>
      </c>
      <c r="M765" s="7">
        <f t="shared" si="122"/>
        <v>0</v>
      </c>
      <c r="N765" s="7">
        <f t="shared" si="131"/>
        <v>0</v>
      </c>
      <c r="O765" s="7">
        <f t="shared" si="130"/>
        <v>140000</v>
      </c>
      <c r="P765" s="99">
        <f t="shared" si="123"/>
        <v>1.1235955056179775E-2</v>
      </c>
      <c r="Q765" s="99">
        <f t="shared" si="132"/>
        <v>-2.6714684909775473E-2</v>
      </c>
      <c r="S765" s="7">
        <f t="shared" si="124"/>
        <v>13860000.000000002</v>
      </c>
      <c r="T765" s="7">
        <f t="shared" si="125"/>
        <v>4200000</v>
      </c>
      <c r="U765" s="7">
        <f t="shared" si="126"/>
        <v>8670000</v>
      </c>
      <c r="V765" s="7">
        <f t="shared" si="127"/>
        <v>0</v>
      </c>
      <c r="W765" s="7">
        <f t="shared" si="128"/>
        <v>0</v>
      </c>
      <c r="X765" s="7">
        <f t="shared" si="129"/>
        <v>0</v>
      </c>
    </row>
    <row r="766" spans="1:24">
      <c r="A766">
        <v>765</v>
      </c>
      <c r="B766" s="96" t="s">
        <v>2838</v>
      </c>
      <c r="C766" s="95">
        <v>41274</v>
      </c>
      <c r="D766" s="82">
        <v>12820000</v>
      </c>
      <c r="E766" s="82">
        <v>12670000</v>
      </c>
      <c r="F766" s="82">
        <v>12850000</v>
      </c>
      <c r="G766" s="82">
        <v>12700000</v>
      </c>
      <c r="I766" s="98">
        <v>0</v>
      </c>
      <c r="J766" s="98">
        <v>0</v>
      </c>
      <c r="K766" s="98">
        <v>0</v>
      </c>
      <c r="M766" s="7">
        <f t="shared" si="122"/>
        <v>0</v>
      </c>
      <c r="N766" s="7">
        <f t="shared" si="131"/>
        <v>0</v>
      </c>
      <c r="O766" s="7">
        <f t="shared" si="130"/>
        <v>100000</v>
      </c>
      <c r="P766" s="99">
        <f t="shared" si="123"/>
        <v>7.9365079365079361E-3</v>
      </c>
      <c r="Q766" s="99">
        <f t="shared" si="132"/>
        <v>-6.4582393142761707E-2</v>
      </c>
      <c r="S766" s="7">
        <f t="shared" si="124"/>
        <v>13970000.000000002</v>
      </c>
      <c r="T766" s="7">
        <f t="shared" si="125"/>
        <v>4233333.333333333</v>
      </c>
      <c r="U766" s="7">
        <f t="shared" si="126"/>
        <v>8580000</v>
      </c>
      <c r="V766" s="7">
        <f t="shared" si="127"/>
        <v>0</v>
      </c>
      <c r="W766" s="7">
        <f t="shared" si="128"/>
        <v>0</v>
      </c>
      <c r="X766" s="7">
        <f t="shared" si="129"/>
        <v>0</v>
      </c>
    </row>
    <row r="767" spans="1:24">
      <c r="A767">
        <v>766</v>
      </c>
      <c r="B767" s="96" t="s">
        <v>2837</v>
      </c>
      <c r="C767" s="95">
        <v>41275</v>
      </c>
      <c r="D767" s="82">
        <v>12690000</v>
      </c>
      <c r="E767" s="82">
        <v>12650000</v>
      </c>
      <c r="F767" s="82">
        <v>12710000</v>
      </c>
      <c r="G767" s="82">
        <v>12700000</v>
      </c>
      <c r="I767" s="82">
        <f>G767*1.1</f>
        <v>13970000.000000002</v>
      </c>
      <c r="J767" s="82">
        <f>G767/3</f>
        <v>4233333.333333333</v>
      </c>
      <c r="K767" s="7">
        <f>G1035</f>
        <v>8640000</v>
      </c>
      <c r="L767" s="7">
        <f>K767-I767</f>
        <v>-5330000.0000000019</v>
      </c>
      <c r="M767" s="7">
        <f t="shared" si="122"/>
        <v>529166.66666666663</v>
      </c>
      <c r="N767" s="7">
        <f t="shared" si="131"/>
        <v>-4800833.3333333349</v>
      </c>
      <c r="O767" s="7">
        <f t="shared" si="130"/>
        <v>0</v>
      </c>
      <c r="P767" s="99">
        <f t="shared" si="123"/>
        <v>0</v>
      </c>
      <c r="Q767" s="99">
        <f t="shared" si="132"/>
        <v>-1.7269956528690629E-2</v>
      </c>
      <c r="R767">
        <v>1</v>
      </c>
      <c r="S767" s="7">
        <f t="shared" si="124"/>
        <v>13970000.000000002</v>
      </c>
      <c r="T767" s="7">
        <f t="shared" si="125"/>
        <v>4233333.333333333</v>
      </c>
      <c r="U767" s="7">
        <f t="shared" si="126"/>
        <v>8640000</v>
      </c>
      <c r="V767" s="7">
        <f t="shared" si="127"/>
        <v>-5330000.0000000019</v>
      </c>
      <c r="W767" s="7">
        <f t="shared" si="128"/>
        <v>529166.66666666663</v>
      </c>
      <c r="X767" s="7">
        <f t="shared" si="129"/>
        <v>-4800833.3333333349</v>
      </c>
    </row>
    <row r="768" spans="1:24">
      <c r="A768">
        <v>767</v>
      </c>
      <c r="B768" s="96" t="s">
        <v>2836</v>
      </c>
      <c r="C768" s="95">
        <v>41276</v>
      </c>
      <c r="D768" s="82">
        <v>12880000</v>
      </c>
      <c r="E768" s="82">
        <v>12800000</v>
      </c>
      <c r="F768" s="82">
        <v>12900000</v>
      </c>
      <c r="G768" s="82">
        <v>12900000</v>
      </c>
      <c r="I768" s="97">
        <v>0</v>
      </c>
      <c r="J768" s="97">
        <v>0</v>
      </c>
      <c r="K768" s="97">
        <v>0</v>
      </c>
      <c r="M768" s="7">
        <f t="shared" si="122"/>
        <v>0</v>
      </c>
      <c r="N768" s="7">
        <f t="shared" si="131"/>
        <v>0</v>
      </c>
      <c r="O768" s="7">
        <f t="shared" si="130"/>
        <v>200000</v>
      </c>
      <c r="P768" s="99">
        <f t="shared" si="123"/>
        <v>1.5748031496062992E-2</v>
      </c>
      <c r="Q768" s="99">
        <f t="shared" si="132"/>
        <v>-7.2158188643441437E-3</v>
      </c>
      <c r="S768" s="7">
        <f t="shared" si="124"/>
        <v>14190000.000000002</v>
      </c>
      <c r="T768" s="7">
        <f t="shared" si="125"/>
        <v>4300000</v>
      </c>
      <c r="U768" s="7">
        <f t="shared" si="126"/>
        <v>8550000</v>
      </c>
      <c r="V768" s="7">
        <f t="shared" si="127"/>
        <v>0</v>
      </c>
      <c r="W768" s="7">
        <f t="shared" si="128"/>
        <v>0</v>
      </c>
      <c r="X768" s="7">
        <f t="shared" si="129"/>
        <v>0</v>
      </c>
    </row>
    <row r="769" spans="1:24">
      <c r="A769">
        <v>768</v>
      </c>
      <c r="B769" s="96" t="s">
        <v>2835</v>
      </c>
      <c r="C769" s="95">
        <v>41279</v>
      </c>
      <c r="D769" s="82">
        <v>12760000</v>
      </c>
      <c r="E769" s="82">
        <v>12760000</v>
      </c>
      <c r="F769" s="82">
        <v>12760000</v>
      </c>
      <c r="G769" s="82">
        <v>12760000</v>
      </c>
      <c r="I769" s="97">
        <v>0</v>
      </c>
      <c r="J769" s="97">
        <v>0</v>
      </c>
      <c r="K769" s="97">
        <v>0</v>
      </c>
      <c r="M769" s="7">
        <f t="shared" si="122"/>
        <v>0</v>
      </c>
      <c r="N769" s="7">
        <f t="shared" si="131"/>
        <v>0</v>
      </c>
      <c r="O769" s="7">
        <f t="shared" si="130"/>
        <v>-140000</v>
      </c>
      <c r="P769" s="99">
        <f t="shared" si="123"/>
        <v>-1.0852713178294573E-2</v>
      </c>
      <c r="Q769" s="99">
        <f t="shared" si="132"/>
        <v>3.0634626317188468E-3</v>
      </c>
      <c r="S769" s="7">
        <f t="shared" si="124"/>
        <v>14036000.000000002</v>
      </c>
      <c r="T769" s="7">
        <f t="shared" si="125"/>
        <v>4253333.333333333</v>
      </c>
      <c r="U769" s="7">
        <f t="shared" si="126"/>
        <v>8635000</v>
      </c>
      <c r="V769" s="7">
        <f t="shared" si="127"/>
        <v>0</v>
      </c>
      <c r="W769" s="7">
        <f t="shared" si="128"/>
        <v>0</v>
      </c>
      <c r="X769" s="7">
        <f t="shared" si="129"/>
        <v>0</v>
      </c>
    </row>
    <row r="770" spans="1:24">
      <c r="A770">
        <v>769</v>
      </c>
      <c r="B770" s="96" t="s">
        <v>2834</v>
      </c>
      <c r="C770" s="95">
        <v>41280</v>
      </c>
      <c r="D770" s="82">
        <v>12770000</v>
      </c>
      <c r="E770" s="82">
        <v>12720000</v>
      </c>
      <c r="F770" s="82">
        <v>12770000</v>
      </c>
      <c r="G770" s="82">
        <v>12750000</v>
      </c>
      <c r="I770" s="97">
        <v>0</v>
      </c>
      <c r="J770" s="97">
        <v>0</v>
      </c>
      <c r="K770" s="97">
        <v>0</v>
      </c>
      <c r="M770" s="7">
        <f t="shared" ref="M770:M833" si="133">J770*$AI$6/200</f>
        <v>0</v>
      </c>
      <c r="N770" s="7">
        <f t="shared" si="131"/>
        <v>0</v>
      </c>
      <c r="O770" s="7">
        <f t="shared" si="130"/>
        <v>-10000</v>
      </c>
      <c r="P770" s="99">
        <f t="shared" si="123"/>
        <v>-7.836990595611285E-4</v>
      </c>
      <c r="Q770" s="99">
        <f t="shared" si="132"/>
        <v>2.4067781310456129E-2</v>
      </c>
      <c r="S770" s="7">
        <f t="shared" si="124"/>
        <v>14025000.000000002</v>
      </c>
      <c r="T770" s="7">
        <f t="shared" si="125"/>
        <v>4250000</v>
      </c>
      <c r="U770" s="7">
        <f t="shared" si="126"/>
        <v>8650000</v>
      </c>
      <c r="V770" s="7">
        <f t="shared" si="127"/>
        <v>0</v>
      </c>
      <c r="W770" s="7">
        <f t="shared" si="128"/>
        <v>0</v>
      </c>
      <c r="X770" s="7">
        <f t="shared" si="129"/>
        <v>0</v>
      </c>
    </row>
    <row r="771" spans="1:24">
      <c r="A771">
        <v>770</v>
      </c>
      <c r="B771" s="96" t="s">
        <v>2833</v>
      </c>
      <c r="C771" s="95">
        <v>41281</v>
      </c>
      <c r="D771" s="82">
        <v>12760000</v>
      </c>
      <c r="E771" s="82">
        <v>12720000</v>
      </c>
      <c r="F771" s="82">
        <v>12780000</v>
      </c>
      <c r="G771" s="82">
        <v>12740000</v>
      </c>
      <c r="I771" s="98">
        <v>0</v>
      </c>
      <c r="J771" s="98">
        <v>0</v>
      </c>
      <c r="K771" s="98">
        <v>0</v>
      </c>
      <c r="M771" s="7">
        <f t="shared" si="133"/>
        <v>0</v>
      </c>
      <c r="N771" s="7">
        <f t="shared" si="131"/>
        <v>0</v>
      </c>
      <c r="O771" s="7">
        <f t="shared" si="130"/>
        <v>-10000</v>
      </c>
      <c r="P771" s="99">
        <f t="shared" ref="P771:P834" si="134">O771/G770</f>
        <v>-7.8431372549019605E-4</v>
      </c>
      <c r="Q771" s="99">
        <f t="shared" si="132"/>
        <v>1.2048127194715225E-2</v>
      </c>
      <c r="S771" s="7">
        <f t="shared" ref="S771:S834" si="135">G771*1.1</f>
        <v>14014000.000000002</v>
      </c>
      <c r="T771" s="7">
        <f t="shared" ref="T771:T834" si="136">G771/3</f>
        <v>4246666.666666667</v>
      </c>
      <c r="U771" s="7">
        <f t="shared" ref="U771:U834" si="137">G1039</f>
        <v>8660000</v>
      </c>
      <c r="V771" s="7">
        <f t="shared" ref="V771:V834" si="138">(U771-S771)*R771</f>
        <v>0</v>
      </c>
      <c r="W771" s="7">
        <f t="shared" ref="W771:W834" si="139">(T771*$AI$6/200)*R771</f>
        <v>0</v>
      </c>
      <c r="X771" s="7">
        <f t="shared" ref="X771:X834" si="140">V771+W771</f>
        <v>0</v>
      </c>
    </row>
    <row r="772" spans="1:24">
      <c r="A772">
        <v>771</v>
      </c>
      <c r="B772" s="96" t="s">
        <v>2832</v>
      </c>
      <c r="C772" s="95">
        <v>41282</v>
      </c>
      <c r="D772" s="82">
        <v>12670000</v>
      </c>
      <c r="E772" s="82">
        <v>12670000</v>
      </c>
      <c r="F772" s="82">
        <v>12900000</v>
      </c>
      <c r="G772" s="82">
        <v>12900000</v>
      </c>
      <c r="I772" s="82">
        <f>G772*1.1</f>
        <v>14190000.000000002</v>
      </c>
      <c r="J772" s="82">
        <f>G772/3</f>
        <v>4300000</v>
      </c>
      <c r="K772" s="7">
        <f>G1040</f>
        <v>8800000</v>
      </c>
      <c r="L772" s="7">
        <f>K772-I772</f>
        <v>-5390000.0000000019</v>
      </c>
      <c r="M772" s="7">
        <f t="shared" si="133"/>
        <v>537500</v>
      </c>
      <c r="N772" s="7">
        <f t="shared" si="131"/>
        <v>-4852500.0000000019</v>
      </c>
      <c r="O772" s="7">
        <f t="shared" ref="O772:O835" si="141">G772-G771</f>
        <v>160000</v>
      </c>
      <c r="P772" s="99">
        <f t="shared" si="134"/>
        <v>1.2558869701726845E-2</v>
      </c>
      <c r="Q772" s="99">
        <f t="shared" si="132"/>
        <v>3.327305532717094E-3</v>
      </c>
      <c r="R772">
        <v>1</v>
      </c>
      <c r="S772" s="7">
        <f t="shared" si="135"/>
        <v>14190000.000000002</v>
      </c>
      <c r="T772" s="7">
        <f t="shared" si="136"/>
        <v>4300000</v>
      </c>
      <c r="U772" s="7">
        <f t="shared" si="137"/>
        <v>8800000</v>
      </c>
      <c r="V772" s="7">
        <f t="shared" si="138"/>
        <v>-5390000.0000000019</v>
      </c>
      <c r="W772" s="7">
        <f t="shared" si="139"/>
        <v>537500</v>
      </c>
      <c r="X772" s="7">
        <f t="shared" si="140"/>
        <v>-4852500.0000000019</v>
      </c>
    </row>
    <row r="773" spans="1:24">
      <c r="A773">
        <v>772</v>
      </c>
      <c r="B773" s="96" t="s">
        <v>2831</v>
      </c>
      <c r="C773" s="95">
        <v>41283</v>
      </c>
      <c r="D773" s="82">
        <v>13030000</v>
      </c>
      <c r="E773" s="82">
        <v>12890000</v>
      </c>
      <c r="F773" s="82">
        <v>13050000</v>
      </c>
      <c r="G773" s="82">
        <v>12920000</v>
      </c>
      <c r="I773" s="97">
        <v>0</v>
      </c>
      <c r="J773" s="97">
        <v>0</v>
      </c>
      <c r="K773" s="97">
        <v>0</v>
      </c>
      <c r="M773" s="7">
        <f t="shared" si="133"/>
        <v>0</v>
      </c>
      <c r="N773" s="7">
        <f t="shared" si="131"/>
        <v>0</v>
      </c>
      <c r="O773" s="7">
        <f t="shared" si="141"/>
        <v>20000</v>
      </c>
      <c r="P773" s="99">
        <f t="shared" si="134"/>
        <v>1.5503875968992248E-3</v>
      </c>
      <c r="Q773" s="99">
        <f t="shared" si="132"/>
        <v>1.5886175234443939E-2</v>
      </c>
      <c r="S773" s="7">
        <f t="shared" si="135"/>
        <v>14212000.000000002</v>
      </c>
      <c r="T773" s="7">
        <f t="shared" si="136"/>
        <v>4306666.666666667</v>
      </c>
      <c r="U773" s="7">
        <f t="shared" si="137"/>
        <v>8800000</v>
      </c>
      <c r="V773" s="7">
        <f t="shared" si="138"/>
        <v>0</v>
      </c>
      <c r="W773" s="7">
        <f t="shared" si="139"/>
        <v>0</v>
      </c>
      <c r="X773" s="7">
        <f t="shared" si="140"/>
        <v>0</v>
      </c>
    </row>
    <row r="774" spans="1:24">
      <c r="A774">
        <v>773</v>
      </c>
      <c r="B774" s="96" t="s">
        <v>2830</v>
      </c>
      <c r="C774" s="95">
        <v>41284</v>
      </c>
      <c r="D774" s="82">
        <v>12950000</v>
      </c>
      <c r="E774" s="82">
        <v>12930000</v>
      </c>
      <c r="F774" s="82">
        <v>12980000</v>
      </c>
      <c r="G774" s="82">
        <v>12970000</v>
      </c>
      <c r="I774" s="97">
        <v>0</v>
      </c>
      <c r="J774" s="97">
        <v>0</v>
      </c>
      <c r="K774" s="97">
        <v>0</v>
      </c>
      <c r="M774" s="7">
        <f t="shared" si="133"/>
        <v>0</v>
      </c>
      <c r="N774" s="7">
        <f t="shared" si="131"/>
        <v>0</v>
      </c>
      <c r="O774" s="7">
        <f t="shared" si="141"/>
        <v>50000</v>
      </c>
      <c r="P774" s="99">
        <f t="shared" si="134"/>
        <v>3.869969040247678E-3</v>
      </c>
      <c r="Q774" s="99">
        <f t="shared" si="132"/>
        <v>1.6885313352801717E-3</v>
      </c>
      <c r="S774" s="7">
        <f t="shared" si="135"/>
        <v>14267000.000000002</v>
      </c>
      <c r="T774" s="7">
        <f t="shared" si="136"/>
        <v>4323333.333333333</v>
      </c>
      <c r="U774" s="7">
        <f t="shared" si="137"/>
        <v>8640000</v>
      </c>
      <c r="V774" s="7">
        <f t="shared" si="138"/>
        <v>0</v>
      </c>
      <c r="W774" s="7">
        <f t="shared" si="139"/>
        <v>0</v>
      </c>
      <c r="X774" s="7">
        <f t="shared" si="140"/>
        <v>0</v>
      </c>
    </row>
    <row r="775" spans="1:24">
      <c r="A775">
        <v>774</v>
      </c>
      <c r="B775" s="96" t="s">
        <v>2829</v>
      </c>
      <c r="C775" s="95">
        <v>41287</v>
      </c>
      <c r="D775" s="82">
        <v>13020000</v>
      </c>
      <c r="E775" s="82">
        <v>12970000</v>
      </c>
      <c r="F775" s="82">
        <v>13050000</v>
      </c>
      <c r="G775" s="82">
        <v>12980000</v>
      </c>
      <c r="I775" s="97">
        <v>0</v>
      </c>
      <c r="J775" s="97">
        <v>0</v>
      </c>
      <c r="K775" s="97">
        <v>0</v>
      </c>
      <c r="M775" s="7">
        <f t="shared" si="133"/>
        <v>0</v>
      </c>
      <c r="N775" s="7">
        <f t="shared" si="131"/>
        <v>0</v>
      </c>
      <c r="O775" s="7">
        <f t="shared" si="141"/>
        <v>10000</v>
      </c>
      <c r="P775" s="99">
        <f t="shared" si="134"/>
        <v>7.7101002313030066E-4</v>
      </c>
      <c r="Q775" s="99">
        <f t="shared" si="132"/>
        <v>1.6411213553822423E-2</v>
      </c>
      <c r="S775" s="7">
        <f t="shared" si="135"/>
        <v>14278000.000000002</v>
      </c>
      <c r="T775" s="7">
        <f t="shared" si="136"/>
        <v>4326666.666666667</v>
      </c>
      <c r="U775" s="7">
        <f t="shared" si="137"/>
        <v>8800000</v>
      </c>
      <c r="V775" s="7">
        <f t="shared" si="138"/>
        <v>0</v>
      </c>
      <c r="W775" s="7">
        <f t="shared" si="139"/>
        <v>0</v>
      </c>
      <c r="X775" s="7">
        <f t="shared" si="140"/>
        <v>0</v>
      </c>
    </row>
    <row r="776" spans="1:24">
      <c r="A776">
        <v>775</v>
      </c>
      <c r="B776" s="96" t="s">
        <v>2828</v>
      </c>
      <c r="C776" s="95">
        <v>41288</v>
      </c>
      <c r="D776" s="82">
        <v>13000000</v>
      </c>
      <c r="E776" s="82">
        <v>12990000</v>
      </c>
      <c r="F776" s="82">
        <v>13040000</v>
      </c>
      <c r="G776" s="82">
        <v>13040000</v>
      </c>
      <c r="I776" s="98">
        <v>0</v>
      </c>
      <c r="J776" s="98">
        <v>0</v>
      </c>
      <c r="K776" s="98">
        <v>0</v>
      </c>
      <c r="M776" s="7">
        <f t="shared" si="133"/>
        <v>0</v>
      </c>
      <c r="N776" s="7">
        <f t="shared" ref="N776:N839" si="142">L776+M776</f>
        <v>0</v>
      </c>
      <c r="O776" s="7">
        <f t="shared" si="141"/>
        <v>60000</v>
      </c>
      <c r="P776" s="99">
        <f t="shared" si="134"/>
        <v>4.6224961479198771E-3</v>
      </c>
      <c r="Q776" s="99">
        <f t="shared" ref="Q776:Q839" si="143">SUM(P771:P775)</f>
        <v>1.7965922636513854E-2</v>
      </c>
      <c r="S776" s="7">
        <f t="shared" si="135"/>
        <v>14344000.000000002</v>
      </c>
      <c r="T776" s="7">
        <f t="shared" si="136"/>
        <v>4346666.666666667</v>
      </c>
      <c r="U776" s="7">
        <f t="shared" si="137"/>
        <v>8760000</v>
      </c>
      <c r="V776" s="7">
        <f t="shared" si="138"/>
        <v>0</v>
      </c>
      <c r="W776" s="7">
        <f t="shared" si="139"/>
        <v>0</v>
      </c>
      <c r="X776" s="7">
        <f t="shared" si="140"/>
        <v>0</v>
      </c>
    </row>
    <row r="777" spans="1:24">
      <c r="A777">
        <v>776</v>
      </c>
      <c r="B777" s="96" t="s">
        <v>2827</v>
      </c>
      <c r="C777" s="95">
        <v>41289</v>
      </c>
      <c r="D777" s="82">
        <v>13030000</v>
      </c>
      <c r="E777" s="82">
        <v>13030000</v>
      </c>
      <c r="F777" s="82">
        <v>13280000</v>
      </c>
      <c r="G777" s="82">
        <v>13270000</v>
      </c>
      <c r="I777" s="82">
        <f>G777*1.1</f>
        <v>14597000.000000002</v>
      </c>
      <c r="J777" s="82">
        <f>G777/3</f>
        <v>4423333.333333333</v>
      </c>
      <c r="K777" s="7">
        <f>G1045</f>
        <v>8740000</v>
      </c>
      <c r="L777" s="7">
        <f>K777-I777</f>
        <v>-5857000.0000000019</v>
      </c>
      <c r="M777" s="7">
        <f t="shared" si="133"/>
        <v>552916.66666666663</v>
      </c>
      <c r="N777" s="7">
        <f t="shared" si="142"/>
        <v>-5304083.3333333349</v>
      </c>
      <c r="O777" s="7">
        <f t="shared" si="141"/>
        <v>230000</v>
      </c>
      <c r="P777" s="99">
        <f t="shared" si="134"/>
        <v>1.763803680981595E-2</v>
      </c>
      <c r="Q777" s="99">
        <f t="shared" si="143"/>
        <v>2.337273250992393E-2</v>
      </c>
      <c r="R777">
        <v>1</v>
      </c>
      <c r="S777" s="7">
        <f t="shared" si="135"/>
        <v>14597000.000000002</v>
      </c>
      <c r="T777" s="7">
        <f t="shared" si="136"/>
        <v>4423333.333333333</v>
      </c>
      <c r="U777" s="7">
        <f t="shared" si="137"/>
        <v>8740000</v>
      </c>
      <c r="V777" s="7">
        <f t="shared" si="138"/>
        <v>-5857000.0000000019</v>
      </c>
      <c r="W777" s="7">
        <f t="shared" si="139"/>
        <v>552916.66666666663</v>
      </c>
      <c r="X777" s="7">
        <f t="shared" si="140"/>
        <v>-5304083.3333333349</v>
      </c>
    </row>
    <row r="778" spans="1:24">
      <c r="A778">
        <v>777</v>
      </c>
      <c r="B778" s="96" t="s">
        <v>2826</v>
      </c>
      <c r="C778" s="95">
        <v>41290</v>
      </c>
      <c r="D778" s="82">
        <v>13250000</v>
      </c>
      <c r="E778" s="82">
        <v>13170000</v>
      </c>
      <c r="F778" s="82">
        <v>13250000</v>
      </c>
      <c r="G778" s="82">
        <v>13200000</v>
      </c>
      <c r="I778" s="97">
        <v>0</v>
      </c>
      <c r="J778" s="97">
        <v>0</v>
      </c>
      <c r="K778" s="97">
        <v>0</v>
      </c>
      <c r="M778" s="7">
        <f t="shared" si="133"/>
        <v>0</v>
      </c>
      <c r="N778" s="7">
        <f t="shared" si="142"/>
        <v>0</v>
      </c>
      <c r="O778" s="7">
        <f t="shared" si="141"/>
        <v>-70000</v>
      </c>
      <c r="P778" s="99">
        <f t="shared" si="134"/>
        <v>-5.2750565184626974E-3</v>
      </c>
      <c r="Q778" s="99">
        <f t="shared" si="143"/>
        <v>2.8451899618013029E-2</v>
      </c>
      <c r="S778" s="7">
        <f t="shared" si="135"/>
        <v>14520000.000000002</v>
      </c>
      <c r="T778" s="7">
        <f t="shared" si="136"/>
        <v>4400000</v>
      </c>
      <c r="U778" s="7">
        <f t="shared" si="137"/>
        <v>8705000</v>
      </c>
      <c r="V778" s="7">
        <f t="shared" si="138"/>
        <v>0</v>
      </c>
      <c r="W778" s="7">
        <f t="shared" si="139"/>
        <v>0</v>
      </c>
      <c r="X778" s="7">
        <f t="shared" si="140"/>
        <v>0</v>
      </c>
    </row>
    <row r="779" spans="1:24">
      <c r="A779">
        <v>778</v>
      </c>
      <c r="B779" s="96" t="s">
        <v>2825</v>
      </c>
      <c r="C779" s="95">
        <v>41291</v>
      </c>
      <c r="D779" s="82">
        <v>13180000</v>
      </c>
      <c r="E779" s="82">
        <v>13180000</v>
      </c>
      <c r="F779" s="82">
        <v>13200000</v>
      </c>
      <c r="G779" s="82">
        <v>13190000</v>
      </c>
      <c r="I779" s="97">
        <v>0</v>
      </c>
      <c r="J779" s="97">
        <v>0</v>
      </c>
      <c r="K779" s="97">
        <v>0</v>
      </c>
      <c r="M779" s="7">
        <f t="shared" si="133"/>
        <v>0</v>
      </c>
      <c r="N779" s="7">
        <f t="shared" si="142"/>
        <v>0</v>
      </c>
      <c r="O779" s="7">
        <f t="shared" si="141"/>
        <v>-10000</v>
      </c>
      <c r="P779" s="99">
        <f t="shared" si="134"/>
        <v>-7.5757575757575758E-4</v>
      </c>
      <c r="Q779" s="99">
        <f t="shared" si="143"/>
        <v>2.1626455502651111E-2</v>
      </c>
      <c r="S779" s="7">
        <f t="shared" si="135"/>
        <v>14509000.000000002</v>
      </c>
      <c r="T779" s="7">
        <f t="shared" si="136"/>
        <v>4396666.666666667</v>
      </c>
      <c r="U779" s="7">
        <f t="shared" si="137"/>
        <v>8740000</v>
      </c>
      <c r="V779" s="7">
        <f t="shared" si="138"/>
        <v>0</v>
      </c>
      <c r="W779" s="7">
        <f t="shared" si="139"/>
        <v>0</v>
      </c>
      <c r="X779" s="7">
        <f t="shared" si="140"/>
        <v>0</v>
      </c>
    </row>
    <row r="780" spans="1:24">
      <c r="A780">
        <v>779</v>
      </c>
      <c r="B780" s="96" t="s">
        <v>2824</v>
      </c>
      <c r="C780" s="95">
        <v>41293</v>
      </c>
      <c r="D780" s="82">
        <v>13280000</v>
      </c>
      <c r="E780" s="82">
        <v>13280000</v>
      </c>
      <c r="F780" s="82">
        <v>13600000</v>
      </c>
      <c r="G780" s="82">
        <v>13500000</v>
      </c>
      <c r="I780" s="97">
        <v>0</v>
      </c>
      <c r="J780" s="97">
        <v>0</v>
      </c>
      <c r="K780" s="97">
        <v>0</v>
      </c>
      <c r="M780" s="7">
        <f t="shared" si="133"/>
        <v>0</v>
      </c>
      <c r="N780" s="7">
        <f t="shared" si="142"/>
        <v>0</v>
      </c>
      <c r="O780" s="7">
        <f t="shared" si="141"/>
        <v>310000</v>
      </c>
      <c r="P780" s="99">
        <f t="shared" si="134"/>
        <v>2.3502653525398029E-2</v>
      </c>
      <c r="Q780" s="99">
        <f t="shared" si="143"/>
        <v>1.6998910704827671E-2</v>
      </c>
      <c r="S780" s="7">
        <f t="shared" si="135"/>
        <v>14850000.000000002</v>
      </c>
      <c r="T780" s="7">
        <f t="shared" si="136"/>
        <v>4500000</v>
      </c>
      <c r="U780" s="7">
        <f t="shared" si="137"/>
        <v>8580000</v>
      </c>
      <c r="V780" s="7">
        <f t="shared" si="138"/>
        <v>0</v>
      </c>
      <c r="W780" s="7">
        <f t="shared" si="139"/>
        <v>0</v>
      </c>
      <c r="X780" s="7">
        <f t="shared" si="140"/>
        <v>0</v>
      </c>
    </row>
    <row r="781" spans="1:24">
      <c r="A781">
        <v>780</v>
      </c>
      <c r="B781" s="96" t="s">
        <v>2823</v>
      </c>
      <c r="C781" s="95">
        <v>41294</v>
      </c>
      <c r="D781" s="82">
        <v>13620000</v>
      </c>
      <c r="E781" s="82">
        <v>13600000</v>
      </c>
      <c r="F781" s="82">
        <v>13950000</v>
      </c>
      <c r="G781" s="82">
        <v>13860000</v>
      </c>
      <c r="I781" s="98">
        <v>0</v>
      </c>
      <c r="J781" s="98">
        <v>0</v>
      </c>
      <c r="K781" s="98">
        <v>0</v>
      </c>
      <c r="M781" s="7">
        <f t="shared" si="133"/>
        <v>0</v>
      </c>
      <c r="N781" s="7">
        <f t="shared" si="142"/>
        <v>0</v>
      </c>
      <c r="O781" s="7">
        <f t="shared" si="141"/>
        <v>360000</v>
      </c>
      <c r="P781" s="99">
        <f t="shared" si="134"/>
        <v>2.6666666666666668E-2</v>
      </c>
      <c r="Q781" s="99">
        <f t="shared" si="143"/>
        <v>3.9730554207095398E-2</v>
      </c>
      <c r="S781" s="7">
        <f t="shared" si="135"/>
        <v>15246000.000000002</v>
      </c>
      <c r="T781" s="7">
        <f t="shared" si="136"/>
        <v>4620000</v>
      </c>
      <c r="U781" s="7">
        <f t="shared" si="137"/>
        <v>8510000</v>
      </c>
      <c r="V781" s="7">
        <f t="shared" si="138"/>
        <v>0</v>
      </c>
      <c r="W781" s="7">
        <f t="shared" si="139"/>
        <v>0</v>
      </c>
      <c r="X781" s="7">
        <f t="shared" si="140"/>
        <v>0</v>
      </c>
    </row>
    <row r="782" spans="1:24">
      <c r="A782">
        <v>781</v>
      </c>
      <c r="B782" s="96" t="s">
        <v>2822</v>
      </c>
      <c r="C782" s="95">
        <v>41295</v>
      </c>
      <c r="D782" s="82">
        <v>14100000</v>
      </c>
      <c r="E782" s="82">
        <v>14070000</v>
      </c>
      <c r="F782" s="82">
        <v>14350000</v>
      </c>
      <c r="G782" s="82">
        <v>14290000</v>
      </c>
      <c r="I782" s="82">
        <f>G782*1.1</f>
        <v>15719000.000000002</v>
      </c>
      <c r="J782" s="82">
        <f>G782/3</f>
        <v>4763333.333333333</v>
      </c>
      <c r="K782" s="7">
        <f>G1050</f>
        <v>8575000</v>
      </c>
      <c r="L782" s="7">
        <f>K782-I782</f>
        <v>-7144000.0000000019</v>
      </c>
      <c r="M782" s="7">
        <f t="shared" si="133"/>
        <v>595416.66666666663</v>
      </c>
      <c r="N782" s="7">
        <f t="shared" si="142"/>
        <v>-6548583.3333333349</v>
      </c>
      <c r="O782" s="7">
        <f t="shared" si="141"/>
        <v>430000</v>
      </c>
      <c r="P782" s="99">
        <f t="shared" si="134"/>
        <v>3.1024531024531024E-2</v>
      </c>
      <c r="Q782" s="99">
        <f t="shared" si="143"/>
        <v>6.1774724725842195E-2</v>
      </c>
      <c r="R782">
        <v>1</v>
      </c>
      <c r="S782" s="7">
        <f t="shared" si="135"/>
        <v>15719000.000000002</v>
      </c>
      <c r="T782" s="7">
        <f t="shared" si="136"/>
        <v>4763333.333333333</v>
      </c>
      <c r="U782" s="7">
        <f t="shared" si="137"/>
        <v>8575000</v>
      </c>
      <c r="V782" s="7">
        <f t="shared" si="138"/>
        <v>-7144000.0000000019</v>
      </c>
      <c r="W782" s="7">
        <f t="shared" si="139"/>
        <v>595416.66666666663</v>
      </c>
      <c r="X782" s="7">
        <f t="shared" si="140"/>
        <v>-6548583.3333333349</v>
      </c>
    </row>
    <row r="783" spans="1:24">
      <c r="A783">
        <v>782</v>
      </c>
      <c r="B783" s="96" t="s">
        <v>2821</v>
      </c>
      <c r="C783" s="95">
        <v>41296</v>
      </c>
      <c r="D783" s="82">
        <v>14600000</v>
      </c>
      <c r="E783" s="82">
        <v>14100000</v>
      </c>
      <c r="F783" s="82">
        <v>14600000</v>
      </c>
      <c r="G783" s="82">
        <v>14340000</v>
      </c>
      <c r="I783" s="97">
        <v>0</v>
      </c>
      <c r="J783" s="97">
        <v>0</v>
      </c>
      <c r="K783" s="97">
        <v>0</v>
      </c>
      <c r="M783" s="7">
        <f t="shared" si="133"/>
        <v>0</v>
      </c>
      <c r="N783" s="7">
        <f t="shared" si="142"/>
        <v>0</v>
      </c>
      <c r="O783" s="7">
        <f t="shared" si="141"/>
        <v>50000</v>
      </c>
      <c r="P783" s="99">
        <f t="shared" si="134"/>
        <v>3.4989503149055285E-3</v>
      </c>
      <c r="Q783" s="99">
        <f t="shared" si="143"/>
        <v>7.5161218940557273E-2</v>
      </c>
      <c r="S783" s="7">
        <f t="shared" si="135"/>
        <v>15774000.000000002</v>
      </c>
      <c r="T783" s="7">
        <f t="shared" si="136"/>
        <v>4780000</v>
      </c>
      <c r="U783" s="7">
        <f t="shared" si="137"/>
        <v>8555000</v>
      </c>
      <c r="V783" s="7">
        <f t="shared" si="138"/>
        <v>0</v>
      </c>
      <c r="W783" s="7">
        <f t="shared" si="139"/>
        <v>0</v>
      </c>
      <c r="X783" s="7">
        <f t="shared" si="140"/>
        <v>0</v>
      </c>
    </row>
    <row r="784" spans="1:24">
      <c r="A784">
        <v>783</v>
      </c>
      <c r="B784" s="96" t="s">
        <v>2820</v>
      </c>
      <c r="C784" s="95">
        <v>41297</v>
      </c>
      <c r="D784" s="82">
        <v>14220000</v>
      </c>
      <c r="E784" s="82">
        <v>14150000</v>
      </c>
      <c r="F784" s="82">
        <v>14290000</v>
      </c>
      <c r="G784" s="82">
        <v>14180000</v>
      </c>
      <c r="I784" s="97">
        <v>0</v>
      </c>
      <c r="J784" s="97">
        <v>0</v>
      </c>
      <c r="K784" s="97">
        <v>0</v>
      </c>
      <c r="M784" s="7">
        <f t="shared" si="133"/>
        <v>0</v>
      </c>
      <c r="N784" s="7">
        <f t="shared" si="142"/>
        <v>0</v>
      </c>
      <c r="O784" s="7">
        <f t="shared" si="141"/>
        <v>-160000</v>
      </c>
      <c r="P784" s="99">
        <f t="shared" si="134"/>
        <v>-1.1157601115760111E-2</v>
      </c>
      <c r="Q784" s="99">
        <f t="shared" si="143"/>
        <v>8.3935225773925495E-2</v>
      </c>
      <c r="S784" s="7">
        <f t="shared" si="135"/>
        <v>15598000.000000002</v>
      </c>
      <c r="T784" s="7">
        <f t="shared" si="136"/>
        <v>4726666.666666667</v>
      </c>
      <c r="U784" s="7">
        <f t="shared" si="137"/>
        <v>8577000</v>
      </c>
      <c r="V784" s="7">
        <f t="shared" si="138"/>
        <v>0</v>
      </c>
      <c r="W784" s="7">
        <f t="shared" si="139"/>
        <v>0</v>
      </c>
      <c r="X784" s="7">
        <f t="shared" si="140"/>
        <v>0</v>
      </c>
    </row>
    <row r="785" spans="1:24">
      <c r="A785">
        <v>784</v>
      </c>
      <c r="B785" s="96" t="s">
        <v>2819</v>
      </c>
      <c r="C785" s="95">
        <v>41298</v>
      </c>
      <c r="D785" s="82">
        <v>14000000</v>
      </c>
      <c r="E785" s="82">
        <v>13900000</v>
      </c>
      <c r="F785" s="82">
        <v>14030000</v>
      </c>
      <c r="G785" s="82">
        <v>13920000</v>
      </c>
      <c r="I785" s="97">
        <v>0</v>
      </c>
      <c r="J785" s="97">
        <v>0</v>
      </c>
      <c r="K785" s="97">
        <v>0</v>
      </c>
      <c r="M785" s="7">
        <f t="shared" si="133"/>
        <v>0</v>
      </c>
      <c r="N785" s="7">
        <f t="shared" si="142"/>
        <v>0</v>
      </c>
      <c r="O785" s="7">
        <f t="shared" si="141"/>
        <v>-260000</v>
      </c>
      <c r="P785" s="99">
        <f t="shared" si="134"/>
        <v>-1.8335684062059238E-2</v>
      </c>
      <c r="Q785" s="99">
        <f t="shared" si="143"/>
        <v>7.3535200415741145E-2</v>
      </c>
      <c r="S785" s="7">
        <f t="shared" si="135"/>
        <v>15312000.000000002</v>
      </c>
      <c r="T785" s="7">
        <f t="shared" si="136"/>
        <v>4640000</v>
      </c>
      <c r="U785" s="7">
        <f t="shared" si="137"/>
        <v>8575000</v>
      </c>
      <c r="V785" s="7">
        <f t="shared" si="138"/>
        <v>0</v>
      </c>
      <c r="W785" s="7">
        <f t="shared" si="139"/>
        <v>0</v>
      </c>
      <c r="X785" s="7">
        <f t="shared" si="140"/>
        <v>0</v>
      </c>
    </row>
    <row r="786" spans="1:24">
      <c r="A786">
        <v>785</v>
      </c>
      <c r="B786" s="96" t="s">
        <v>2818</v>
      </c>
      <c r="C786" s="95">
        <v>41300</v>
      </c>
      <c r="D786" s="82">
        <v>13970000</v>
      </c>
      <c r="E786" s="82">
        <v>13950000</v>
      </c>
      <c r="F786" s="82">
        <v>14350000</v>
      </c>
      <c r="G786" s="82">
        <v>14340000</v>
      </c>
      <c r="I786" s="98">
        <v>0</v>
      </c>
      <c r="J786" s="98">
        <v>0</v>
      </c>
      <c r="K786" s="98">
        <v>0</v>
      </c>
      <c r="M786" s="7">
        <f t="shared" si="133"/>
        <v>0</v>
      </c>
      <c r="N786" s="7">
        <f t="shared" si="142"/>
        <v>0</v>
      </c>
      <c r="O786" s="7">
        <f t="shared" si="141"/>
        <v>420000</v>
      </c>
      <c r="P786" s="99">
        <f t="shared" si="134"/>
        <v>3.017241379310345E-2</v>
      </c>
      <c r="Q786" s="99">
        <f t="shared" si="143"/>
        <v>3.1696862828283871E-2</v>
      </c>
      <c r="S786" s="7">
        <f t="shared" si="135"/>
        <v>15774000.000000002</v>
      </c>
      <c r="T786" s="7">
        <f t="shared" si="136"/>
        <v>4780000</v>
      </c>
      <c r="U786" s="7">
        <f t="shared" si="137"/>
        <v>8660000</v>
      </c>
      <c r="V786" s="7">
        <f t="shared" si="138"/>
        <v>0</v>
      </c>
      <c r="W786" s="7">
        <f t="shared" si="139"/>
        <v>0</v>
      </c>
      <c r="X786" s="7">
        <f t="shared" si="140"/>
        <v>0</v>
      </c>
    </row>
    <row r="787" spans="1:24">
      <c r="A787">
        <v>786</v>
      </c>
      <c r="B787" s="96" t="s">
        <v>2817</v>
      </c>
      <c r="C787" s="95">
        <v>41301</v>
      </c>
      <c r="D787" s="82">
        <v>14580000</v>
      </c>
      <c r="E787" s="82">
        <v>14470000</v>
      </c>
      <c r="F787" s="82">
        <v>14730000</v>
      </c>
      <c r="G787" s="82">
        <v>14470000</v>
      </c>
      <c r="I787" s="82">
        <f>G787*1.1</f>
        <v>15917000.000000002</v>
      </c>
      <c r="J787" s="82">
        <f>G787/3</f>
        <v>4823333.333333333</v>
      </c>
      <c r="K787" s="7">
        <f>G1055</f>
        <v>8725000</v>
      </c>
      <c r="L787" s="7">
        <f>K787-I787</f>
        <v>-7192000.0000000019</v>
      </c>
      <c r="M787" s="7">
        <f t="shared" si="133"/>
        <v>602916.66666666663</v>
      </c>
      <c r="N787" s="7">
        <f t="shared" si="142"/>
        <v>-6589083.3333333349</v>
      </c>
      <c r="O787" s="7">
        <f t="shared" si="141"/>
        <v>130000</v>
      </c>
      <c r="P787" s="99">
        <f t="shared" si="134"/>
        <v>9.06555090655509E-3</v>
      </c>
      <c r="Q787" s="99">
        <f t="shared" si="143"/>
        <v>3.5202609954720646E-2</v>
      </c>
      <c r="R787">
        <v>1</v>
      </c>
      <c r="S787" s="7">
        <f t="shared" si="135"/>
        <v>15917000.000000002</v>
      </c>
      <c r="T787" s="7">
        <f t="shared" si="136"/>
        <v>4823333.333333333</v>
      </c>
      <c r="U787" s="7">
        <f t="shared" si="137"/>
        <v>8725000</v>
      </c>
      <c r="V787" s="7">
        <f t="shared" si="138"/>
        <v>-7192000.0000000019</v>
      </c>
      <c r="W787" s="7">
        <f t="shared" si="139"/>
        <v>602916.66666666663</v>
      </c>
      <c r="X787" s="7">
        <f t="shared" si="140"/>
        <v>-6589083.3333333349</v>
      </c>
    </row>
    <row r="788" spans="1:24">
      <c r="A788">
        <v>787</v>
      </c>
      <c r="B788" s="96" t="s">
        <v>2816</v>
      </c>
      <c r="C788" s="95">
        <v>41302</v>
      </c>
      <c r="D788" s="82">
        <v>14620000</v>
      </c>
      <c r="E788" s="82">
        <v>14550000</v>
      </c>
      <c r="F788" s="82">
        <v>14680000</v>
      </c>
      <c r="G788" s="82">
        <v>14670000</v>
      </c>
      <c r="I788" s="97">
        <v>0</v>
      </c>
      <c r="J788" s="97">
        <v>0</v>
      </c>
      <c r="K788" s="97">
        <v>0</v>
      </c>
      <c r="M788" s="7">
        <f t="shared" si="133"/>
        <v>0</v>
      </c>
      <c r="N788" s="7">
        <f t="shared" si="142"/>
        <v>0</v>
      </c>
      <c r="O788" s="7">
        <f t="shared" si="141"/>
        <v>200000</v>
      </c>
      <c r="P788" s="99">
        <f t="shared" si="134"/>
        <v>1.3821700069108501E-2</v>
      </c>
      <c r="Q788" s="99">
        <f t="shared" si="143"/>
        <v>1.3243629836744718E-2</v>
      </c>
      <c r="S788" s="7">
        <f t="shared" si="135"/>
        <v>16137000.000000002</v>
      </c>
      <c r="T788" s="7">
        <f t="shared" si="136"/>
        <v>4890000</v>
      </c>
      <c r="U788" s="7">
        <f t="shared" si="137"/>
        <v>8825000</v>
      </c>
      <c r="V788" s="7">
        <f t="shared" si="138"/>
        <v>0</v>
      </c>
      <c r="W788" s="7">
        <f t="shared" si="139"/>
        <v>0</v>
      </c>
      <c r="X788" s="7">
        <f t="shared" si="140"/>
        <v>0</v>
      </c>
    </row>
    <row r="789" spans="1:24">
      <c r="A789">
        <v>788</v>
      </c>
      <c r="B789" s="96" t="s">
        <v>2815</v>
      </c>
      <c r="C789" s="95">
        <v>41304</v>
      </c>
      <c r="D789" s="82">
        <v>14700000</v>
      </c>
      <c r="E789" s="82">
        <v>14700000</v>
      </c>
      <c r="F789" s="82">
        <v>15000000</v>
      </c>
      <c r="G789" s="82">
        <v>14980000</v>
      </c>
      <c r="I789" s="97">
        <v>0</v>
      </c>
      <c r="J789" s="97">
        <v>0</v>
      </c>
      <c r="K789" s="97">
        <v>0</v>
      </c>
      <c r="M789" s="7">
        <f t="shared" si="133"/>
        <v>0</v>
      </c>
      <c r="N789" s="7">
        <f t="shared" si="142"/>
        <v>0</v>
      </c>
      <c r="O789" s="7">
        <f t="shared" si="141"/>
        <v>310000</v>
      </c>
      <c r="P789" s="99">
        <f t="shared" si="134"/>
        <v>2.1131561008861623E-2</v>
      </c>
      <c r="Q789" s="99">
        <f t="shared" si="143"/>
        <v>2.3566379590947692E-2</v>
      </c>
      <c r="S789" s="7">
        <f t="shared" si="135"/>
        <v>16478000.000000002</v>
      </c>
      <c r="T789" s="7">
        <f t="shared" si="136"/>
        <v>4993333.333333333</v>
      </c>
      <c r="U789" s="7">
        <f t="shared" si="137"/>
        <v>8725000</v>
      </c>
      <c r="V789" s="7">
        <f t="shared" si="138"/>
        <v>0</v>
      </c>
      <c r="W789" s="7">
        <f t="shared" si="139"/>
        <v>0</v>
      </c>
      <c r="X789" s="7">
        <f t="shared" si="140"/>
        <v>0</v>
      </c>
    </row>
    <row r="790" spans="1:24">
      <c r="A790">
        <v>789</v>
      </c>
      <c r="B790" s="96" t="s">
        <v>2814</v>
      </c>
      <c r="C790" s="95">
        <v>41305</v>
      </c>
      <c r="D790" s="82">
        <v>15250000</v>
      </c>
      <c r="E790" s="82">
        <v>15250000</v>
      </c>
      <c r="F790" s="82">
        <v>15600000</v>
      </c>
      <c r="G790" s="82">
        <v>15600000</v>
      </c>
      <c r="I790" s="97">
        <v>0</v>
      </c>
      <c r="J790" s="97">
        <v>0</v>
      </c>
      <c r="K790" s="97">
        <v>0</v>
      </c>
      <c r="M790" s="7">
        <f t="shared" si="133"/>
        <v>0</v>
      </c>
      <c r="N790" s="7">
        <f t="shared" si="142"/>
        <v>0</v>
      </c>
      <c r="O790" s="7">
        <f t="shared" si="141"/>
        <v>620000</v>
      </c>
      <c r="P790" s="99">
        <f t="shared" si="134"/>
        <v>4.1388518024032039E-2</v>
      </c>
      <c r="Q790" s="99">
        <f t="shared" si="143"/>
        <v>5.5855541715569432E-2</v>
      </c>
      <c r="S790" s="7">
        <f t="shared" si="135"/>
        <v>17160000</v>
      </c>
      <c r="T790" s="7">
        <f t="shared" si="136"/>
        <v>5200000</v>
      </c>
      <c r="U790" s="7">
        <f t="shared" si="137"/>
        <v>8685000</v>
      </c>
      <c r="V790" s="7">
        <f t="shared" si="138"/>
        <v>0</v>
      </c>
      <c r="W790" s="7">
        <f t="shared" si="139"/>
        <v>0</v>
      </c>
      <c r="X790" s="7">
        <f t="shared" si="140"/>
        <v>0</v>
      </c>
    </row>
    <row r="791" spans="1:24">
      <c r="A791">
        <v>790</v>
      </c>
      <c r="B791" s="96" t="s">
        <v>2813</v>
      </c>
      <c r="C791" s="95">
        <v>41307</v>
      </c>
      <c r="D791" s="82">
        <v>15620000</v>
      </c>
      <c r="E791" s="82">
        <v>14850000</v>
      </c>
      <c r="F791" s="82">
        <v>15620000</v>
      </c>
      <c r="G791" s="82">
        <v>15300000</v>
      </c>
      <c r="I791" s="98">
        <v>0</v>
      </c>
      <c r="J791" s="98">
        <v>0</v>
      </c>
      <c r="K791" s="98">
        <v>0</v>
      </c>
      <c r="M791" s="7">
        <f t="shared" si="133"/>
        <v>0</v>
      </c>
      <c r="N791" s="7">
        <f t="shared" si="142"/>
        <v>0</v>
      </c>
      <c r="O791" s="7">
        <f t="shared" si="141"/>
        <v>-300000</v>
      </c>
      <c r="P791" s="99">
        <f t="shared" si="134"/>
        <v>-1.9230769230769232E-2</v>
      </c>
      <c r="Q791" s="99">
        <f t="shared" si="143"/>
        <v>0.11557974380166071</v>
      </c>
      <c r="S791" s="7">
        <f t="shared" si="135"/>
        <v>16830000</v>
      </c>
      <c r="T791" s="7">
        <f t="shared" si="136"/>
        <v>5100000</v>
      </c>
      <c r="U791" s="7">
        <f t="shared" si="137"/>
        <v>8660000</v>
      </c>
      <c r="V791" s="7">
        <f t="shared" si="138"/>
        <v>0</v>
      </c>
      <c r="W791" s="7">
        <f t="shared" si="139"/>
        <v>0</v>
      </c>
      <c r="X791" s="7">
        <f t="shared" si="140"/>
        <v>0</v>
      </c>
    </row>
    <row r="792" spans="1:24">
      <c r="A792">
        <v>791</v>
      </c>
      <c r="B792" s="96" t="s">
        <v>2812</v>
      </c>
      <c r="C792" s="95">
        <v>41308</v>
      </c>
      <c r="D792" s="82">
        <v>15100000</v>
      </c>
      <c r="E792" s="82">
        <v>14900000</v>
      </c>
      <c r="F792" s="82">
        <v>15300000</v>
      </c>
      <c r="G792" s="82">
        <v>15300000</v>
      </c>
      <c r="I792" s="82">
        <f>G792*1.1</f>
        <v>16830000</v>
      </c>
      <c r="J792" s="82">
        <f>G792/3</f>
        <v>5100000</v>
      </c>
      <c r="K792" s="7">
        <f>G1060</f>
        <v>8720000</v>
      </c>
      <c r="L792" s="7">
        <f>K792-I792</f>
        <v>-8110000</v>
      </c>
      <c r="M792" s="7">
        <f t="shared" si="133"/>
        <v>637500</v>
      </c>
      <c r="N792" s="7">
        <f t="shared" si="142"/>
        <v>-7472500</v>
      </c>
      <c r="O792" s="7">
        <f t="shared" si="141"/>
        <v>0</v>
      </c>
      <c r="P792" s="99">
        <f t="shared" si="134"/>
        <v>0</v>
      </c>
      <c r="Q792" s="99">
        <f t="shared" si="143"/>
        <v>6.6176560777788024E-2</v>
      </c>
      <c r="R792">
        <v>1</v>
      </c>
      <c r="S792" s="7">
        <f t="shared" si="135"/>
        <v>16830000</v>
      </c>
      <c r="T792" s="7">
        <f t="shared" si="136"/>
        <v>5100000</v>
      </c>
      <c r="U792" s="7">
        <f t="shared" si="137"/>
        <v>8720000</v>
      </c>
      <c r="V792" s="7">
        <f t="shared" si="138"/>
        <v>-8110000</v>
      </c>
      <c r="W792" s="7">
        <f t="shared" si="139"/>
        <v>637500</v>
      </c>
      <c r="X792" s="7">
        <f t="shared" si="140"/>
        <v>-7472500</v>
      </c>
    </row>
    <row r="793" spans="1:24">
      <c r="A793">
        <v>792</v>
      </c>
      <c r="B793" s="96" t="s">
        <v>2811</v>
      </c>
      <c r="C793" s="95">
        <v>41309</v>
      </c>
      <c r="D793" s="82">
        <v>15270000</v>
      </c>
      <c r="E793" s="82">
        <v>15180000</v>
      </c>
      <c r="F793" s="82">
        <v>15520000</v>
      </c>
      <c r="G793" s="82">
        <v>15450000</v>
      </c>
      <c r="I793" s="97">
        <v>0</v>
      </c>
      <c r="J793" s="97">
        <v>0</v>
      </c>
      <c r="K793" s="97">
        <v>0</v>
      </c>
      <c r="M793" s="7">
        <f t="shared" si="133"/>
        <v>0</v>
      </c>
      <c r="N793" s="7">
        <f t="shared" si="142"/>
        <v>0</v>
      </c>
      <c r="O793" s="7">
        <f t="shared" si="141"/>
        <v>150000</v>
      </c>
      <c r="P793" s="99">
        <f t="shared" si="134"/>
        <v>9.8039215686274508E-3</v>
      </c>
      <c r="Q793" s="99">
        <f t="shared" si="143"/>
        <v>5.7111009871232923E-2</v>
      </c>
      <c r="S793" s="7">
        <f t="shared" si="135"/>
        <v>16995000</v>
      </c>
      <c r="T793" s="7">
        <f t="shared" si="136"/>
        <v>5150000</v>
      </c>
      <c r="U793" s="7">
        <f t="shared" si="137"/>
        <v>8750000</v>
      </c>
      <c r="V793" s="7">
        <f t="shared" si="138"/>
        <v>0</v>
      </c>
      <c r="W793" s="7">
        <f t="shared" si="139"/>
        <v>0</v>
      </c>
      <c r="X793" s="7">
        <f t="shared" si="140"/>
        <v>0</v>
      </c>
    </row>
    <row r="794" spans="1:24">
      <c r="A794">
        <v>793</v>
      </c>
      <c r="B794" s="96" t="s">
        <v>2810</v>
      </c>
      <c r="C794" s="95">
        <v>41310</v>
      </c>
      <c r="D794" s="82">
        <v>15650000</v>
      </c>
      <c r="E794" s="82">
        <v>14900000</v>
      </c>
      <c r="F794" s="82">
        <v>15690000</v>
      </c>
      <c r="G794" s="82">
        <v>14900000</v>
      </c>
      <c r="I794" s="97">
        <v>0</v>
      </c>
      <c r="J794" s="97">
        <v>0</v>
      </c>
      <c r="K794" s="97">
        <v>0</v>
      </c>
      <c r="M794" s="7">
        <f t="shared" si="133"/>
        <v>0</v>
      </c>
      <c r="N794" s="7">
        <f t="shared" si="142"/>
        <v>0</v>
      </c>
      <c r="O794" s="7">
        <f t="shared" si="141"/>
        <v>-550000</v>
      </c>
      <c r="P794" s="99">
        <f t="shared" si="134"/>
        <v>-3.5598705501618123E-2</v>
      </c>
      <c r="Q794" s="99">
        <f t="shared" si="143"/>
        <v>5.3093231370751885E-2</v>
      </c>
      <c r="S794" s="7">
        <f t="shared" si="135"/>
        <v>16390000.000000002</v>
      </c>
      <c r="T794" s="7">
        <f t="shared" si="136"/>
        <v>4966666.666666667</v>
      </c>
      <c r="U794" s="7">
        <f t="shared" si="137"/>
        <v>8760000</v>
      </c>
      <c r="V794" s="7">
        <f t="shared" si="138"/>
        <v>0</v>
      </c>
      <c r="W794" s="7">
        <f t="shared" si="139"/>
        <v>0</v>
      </c>
      <c r="X794" s="7">
        <f t="shared" si="140"/>
        <v>0</v>
      </c>
    </row>
    <row r="795" spans="1:24">
      <c r="A795">
        <v>794</v>
      </c>
      <c r="B795" s="96" t="s">
        <v>2809</v>
      </c>
      <c r="C795" s="95">
        <v>41311</v>
      </c>
      <c r="D795" s="82">
        <v>14700000</v>
      </c>
      <c r="E795" s="82">
        <v>14130000</v>
      </c>
      <c r="F795" s="82">
        <v>14800000</v>
      </c>
      <c r="G795" s="82">
        <v>14730000</v>
      </c>
      <c r="I795" s="97">
        <v>0</v>
      </c>
      <c r="J795" s="97">
        <v>0</v>
      </c>
      <c r="K795" s="97">
        <v>0</v>
      </c>
      <c r="M795" s="7">
        <f t="shared" si="133"/>
        <v>0</v>
      </c>
      <c r="N795" s="7">
        <f t="shared" si="142"/>
        <v>0</v>
      </c>
      <c r="O795" s="7">
        <f t="shared" si="141"/>
        <v>-170000</v>
      </c>
      <c r="P795" s="99">
        <f t="shared" si="134"/>
        <v>-1.1409395973154362E-2</v>
      </c>
      <c r="Q795" s="99">
        <f t="shared" si="143"/>
        <v>-3.637035139727865E-3</v>
      </c>
      <c r="S795" s="7">
        <f t="shared" si="135"/>
        <v>16203000.000000002</v>
      </c>
      <c r="T795" s="7">
        <f t="shared" si="136"/>
        <v>4910000</v>
      </c>
      <c r="U795" s="7">
        <f t="shared" si="137"/>
        <v>8790000</v>
      </c>
      <c r="V795" s="7">
        <f t="shared" si="138"/>
        <v>0</v>
      </c>
      <c r="W795" s="7">
        <f t="shared" si="139"/>
        <v>0</v>
      </c>
      <c r="X795" s="7">
        <f t="shared" si="140"/>
        <v>0</v>
      </c>
    </row>
    <row r="796" spans="1:24">
      <c r="A796">
        <v>795</v>
      </c>
      <c r="B796" s="96" t="s">
        <v>2808</v>
      </c>
      <c r="C796" s="95">
        <v>41312</v>
      </c>
      <c r="D796" s="82">
        <v>14980000</v>
      </c>
      <c r="E796" s="82">
        <v>14700000</v>
      </c>
      <c r="F796" s="82">
        <v>15330000</v>
      </c>
      <c r="G796" s="82">
        <v>14900000</v>
      </c>
      <c r="I796" s="98">
        <v>0</v>
      </c>
      <c r="J796" s="98">
        <v>0</v>
      </c>
      <c r="K796" s="98">
        <v>0</v>
      </c>
      <c r="M796" s="7">
        <f t="shared" si="133"/>
        <v>0</v>
      </c>
      <c r="N796" s="7">
        <f t="shared" si="142"/>
        <v>0</v>
      </c>
      <c r="O796" s="7">
        <f t="shared" si="141"/>
        <v>170000</v>
      </c>
      <c r="P796" s="99">
        <f t="shared" si="134"/>
        <v>1.1541072640868975E-2</v>
      </c>
      <c r="Q796" s="99">
        <f t="shared" si="143"/>
        <v>-5.643494913691427E-2</v>
      </c>
      <c r="S796" s="7">
        <f t="shared" si="135"/>
        <v>16390000.000000002</v>
      </c>
      <c r="T796" s="7">
        <f t="shared" si="136"/>
        <v>4966666.666666667</v>
      </c>
      <c r="U796" s="7">
        <f t="shared" si="137"/>
        <v>8770000</v>
      </c>
      <c r="V796" s="7">
        <f t="shared" si="138"/>
        <v>0</v>
      </c>
      <c r="W796" s="7">
        <f t="shared" si="139"/>
        <v>0</v>
      </c>
      <c r="X796" s="7">
        <f t="shared" si="140"/>
        <v>0</v>
      </c>
    </row>
    <row r="797" spans="1:24">
      <c r="A797">
        <v>796</v>
      </c>
      <c r="B797" s="96" t="s">
        <v>2807</v>
      </c>
      <c r="C797" s="95">
        <v>41314</v>
      </c>
      <c r="D797" s="82">
        <v>14830000</v>
      </c>
      <c r="E797" s="82">
        <v>14830000</v>
      </c>
      <c r="F797" s="82">
        <v>14970000</v>
      </c>
      <c r="G797" s="82">
        <v>14900000</v>
      </c>
      <c r="I797" s="82">
        <f>G797*1.1</f>
        <v>16390000.000000002</v>
      </c>
      <c r="J797" s="82">
        <f>G797/3</f>
        <v>4966666.666666667</v>
      </c>
      <c r="K797" s="7">
        <f>G1065</f>
        <v>8750000</v>
      </c>
      <c r="L797" s="7">
        <f>K797-I797</f>
        <v>-7640000.0000000019</v>
      </c>
      <c r="M797" s="7">
        <f t="shared" si="133"/>
        <v>620833.33333333337</v>
      </c>
      <c r="N797" s="7">
        <f t="shared" si="142"/>
        <v>-7019166.6666666688</v>
      </c>
      <c r="O797" s="7">
        <f t="shared" si="141"/>
        <v>0</v>
      </c>
      <c r="P797" s="99">
        <f t="shared" si="134"/>
        <v>0</v>
      </c>
      <c r="Q797" s="99">
        <f t="shared" si="143"/>
        <v>-2.5663107265276063E-2</v>
      </c>
      <c r="R797">
        <v>1</v>
      </c>
      <c r="S797" s="7">
        <f t="shared" si="135"/>
        <v>16390000.000000002</v>
      </c>
      <c r="T797" s="7">
        <f t="shared" si="136"/>
        <v>4966666.666666667</v>
      </c>
      <c r="U797" s="7">
        <f t="shared" si="137"/>
        <v>8750000</v>
      </c>
      <c r="V797" s="7">
        <f t="shared" si="138"/>
        <v>-7640000.0000000019</v>
      </c>
      <c r="W797" s="7">
        <f t="shared" si="139"/>
        <v>620833.33333333337</v>
      </c>
      <c r="X797" s="7">
        <f t="shared" si="140"/>
        <v>-7019166.6666666688</v>
      </c>
    </row>
    <row r="798" spans="1:24">
      <c r="A798">
        <v>797</v>
      </c>
      <c r="B798" s="96" t="s">
        <v>2806</v>
      </c>
      <c r="C798" s="95">
        <v>41316</v>
      </c>
      <c r="D798" s="82">
        <v>14800000</v>
      </c>
      <c r="E798" s="82">
        <v>14300000</v>
      </c>
      <c r="F798" s="82">
        <v>14800000</v>
      </c>
      <c r="G798" s="82">
        <v>14350000</v>
      </c>
      <c r="I798" s="97">
        <v>0</v>
      </c>
      <c r="J798" s="97">
        <v>0</v>
      </c>
      <c r="K798" s="97">
        <v>0</v>
      </c>
      <c r="M798" s="7">
        <f t="shared" si="133"/>
        <v>0</v>
      </c>
      <c r="N798" s="7">
        <f t="shared" si="142"/>
        <v>0</v>
      </c>
      <c r="O798" s="7">
        <f t="shared" si="141"/>
        <v>-550000</v>
      </c>
      <c r="P798" s="99">
        <f t="shared" si="134"/>
        <v>-3.6912751677852351E-2</v>
      </c>
      <c r="Q798" s="99">
        <f t="shared" si="143"/>
        <v>-2.5663107265276063E-2</v>
      </c>
      <c r="S798" s="7">
        <f t="shared" si="135"/>
        <v>15785000.000000002</v>
      </c>
      <c r="T798" s="7">
        <f t="shared" si="136"/>
        <v>4783333.333333333</v>
      </c>
      <c r="U798" s="7">
        <f t="shared" si="137"/>
        <v>8740000</v>
      </c>
      <c r="V798" s="7">
        <f t="shared" si="138"/>
        <v>0</v>
      </c>
      <c r="W798" s="7">
        <f t="shared" si="139"/>
        <v>0</v>
      </c>
      <c r="X798" s="7">
        <f t="shared" si="140"/>
        <v>0</v>
      </c>
    </row>
    <row r="799" spans="1:24">
      <c r="A799">
        <v>798</v>
      </c>
      <c r="B799" s="96" t="s">
        <v>2805</v>
      </c>
      <c r="C799" s="95">
        <v>41317</v>
      </c>
      <c r="D799" s="82">
        <v>14550000</v>
      </c>
      <c r="E799" s="82">
        <v>14100000</v>
      </c>
      <c r="F799" s="82">
        <v>14570000</v>
      </c>
      <c r="G799" s="82">
        <v>14100000</v>
      </c>
      <c r="I799" s="97">
        <v>0</v>
      </c>
      <c r="J799" s="97">
        <v>0</v>
      </c>
      <c r="K799" s="97">
        <v>0</v>
      </c>
      <c r="M799" s="7">
        <f t="shared" si="133"/>
        <v>0</v>
      </c>
      <c r="N799" s="7">
        <f t="shared" si="142"/>
        <v>0</v>
      </c>
      <c r="O799" s="7">
        <f t="shared" si="141"/>
        <v>-250000</v>
      </c>
      <c r="P799" s="99">
        <f t="shared" si="134"/>
        <v>-1.7421602787456445E-2</v>
      </c>
      <c r="Q799" s="99">
        <f t="shared" si="143"/>
        <v>-7.2379780511755865E-2</v>
      </c>
      <c r="S799" s="7">
        <f t="shared" si="135"/>
        <v>15510000.000000002</v>
      </c>
      <c r="T799" s="7">
        <f t="shared" si="136"/>
        <v>4700000</v>
      </c>
      <c r="U799" s="7">
        <f t="shared" si="137"/>
        <v>8812000</v>
      </c>
      <c r="V799" s="7">
        <f t="shared" si="138"/>
        <v>0</v>
      </c>
      <c r="W799" s="7">
        <f t="shared" si="139"/>
        <v>0</v>
      </c>
      <c r="X799" s="7">
        <f t="shared" si="140"/>
        <v>0</v>
      </c>
    </row>
    <row r="800" spans="1:24">
      <c r="A800">
        <v>799</v>
      </c>
      <c r="B800" s="96" t="s">
        <v>2804</v>
      </c>
      <c r="C800" s="95">
        <v>41318</v>
      </c>
      <c r="D800" s="82">
        <v>13700000</v>
      </c>
      <c r="E800" s="82">
        <v>13600000</v>
      </c>
      <c r="F800" s="82">
        <v>14250000</v>
      </c>
      <c r="G800" s="82">
        <v>14150000</v>
      </c>
      <c r="I800" s="97">
        <v>0</v>
      </c>
      <c r="J800" s="97">
        <v>0</v>
      </c>
      <c r="K800" s="97">
        <v>0</v>
      </c>
      <c r="M800" s="7">
        <f t="shared" si="133"/>
        <v>0</v>
      </c>
      <c r="N800" s="7">
        <f t="shared" si="142"/>
        <v>0</v>
      </c>
      <c r="O800" s="7">
        <f t="shared" si="141"/>
        <v>50000</v>
      </c>
      <c r="P800" s="99">
        <f t="shared" si="134"/>
        <v>3.5460992907801418E-3</v>
      </c>
      <c r="Q800" s="99">
        <f t="shared" si="143"/>
        <v>-5.4202677797594176E-2</v>
      </c>
      <c r="S800" s="7">
        <f t="shared" si="135"/>
        <v>15565000.000000002</v>
      </c>
      <c r="T800" s="7">
        <f t="shared" si="136"/>
        <v>4716666.666666667</v>
      </c>
      <c r="U800" s="7">
        <f t="shared" si="137"/>
        <v>8770000</v>
      </c>
      <c r="V800" s="7">
        <f t="shared" si="138"/>
        <v>0</v>
      </c>
      <c r="W800" s="7">
        <f t="shared" si="139"/>
        <v>0</v>
      </c>
      <c r="X800" s="7">
        <f t="shared" si="140"/>
        <v>0</v>
      </c>
    </row>
    <row r="801" spans="1:24">
      <c r="A801">
        <v>800</v>
      </c>
      <c r="B801" s="96" t="s">
        <v>2803</v>
      </c>
      <c r="C801" s="95">
        <v>41319</v>
      </c>
      <c r="D801" s="82">
        <v>14400000</v>
      </c>
      <c r="E801" s="82">
        <v>14400000</v>
      </c>
      <c r="F801" s="82">
        <v>14570000</v>
      </c>
      <c r="G801" s="82">
        <v>14550000</v>
      </c>
      <c r="I801" s="98">
        <v>0</v>
      </c>
      <c r="J801" s="98">
        <v>0</v>
      </c>
      <c r="K801" s="98">
        <v>0</v>
      </c>
      <c r="M801" s="7">
        <f t="shared" si="133"/>
        <v>0</v>
      </c>
      <c r="N801" s="7">
        <f t="shared" si="142"/>
        <v>0</v>
      </c>
      <c r="O801" s="7">
        <f t="shared" si="141"/>
        <v>400000</v>
      </c>
      <c r="P801" s="99">
        <f t="shared" si="134"/>
        <v>2.8268551236749116E-2</v>
      </c>
      <c r="Q801" s="99">
        <f t="shared" si="143"/>
        <v>-3.9247182533659684E-2</v>
      </c>
      <c r="S801" s="7">
        <f t="shared" si="135"/>
        <v>16005000.000000002</v>
      </c>
      <c r="T801" s="7">
        <f t="shared" si="136"/>
        <v>4850000</v>
      </c>
      <c r="U801" s="7">
        <f t="shared" si="137"/>
        <v>8730000</v>
      </c>
      <c r="V801" s="7">
        <f t="shared" si="138"/>
        <v>0</v>
      </c>
      <c r="W801" s="7">
        <f t="shared" si="139"/>
        <v>0</v>
      </c>
      <c r="X801" s="7">
        <f t="shared" si="140"/>
        <v>0</v>
      </c>
    </row>
    <row r="802" spans="1:24">
      <c r="A802">
        <v>801</v>
      </c>
      <c r="B802" s="96" t="s">
        <v>2802</v>
      </c>
      <c r="C802" s="95">
        <v>41321</v>
      </c>
      <c r="D802" s="82">
        <v>14300000</v>
      </c>
      <c r="E802" s="82">
        <v>14160000</v>
      </c>
      <c r="F802" s="82">
        <v>14430000</v>
      </c>
      <c r="G802" s="82">
        <v>14370000</v>
      </c>
      <c r="I802" s="82">
        <f>G802*1.1</f>
        <v>15807000.000000002</v>
      </c>
      <c r="J802" s="82">
        <f>G802/3</f>
        <v>4790000</v>
      </c>
      <c r="K802" s="7">
        <f>G1070</f>
        <v>8710000</v>
      </c>
      <c r="L802" s="7">
        <f>K802-I802</f>
        <v>-7097000.0000000019</v>
      </c>
      <c r="M802" s="7">
        <f t="shared" si="133"/>
        <v>598750</v>
      </c>
      <c r="N802" s="7">
        <f t="shared" si="142"/>
        <v>-6498250.0000000019</v>
      </c>
      <c r="O802" s="7">
        <f t="shared" si="141"/>
        <v>-180000</v>
      </c>
      <c r="P802" s="99">
        <f t="shared" si="134"/>
        <v>-1.2371134020618556E-2</v>
      </c>
      <c r="Q802" s="99">
        <f t="shared" si="143"/>
        <v>-2.2519703937779537E-2</v>
      </c>
      <c r="R802">
        <v>1</v>
      </c>
      <c r="S802" s="7">
        <f t="shared" si="135"/>
        <v>15807000.000000002</v>
      </c>
      <c r="T802" s="7">
        <f t="shared" si="136"/>
        <v>4790000</v>
      </c>
      <c r="U802" s="7">
        <f t="shared" si="137"/>
        <v>8710000</v>
      </c>
      <c r="V802" s="7">
        <f t="shared" si="138"/>
        <v>-7097000.0000000019</v>
      </c>
      <c r="W802" s="7">
        <f t="shared" si="139"/>
        <v>598750</v>
      </c>
      <c r="X802" s="7">
        <f t="shared" si="140"/>
        <v>-6498250.0000000019</v>
      </c>
    </row>
    <row r="803" spans="1:24">
      <c r="A803">
        <v>802</v>
      </c>
      <c r="B803" s="96" t="s">
        <v>2801</v>
      </c>
      <c r="C803" s="95">
        <v>41322</v>
      </c>
      <c r="D803" s="82">
        <v>14350000</v>
      </c>
      <c r="E803" s="82">
        <v>14110000</v>
      </c>
      <c r="F803" s="82">
        <v>14380000</v>
      </c>
      <c r="G803" s="82">
        <v>14110000</v>
      </c>
      <c r="I803" s="97">
        <v>0</v>
      </c>
      <c r="J803" s="97">
        <v>0</v>
      </c>
      <c r="K803" s="97">
        <v>0</v>
      </c>
      <c r="M803" s="7">
        <f t="shared" si="133"/>
        <v>0</v>
      </c>
      <c r="N803" s="7">
        <f t="shared" si="142"/>
        <v>0</v>
      </c>
      <c r="O803" s="7">
        <f t="shared" si="141"/>
        <v>-260000</v>
      </c>
      <c r="P803" s="99">
        <f t="shared" si="134"/>
        <v>-1.8093249826026444E-2</v>
      </c>
      <c r="Q803" s="99">
        <f t="shared" si="143"/>
        <v>-3.4890837958398091E-2</v>
      </c>
      <c r="S803" s="7">
        <f t="shared" si="135"/>
        <v>15521000.000000002</v>
      </c>
      <c r="T803" s="7">
        <f t="shared" si="136"/>
        <v>4703333.333333333</v>
      </c>
      <c r="U803" s="7">
        <f t="shared" si="137"/>
        <v>8710000</v>
      </c>
      <c r="V803" s="7">
        <f t="shared" si="138"/>
        <v>0</v>
      </c>
      <c r="W803" s="7">
        <f t="shared" si="139"/>
        <v>0</v>
      </c>
      <c r="X803" s="7">
        <f t="shared" si="140"/>
        <v>0</v>
      </c>
    </row>
    <row r="804" spans="1:24">
      <c r="A804">
        <v>803</v>
      </c>
      <c r="B804" s="96" t="s">
        <v>2800</v>
      </c>
      <c r="C804" s="95">
        <v>41323</v>
      </c>
      <c r="D804" s="82">
        <v>14150000</v>
      </c>
      <c r="E804" s="82">
        <v>14130000</v>
      </c>
      <c r="F804" s="82">
        <v>14330000</v>
      </c>
      <c r="G804" s="82">
        <v>14260000</v>
      </c>
      <c r="I804" s="97">
        <v>0</v>
      </c>
      <c r="J804" s="97">
        <v>0</v>
      </c>
      <c r="K804" s="97">
        <v>0</v>
      </c>
      <c r="M804" s="7">
        <f t="shared" si="133"/>
        <v>0</v>
      </c>
      <c r="N804" s="7">
        <f t="shared" si="142"/>
        <v>0</v>
      </c>
      <c r="O804" s="7">
        <f t="shared" si="141"/>
        <v>150000</v>
      </c>
      <c r="P804" s="99">
        <f t="shared" si="134"/>
        <v>1.0630758327427357E-2</v>
      </c>
      <c r="Q804" s="99">
        <f t="shared" si="143"/>
        <v>-1.6071336106572187E-2</v>
      </c>
      <c r="S804" s="7">
        <f t="shared" si="135"/>
        <v>15686000.000000002</v>
      </c>
      <c r="T804" s="7">
        <f t="shared" si="136"/>
        <v>4753333.333333333</v>
      </c>
      <c r="U804" s="7">
        <f t="shared" si="137"/>
        <v>8680000</v>
      </c>
      <c r="V804" s="7">
        <f t="shared" si="138"/>
        <v>0</v>
      </c>
      <c r="W804" s="7">
        <f t="shared" si="139"/>
        <v>0</v>
      </c>
      <c r="X804" s="7">
        <f t="shared" si="140"/>
        <v>0</v>
      </c>
    </row>
    <row r="805" spans="1:24">
      <c r="A805">
        <v>804</v>
      </c>
      <c r="B805" s="96" t="s">
        <v>2799</v>
      </c>
      <c r="C805" s="95">
        <v>41324</v>
      </c>
      <c r="D805" s="82">
        <v>14450000</v>
      </c>
      <c r="E805" s="82">
        <v>14290000</v>
      </c>
      <c r="F805" s="82">
        <v>14490000</v>
      </c>
      <c r="G805" s="82">
        <v>14290000</v>
      </c>
      <c r="I805" s="97">
        <v>0</v>
      </c>
      <c r="J805" s="97">
        <v>0</v>
      </c>
      <c r="K805" s="97">
        <v>0</v>
      </c>
      <c r="M805" s="7">
        <f t="shared" si="133"/>
        <v>0</v>
      </c>
      <c r="N805" s="7">
        <f t="shared" si="142"/>
        <v>0</v>
      </c>
      <c r="O805" s="7">
        <f t="shared" si="141"/>
        <v>30000</v>
      </c>
      <c r="P805" s="99">
        <f t="shared" si="134"/>
        <v>2.1037868162692847E-3</v>
      </c>
      <c r="Q805" s="99">
        <f t="shared" si="143"/>
        <v>1.1981025008311615E-2</v>
      </c>
      <c r="S805" s="7">
        <f t="shared" si="135"/>
        <v>15719000.000000002</v>
      </c>
      <c r="T805" s="7">
        <f t="shared" si="136"/>
        <v>4763333.333333333</v>
      </c>
      <c r="U805" s="7">
        <f t="shared" si="137"/>
        <v>8620000</v>
      </c>
      <c r="V805" s="7">
        <f t="shared" si="138"/>
        <v>0</v>
      </c>
      <c r="W805" s="7">
        <f t="shared" si="139"/>
        <v>0</v>
      </c>
      <c r="X805" s="7">
        <f t="shared" si="140"/>
        <v>0</v>
      </c>
    </row>
    <row r="806" spans="1:24">
      <c r="A806">
        <v>805</v>
      </c>
      <c r="B806" s="96" t="s">
        <v>2798</v>
      </c>
      <c r="C806" s="95">
        <v>41325</v>
      </c>
      <c r="D806" s="82">
        <v>14220000</v>
      </c>
      <c r="E806" s="82">
        <v>14050000</v>
      </c>
      <c r="F806" s="82">
        <v>14250000</v>
      </c>
      <c r="G806" s="82">
        <v>14130000</v>
      </c>
      <c r="I806" s="98">
        <v>0</v>
      </c>
      <c r="J806" s="98">
        <v>0</v>
      </c>
      <c r="K806" s="98">
        <v>0</v>
      </c>
      <c r="M806" s="7">
        <f t="shared" si="133"/>
        <v>0</v>
      </c>
      <c r="N806" s="7">
        <f t="shared" si="142"/>
        <v>0</v>
      </c>
      <c r="O806" s="7">
        <f t="shared" si="141"/>
        <v>-160000</v>
      </c>
      <c r="P806" s="99">
        <f t="shared" si="134"/>
        <v>-1.119664100769769E-2</v>
      </c>
      <c r="Q806" s="99">
        <f t="shared" si="143"/>
        <v>1.0538712533800759E-2</v>
      </c>
      <c r="S806" s="7">
        <f t="shared" si="135"/>
        <v>15543000.000000002</v>
      </c>
      <c r="T806" s="7">
        <f t="shared" si="136"/>
        <v>4710000</v>
      </c>
      <c r="U806" s="7">
        <f t="shared" si="137"/>
        <v>8560000</v>
      </c>
      <c r="V806" s="7">
        <f t="shared" si="138"/>
        <v>0</v>
      </c>
      <c r="W806" s="7">
        <f t="shared" si="139"/>
        <v>0</v>
      </c>
      <c r="X806" s="7">
        <f t="shared" si="140"/>
        <v>0</v>
      </c>
    </row>
    <row r="807" spans="1:24">
      <c r="A807">
        <v>806</v>
      </c>
      <c r="B807" s="96" t="s">
        <v>2797</v>
      </c>
      <c r="C807" s="95">
        <v>41326</v>
      </c>
      <c r="D807" s="82">
        <v>13880000</v>
      </c>
      <c r="E807" s="82">
        <v>13880000</v>
      </c>
      <c r="F807" s="82">
        <v>13980000</v>
      </c>
      <c r="G807" s="82">
        <v>13980000</v>
      </c>
      <c r="I807" s="82">
        <f>G807*1.1</f>
        <v>15378000.000000002</v>
      </c>
      <c r="J807" s="82">
        <f>G807/3</f>
        <v>4660000</v>
      </c>
      <c r="K807" s="7">
        <f>G1075</f>
        <v>8500000</v>
      </c>
      <c r="L807" s="7">
        <f>K807-I807</f>
        <v>-6878000.0000000019</v>
      </c>
      <c r="M807" s="7">
        <f t="shared" si="133"/>
        <v>582500</v>
      </c>
      <c r="N807" s="7">
        <f t="shared" si="142"/>
        <v>-6295500.0000000019</v>
      </c>
      <c r="O807" s="7">
        <f t="shared" si="141"/>
        <v>-150000</v>
      </c>
      <c r="P807" s="99">
        <f t="shared" si="134"/>
        <v>-1.0615711252653927E-2</v>
      </c>
      <c r="Q807" s="99">
        <f t="shared" si="143"/>
        <v>-2.892647971064605E-2</v>
      </c>
      <c r="R807">
        <v>1</v>
      </c>
      <c r="S807" s="7">
        <f t="shared" si="135"/>
        <v>15378000.000000002</v>
      </c>
      <c r="T807" s="7">
        <f t="shared" si="136"/>
        <v>4660000</v>
      </c>
      <c r="U807" s="7">
        <f t="shared" si="137"/>
        <v>8500000</v>
      </c>
      <c r="V807" s="7">
        <f t="shared" si="138"/>
        <v>-6878000.0000000019</v>
      </c>
      <c r="W807" s="7">
        <f t="shared" si="139"/>
        <v>582500</v>
      </c>
      <c r="X807" s="7">
        <f t="shared" si="140"/>
        <v>-6295500.0000000019</v>
      </c>
    </row>
    <row r="808" spans="1:24">
      <c r="A808">
        <v>807</v>
      </c>
      <c r="B808" s="96" t="s">
        <v>2796</v>
      </c>
      <c r="C808" s="95">
        <v>41328</v>
      </c>
      <c r="D808" s="82">
        <v>14170000</v>
      </c>
      <c r="E808" s="82">
        <v>13970000</v>
      </c>
      <c r="F808" s="82">
        <v>14200000</v>
      </c>
      <c r="G808" s="82">
        <v>13980000</v>
      </c>
      <c r="I808" s="97">
        <v>0</v>
      </c>
      <c r="J808" s="97">
        <v>0</v>
      </c>
      <c r="K808" s="97">
        <v>0</v>
      </c>
      <c r="M808" s="7">
        <f t="shared" si="133"/>
        <v>0</v>
      </c>
      <c r="N808" s="7">
        <f t="shared" si="142"/>
        <v>0</v>
      </c>
      <c r="O808" s="7">
        <f t="shared" si="141"/>
        <v>0</v>
      </c>
      <c r="P808" s="99">
        <f t="shared" si="134"/>
        <v>0</v>
      </c>
      <c r="Q808" s="99">
        <f t="shared" si="143"/>
        <v>-2.7171056942681418E-2</v>
      </c>
      <c r="S808" s="7">
        <f t="shared" si="135"/>
        <v>15378000.000000002</v>
      </c>
      <c r="T808" s="7">
        <f t="shared" si="136"/>
        <v>4660000</v>
      </c>
      <c r="U808" s="7">
        <f t="shared" si="137"/>
        <v>8590000</v>
      </c>
      <c r="V808" s="7">
        <f t="shared" si="138"/>
        <v>0</v>
      </c>
      <c r="W808" s="7">
        <f t="shared" si="139"/>
        <v>0</v>
      </c>
      <c r="X808" s="7">
        <f t="shared" si="140"/>
        <v>0</v>
      </c>
    </row>
    <row r="809" spans="1:24">
      <c r="A809">
        <v>808</v>
      </c>
      <c r="B809" s="96" t="s">
        <v>2795</v>
      </c>
      <c r="C809" s="95">
        <v>41329</v>
      </c>
      <c r="D809" s="82">
        <v>14020000</v>
      </c>
      <c r="E809" s="82">
        <v>13930000</v>
      </c>
      <c r="F809" s="82">
        <v>14090000</v>
      </c>
      <c r="G809" s="82">
        <v>14080000</v>
      </c>
      <c r="I809" s="97">
        <v>0</v>
      </c>
      <c r="J809" s="97">
        <v>0</v>
      </c>
      <c r="K809" s="97">
        <v>0</v>
      </c>
      <c r="M809" s="7">
        <f t="shared" si="133"/>
        <v>0</v>
      </c>
      <c r="N809" s="7">
        <f t="shared" si="142"/>
        <v>0</v>
      </c>
      <c r="O809" s="7">
        <f t="shared" si="141"/>
        <v>100000</v>
      </c>
      <c r="P809" s="99">
        <f t="shared" si="134"/>
        <v>7.1530758226037196E-3</v>
      </c>
      <c r="Q809" s="99">
        <f t="shared" si="143"/>
        <v>-9.0778071166549758E-3</v>
      </c>
      <c r="S809" s="7">
        <f t="shared" si="135"/>
        <v>15488000.000000002</v>
      </c>
      <c r="T809" s="7">
        <f t="shared" si="136"/>
        <v>4693333.333333333</v>
      </c>
      <c r="U809" s="7">
        <f t="shared" si="137"/>
        <v>8640000</v>
      </c>
      <c r="V809" s="7">
        <f t="shared" si="138"/>
        <v>0</v>
      </c>
      <c r="W809" s="7">
        <f t="shared" si="139"/>
        <v>0</v>
      </c>
      <c r="X809" s="7">
        <f t="shared" si="140"/>
        <v>0</v>
      </c>
    </row>
    <row r="810" spans="1:24">
      <c r="A810">
        <v>809</v>
      </c>
      <c r="B810" s="96" t="s">
        <v>2794</v>
      </c>
      <c r="C810" s="95">
        <v>41330</v>
      </c>
      <c r="D810" s="82">
        <v>14250000</v>
      </c>
      <c r="E810" s="82">
        <v>14250000</v>
      </c>
      <c r="F810" s="82">
        <v>14450000</v>
      </c>
      <c r="G810" s="82">
        <v>14420000</v>
      </c>
      <c r="I810" s="97">
        <v>0</v>
      </c>
      <c r="J810" s="97">
        <v>0</v>
      </c>
      <c r="K810" s="97">
        <v>0</v>
      </c>
      <c r="M810" s="7">
        <f t="shared" si="133"/>
        <v>0</v>
      </c>
      <c r="N810" s="7">
        <f t="shared" si="142"/>
        <v>0</v>
      </c>
      <c r="O810" s="7">
        <f t="shared" si="141"/>
        <v>340000</v>
      </c>
      <c r="P810" s="99">
        <f t="shared" si="134"/>
        <v>2.4147727272727272E-2</v>
      </c>
      <c r="Q810" s="99">
        <f t="shared" si="143"/>
        <v>-1.2555489621478611E-2</v>
      </c>
      <c r="S810" s="7">
        <f t="shared" si="135"/>
        <v>15862000.000000002</v>
      </c>
      <c r="T810" s="7">
        <f t="shared" si="136"/>
        <v>4806666.666666667</v>
      </c>
      <c r="U810" s="7">
        <f t="shared" si="137"/>
        <v>8680000</v>
      </c>
      <c r="V810" s="7">
        <f t="shared" si="138"/>
        <v>0</v>
      </c>
      <c r="W810" s="7">
        <f t="shared" si="139"/>
        <v>0</v>
      </c>
      <c r="X810" s="7">
        <f t="shared" si="140"/>
        <v>0</v>
      </c>
    </row>
    <row r="811" spans="1:24">
      <c r="A811">
        <v>810</v>
      </c>
      <c r="B811" s="96" t="s">
        <v>2793</v>
      </c>
      <c r="C811" s="95">
        <v>41331</v>
      </c>
      <c r="D811" s="82">
        <v>14590000</v>
      </c>
      <c r="E811" s="82">
        <v>14570000</v>
      </c>
      <c r="F811" s="82">
        <v>14950000</v>
      </c>
      <c r="G811" s="82">
        <v>14900000</v>
      </c>
      <c r="I811" s="98">
        <v>0</v>
      </c>
      <c r="J811" s="98">
        <v>0</v>
      </c>
      <c r="K811" s="98">
        <v>0</v>
      </c>
      <c r="M811" s="7">
        <f t="shared" si="133"/>
        <v>0</v>
      </c>
      <c r="N811" s="7">
        <f t="shared" si="142"/>
        <v>0</v>
      </c>
      <c r="O811" s="7">
        <f t="shared" si="141"/>
        <v>480000</v>
      </c>
      <c r="P811" s="99">
        <f t="shared" si="134"/>
        <v>3.3287101248266296E-2</v>
      </c>
      <c r="Q811" s="99">
        <f t="shared" si="143"/>
        <v>9.4884508349793763E-3</v>
      </c>
      <c r="S811" s="7">
        <f t="shared" si="135"/>
        <v>16390000.000000002</v>
      </c>
      <c r="T811" s="7">
        <f t="shared" si="136"/>
        <v>4966666.666666667</v>
      </c>
      <c r="U811" s="7">
        <f t="shared" si="137"/>
        <v>8785000</v>
      </c>
      <c r="V811" s="7">
        <f t="shared" si="138"/>
        <v>0</v>
      </c>
      <c r="W811" s="7">
        <f t="shared" si="139"/>
        <v>0</v>
      </c>
      <c r="X811" s="7">
        <f t="shared" si="140"/>
        <v>0</v>
      </c>
    </row>
    <row r="812" spans="1:24">
      <c r="A812">
        <v>811</v>
      </c>
      <c r="B812" s="96" t="s">
        <v>2792</v>
      </c>
      <c r="C812" s="95">
        <v>41332</v>
      </c>
      <c r="D812" s="82">
        <v>15000000</v>
      </c>
      <c r="E812" s="82">
        <v>14450000</v>
      </c>
      <c r="F812" s="82">
        <v>15000000</v>
      </c>
      <c r="G812" s="82">
        <v>14620000</v>
      </c>
      <c r="I812" s="82">
        <f>G812*1.1</f>
        <v>16082000.000000002</v>
      </c>
      <c r="J812" s="82">
        <f>G812/3</f>
        <v>4873333.333333333</v>
      </c>
      <c r="K812" s="7">
        <f>G1080</f>
        <v>8763000</v>
      </c>
      <c r="L812" s="7">
        <f>K812-I812</f>
        <v>-7319000.0000000019</v>
      </c>
      <c r="M812" s="7">
        <f t="shared" si="133"/>
        <v>609166.66666666663</v>
      </c>
      <c r="N812" s="7">
        <f t="shared" si="142"/>
        <v>-6709833.3333333349</v>
      </c>
      <c r="O812" s="7">
        <f t="shared" si="141"/>
        <v>-280000</v>
      </c>
      <c r="P812" s="99">
        <f t="shared" si="134"/>
        <v>-1.8791946308724831E-2</v>
      </c>
      <c r="Q812" s="99">
        <f t="shared" si="143"/>
        <v>5.3972193090943359E-2</v>
      </c>
      <c r="R812">
        <v>1</v>
      </c>
      <c r="S812" s="7">
        <f t="shared" si="135"/>
        <v>16082000.000000002</v>
      </c>
      <c r="T812" s="7">
        <f t="shared" si="136"/>
        <v>4873333.333333333</v>
      </c>
      <c r="U812" s="7">
        <f t="shared" si="137"/>
        <v>8763000</v>
      </c>
      <c r="V812" s="7">
        <f t="shared" si="138"/>
        <v>-7319000.0000000019</v>
      </c>
      <c r="W812" s="7">
        <f t="shared" si="139"/>
        <v>609166.66666666663</v>
      </c>
      <c r="X812" s="7">
        <f t="shared" si="140"/>
        <v>-6709833.3333333349</v>
      </c>
    </row>
    <row r="813" spans="1:24">
      <c r="A813">
        <v>812</v>
      </c>
      <c r="B813" s="96" t="s">
        <v>2791</v>
      </c>
      <c r="C813" s="95">
        <v>41333</v>
      </c>
      <c r="D813" s="82">
        <v>14450000</v>
      </c>
      <c r="E813" s="82">
        <v>14440000</v>
      </c>
      <c r="F813" s="82">
        <v>14560000</v>
      </c>
      <c r="G813" s="82">
        <v>14450000</v>
      </c>
      <c r="I813" s="97">
        <v>0</v>
      </c>
      <c r="J813" s="97">
        <v>0</v>
      </c>
      <c r="K813" s="97">
        <v>0</v>
      </c>
      <c r="M813" s="7">
        <f t="shared" si="133"/>
        <v>0</v>
      </c>
      <c r="N813" s="7">
        <f t="shared" si="142"/>
        <v>0</v>
      </c>
      <c r="O813" s="7">
        <f t="shared" si="141"/>
        <v>-170000</v>
      </c>
      <c r="P813" s="99">
        <f t="shared" si="134"/>
        <v>-1.1627906976744186E-2</v>
      </c>
      <c r="Q813" s="99">
        <f t="shared" si="143"/>
        <v>4.5795958034872464E-2</v>
      </c>
      <c r="S813" s="7">
        <f t="shared" si="135"/>
        <v>15895000.000000002</v>
      </c>
      <c r="T813" s="7">
        <f t="shared" si="136"/>
        <v>4816666.666666667</v>
      </c>
      <c r="U813" s="7">
        <f t="shared" si="137"/>
        <v>8746000</v>
      </c>
      <c r="V813" s="7">
        <f t="shared" si="138"/>
        <v>0</v>
      </c>
      <c r="W813" s="7">
        <f t="shared" si="139"/>
        <v>0</v>
      </c>
      <c r="X813" s="7">
        <f t="shared" si="140"/>
        <v>0</v>
      </c>
    </row>
    <row r="814" spans="1:24">
      <c r="A814">
        <v>813</v>
      </c>
      <c r="B814" s="96" t="s">
        <v>2790</v>
      </c>
      <c r="C814" s="95">
        <v>41335</v>
      </c>
      <c r="D814" s="82">
        <v>14350000</v>
      </c>
      <c r="E814" s="82">
        <v>13950000</v>
      </c>
      <c r="F814" s="82">
        <v>14360000</v>
      </c>
      <c r="G814" s="82">
        <v>13950000</v>
      </c>
      <c r="I814" s="97">
        <v>0</v>
      </c>
      <c r="J814" s="97">
        <v>0</v>
      </c>
      <c r="K814" s="97">
        <v>0</v>
      </c>
      <c r="M814" s="7">
        <f t="shared" si="133"/>
        <v>0</v>
      </c>
      <c r="N814" s="7">
        <f t="shared" si="142"/>
        <v>0</v>
      </c>
      <c r="O814" s="7">
        <f t="shared" si="141"/>
        <v>-500000</v>
      </c>
      <c r="P814" s="99">
        <f t="shared" si="134"/>
        <v>-3.4602076124567477E-2</v>
      </c>
      <c r="Q814" s="99">
        <f t="shared" si="143"/>
        <v>3.4168051058128278E-2</v>
      </c>
      <c r="S814" s="7">
        <f t="shared" si="135"/>
        <v>15345000.000000002</v>
      </c>
      <c r="T814" s="7">
        <f t="shared" si="136"/>
        <v>4650000</v>
      </c>
      <c r="U814" s="7">
        <f t="shared" si="137"/>
        <v>8745000</v>
      </c>
      <c r="V814" s="7">
        <f t="shared" si="138"/>
        <v>0</v>
      </c>
      <c r="W814" s="7">
        <f t="shared" si="139"/>
        <v>0</v>
      </c>
      <c r="X814" s="7">
        <f t="shared" si="140"/>
        <v>0</v>
      </c>
    </row>
    <row r="815" spans="1:24">
      <c r="A815">
        <v>814</v>
      </c>
      <c r="B815" s="96" t="s">
        <v>2789</v>
      </c>
      <c r="C815" s="95">
        <v>41336</v>
      </c>
      <c r="D815" s="82">
        <v>13800000</v>
      </c>
      <c r="E815" s="82">
        <v>13580000</v>
      </c>
      <c r="F815" s="82">
        <v>13900000</v>
      </c>
      <c r="G815" s="82">
        <v>13800000</v>
      </c>
      <c r="I815" s="97">
        <v>0</v>
      </c>
      <c r="J815" s="97">
        <v>0</v>
      </c>
      <c r="K815" s="97">
        <v>0</v>
      </c>
      <c r="M815" s="7">
        <f t="shared" si="133"/>
        <v>0</v>
      </c>
      <c r="N815" s="7">
        <f t="shared" si="142"/>
        <v>0</v>
      </c>
      <c r="O815" s="7">
        <f t="shared" si="141"/>
        <v>-150000</v>
      </c>
      <c r="P815" s="99">
        <f t="shared" si="134"/>
        <v>-1.0752688172043012E-2</v>
      </c>
      <c r="Q815" s="99">
        <f t="shared" si="143"/>
        <v>-7.587100889042929E-3</v>
      </c>
      <c r="S815" s="7">
        <f t="shared" si="135"/>
        <v>15180000.000000002</v>
      </c>
      <c r="T815" s="7">
        <f t="shared" si="136"/>
        <v>4600000</v>
      </c>
      <c r="U815" s="7">
        <f t="shared" si="137"/>
        <v>8755000</v>
      </c>
      <c r="V815" s="7">
        <f t="shared" si="138"/>
        <v>0</v>
      </c>
      <c r="W815" s="7">
        <f t="shared" si="139"/>
        <v>0</v>
      </c>
      <c r="X815" s="7">
        <f t="shared" si="140"/>
        <v>0</v>
      </c>
    </row>
    <row r="816" spans="1:24">
      <c r="A816">
        <v>815</v>
      </c>
      <c r="B816" s="96" t="s">
        <v>2788</v>
      </c>
      <c r="C816" s="95">
        <v>41337</v>
      </c>
      <c r="D816" s="82">
        <v>13300000</v>
      </c>
      <c r="E816" s="82">
        <v>12800000</v>
      </c>
      <c r="F816" s="82">
        <v>13300000</v>
      </c>
      <c r="G816" s="82">
        <v>13160000</v>
      </c>
      <c r="I816" s="98">
        <v>0</v>
      </c>
      <c r="J816" s="98">
        <v>0</v>
      </c>
      <c r="K816" s="98">
        <v>0</v>
      </c>
      <c r="M816" s="7">
        <f t="shared" si="133"/>
        <v>0</v>
      </c>
      <c r="N816" s="7">
        <f t="shared" si="142"/>
        <v>0</v>
      </c>
      <c r="O816" s="7">
        <f t="shared" si="141"/>
        <v>-640000</v>
      </c>
      <c r="P816" s="99">
        <f t="shared" si="134"/>
        <v>-4.6376811594202899E-2</v>
      </c>
      <c r="Q816" s="99">
        <f t="shared" si="143"/>
        <v>-4.2487516333813216E-2</v>
      </c>
      <c r="S816" s="7">
        <f t="shared" si="135"/>
        <v>14476000.000000002</v>
      </c>
      <c r="T816" s="7">
        <f t="shared" si="136"/>
        <v>4386666.666666667</v>
      </c>
      <c r="U816" s="7">
        <f t="shared" si="137"/>
        <v>8685000</v>
      </c>
      <c r="V816" s="7">
        <f t="shared" si="138"/>
        <v>0</v>
      </c>
      <c r="W816" s="7">
        <f t="shared" si="139"/>
        <v>0</v>
      </c>
      <c r="X816" s="7">
        <f t="shared" si="140"/>
        <v>0</v>
      </c>
    </row>
    <row r="817" spans="1:24">
      <c r="A817">
        <v>816</v>
      </c>
      <c r="B817" s="96" t="s">
        <v>2787</v>
      </c>
      <c r="C817" s="95">
        <v>41338</v>
      </c>
      <c r="D817" s="82">
        <v>13360000</v>
      </c>
      <c r="E817" s="82">
        <v>13250000</v>
      </c>
      <c r="F817" s="82">
        <v>13750000</v>
      </c>
      <c r="G817" s="82">
        <v>13620000</v>
      </c>
      <c r="I817" s="82">
        <f>G817*1.1</f>
        <v>14982000.000000002</v>
      </c>
      <c r="J817" s="82">
        <f>G817/3</f>
        <v>4540000</v>
      </c>
      <c r="K817" s="7">
        <f>G1085</f>
        <v>8682000</v>
      </c>
      <c r="L817" s="7">
        <f>K817-I817</f>
        <v>-6300000.0000000019</v>
      </c>
      <c r="M817" s="7">
        <f t="shared" si="133"/>
        <v>567500</v>
      </c>
      <c r="N817" s="7">
        <f t="shared" si="142"/>
        <v>-5732500.0000000019</v>
      </c>
      <c r="O817" s="7">
        <f t="shared" si="141"/>
        <v>460000</v>
      </c>
      <c r="P817" s="99">
        <f t="shared" si="134"/>
        <v>3.4954407294832825E-2</v>
      </c>
      <c r="Q817" s="99">
        <f t="shared" si="143"/>
        <v>-0.12215142917628241</v>
      </c>
      <c r="R817">
        <v>1</v>
      </c>
      <c r="S817" s="7">
        <f t="shared" si="135"/>
        <v>14982000.000000002</v>
      </c>
      <c r="T817" s="7">
        <f t="shared" si="136"/>
        <v>4540000</v>
      </c>
      <c r="U817" s="7">
        <f t="shared" si="137"/>
        <v>8682000</v>
      </c>
      <c r="V817" s="7">
        <f t="shared" si="138"/>
        <v>-6300000.0000000019</v>
      </c>
      <c r="W817" s="7">
        <f t="shared" si="139"/>
        <v>567500</v>
      </c>
      <c r="X817" s="7">
        <f t="shared" si="140"/>
        <v>-5732500.0000000019</v>
      </c>
    </row>
    <row r="818" spans="1:24">
      <c r="A818">
        <v>817</v>
      </c>
      <c r="B818" s="96" t="s">
        <v>2786</v>
      </c>
      <c r="C818" s="95">
        <v>41339</v>
      </c>
      <c r="D818" s="82">
        <v>13850000</v>
      </c>
      <c r="E818" s="82">
        <v>13780000</v>
      </c>
      <c r="F818" s="82">
        <v>14210000</v>
      </c>
      <c r="G818" s="82">
        <v>14180000</v>
      </c>
      <c r="I818" s="97">
        <v>0</v>
      </c>
      <c r="J818" s="97">
        <v>0</v>
      </c>
      <c r="K818" s="97">
        <v>0</v>
      </c>
      <c r="M818" s="7">
        <f t="shared" si="133"/>
        <v>0</v>
      </c>
      <c r="N818" s="7">
        <f t="shared" si="142"/>
        <v>0</v>
      </c>
      <c r="O818" s="7">
        <f t="shared" si="141"/>
        <v>560000</v>
      </c>
      <c r="P818" s="99">
        <f t="shared" si="134"/>
        <v>4.1116005873715125E-2</v>
      </c>
      <c r="Q818" s="99">
        <f t="shared" si="143"/>
        <v>-6.8405075572724738E-2</v>
      </c>
      <c r="S818" s="7">
        <f t="shared" si="135"/>
        <v>15598000.000000002</v>
      </c>
      <c r="T818" s="7">
        <f t="shared" si="136"/>
        <v>4726666.666666667</v>
      </c>
      <c r="U818" s="7">
        <f t="shared" si="137"/>
        <v>8703000</v>
      </c>
      <c r="V818" s="7">
        <f t="shared" si="138"/>
        <v>0</v>
      </c>
      <c r="W818" s="7">
        <f t="shared" si="139"/>
        <v>0</v>
      </c>
      <c r="X818" s="7">
        <f t="shared" si="140"/>
        <v>0</v>
      </c>
    </row>
    <row r="819" spans="1:24">
      <c r="A819">
        <v>818</v>
      </c>
      <c r="B819" s="96" t="s">
        <v>2785</v>
      </c>
      <c r="C819" s="95">
        <v>41340</v>
      </c>
      <c r="D819" s="82">
        <v>14350000</v>
      </c>
      <c r="E819" s="82">
        <v>13950000</v>
      </c>
      <c r="F819" s="82">
        <v>14350000</v>
      </c>
      <c r="G819" s="82">
        <v>14050000</v>
      </c>
      <c r="I819" s="97">
        <v>0</v>
      </c>
      <c r="J819" s="97">
        <v>0</v>
      </c>
      <c r="K819" s="97">
        <v>0</v>
      </c>
      <c r="M819" s="7">
        <f t="shared" si="133"/>
        <v>0</v>
      </c>
      <c r="N819" s="7">
        <f t="shared" si="142"/>
        <v>0</v>
      </c>
      <c r="O819" s="7">
        <f t="shared" si="141"/>
        <v>-130000</v>
      </c>
      <c r="P819" s="99">
        <f t="shared" si="134"/>
        <v>-9.1678420310296188E-3</v>
      </c>
      <c r="Q819" s="99">
        <f t="shared" si="143"/>
        <v>-1.5661162722265441E-2</v>
      </c>
      <c r="S819" s="7">
        <f t="shared" si="135"/>
        <v>15455000.000000002</v>
      </c>
      <c r="T819" s="7">
        <f t="shared" si="136"/>
        <v>4683333.333333333</v>
      </c>
      <c r="U819" s="7">
        <f t="shared" si="137"/>
        <v>8735000</v>
      </c>
      <c r="V819" s="7">
        <f t="shared" si="138"/>
        <v>0</v>
      </c>
      <c r="W819" s="7">
        <f t="shared" si="139"/>
        <v>0</v>
      </c>
      <c r="X819" s="7">
        <f t="shared" si="140"/>
        <v>0</v>
      </c>
    </row>
    <row r="820" spans="1:24">
      <c r="A820">
        <v>819</v>
      </c>
      <c r="B820" s="96" t="s">
        <v>2784</v>
      </c>
      <c r="C820" s="95">
        <v>41342</v>
      </c>
      <c r="D820" s="82">
        <v>13900000</v>
      </c>
      <c r="E820" s="82">
        <v>13700000</v>
      </c>
      <c r="F820" s="82">
        <v>13940000</v>
      </c>
      <c r="G820" s="82">
        <v>13730000</v>
      </c>
      <c r="I820" s="97">
        <v>0</v>
      </c>
      <c r="J820" s="97">
        <v>0</v>
      </c>
      <c r="K820" s="97">
        <v>0</v>
      </c>
      <c r="M820" s="7">
        <f t="shared" si="133"/>
        <v>0</v>
      </c>
      <c r="N820" s="7">
        <f t="shared" si="142"/>
        <v>0</v>
      </c>
      <c r="O820" s="7">
        <f t="shared" si="141"/>
        <v>-320000</v>
      </c>
      <c r="P820" s="99">
        <f t="shared" si="134"/>
        <v>-2.2775800711743774E-2</v>
      </c>
      <c r="Q820" s="99">
        <f t="shared" si="143"/>
        <v>9.7730713712724168E-3</v>
      </c>
      <c r="S820" s="7">
        <f t="shared" si="135"/>
        <v>15103000.000000002</v>
      </c>
      <c r="T820" s="7">
        <f t="shared" si="136"/>
        <v>4576666.666666667</v>
      </c>
      <c r="U820" s="7">
        <f t="shared" si="137"/>
        <v>8762000</v>
      </c>
      <c r="V820" s="7">
        <f t="shared" si="138"/>
        <v>0</v>
      </c>
      <c r="W820" s="7">
        <f t="shared" si="139"/>
        <v>0</v>
      </c>
      <c r="X820" s="7">
        <f t="shared" si="140"/>
        <v>0</v>
      </c>
    </row>
    <row r="821" spans="1:24">
      <c r="A821">
        <v>820</v>
      </c>
      <c r="B821" s="96" t="s">
        <v>2783</v>
      </c>
      <c r="C821" s="95">
        <v>41343</v>
      </c>
      <c r="D821" s="82">
        <v>13540000</v>
      </c>
      <c r="E821" s="82">
        <v>13540000</v>
      </c>
      <c r="F821" s="82">
        <v>13830000</v>
      </c>
      <c r="G821" s="82">
        <v>13820000</v>
      </c>
      <c r="I821" s="98">
        <v>0</v>
      </c>
      <c r="J821" s="98">
        <v>0</v>
      </c>
      <c r="K821" s="98">
        <v>0</v>
      </c>
      <c r="M821" s="7">
        <f t="shared" si="133"/>
        <v>0</v>
      </c>
      <c r="N821" s="7">
        <f t="shared" si="142"/>
        <v>0</v>
      </c>
      <c r="O821" s="7">
        <f t="shared" si="141"/>
        <v>90000</v>
      </c>
      <c r="P821" s="99">
        <f t="shared" si="134"/>
        <v>6.5549890750182084E-3</v>
      </c>
      <c r="Q821" s="99">
        <f t="shared" si="143"/>
        <v>-2.250041168428342E-3</v>
      </c>
      <c r="S821" s="7">
        <f t="shared" si="135"/>
        <v>15202000.000000002</v>
      </c>
      <c r="T821" s="7">
        <f t="shared" si="136"/>
        <v>4606666.666666667</v>
      </c>
      <c r="U821" s="7">
        <f t="shared" si="137"/>
        <v>8753000</v>
      </c>
      <c r="V821" s="7">
        <f t="shared" si="138"/>
        <v>0</v>
      </c>
      <c r="W821" s="7">
        <f t="shared" si="139"/>
        <v>0</v>
      </c>
      <c r="X821" s="7">
        <f t="shared" si="140"/>
        <v>0</v>
      </c>
    </row>
    <row r="822" spans="1:24">
      <c r="A822">
        <v>821</v>
      </c>
      <c r="B822" s="96" t="s">
        <v>2782</v>
      </c>
      <c r="C822" s="95">
        <v>41344</v>
      </c>
      <c r="D822" s="82">
        <v>13930000</v>
      </c>
      <c r="E822" s="82">
        <v>13770000</v>
      </c>
      <c r="F822" s="82">
        <v>14050000</v>
      </c>
      <c r="G822" s="82">
        <v>13850000</v>
      </c>
      <c r="I822" s="82">
        <f>G822*1.1</f>
        <v>15235000.000000002</v>
      </c>
      <c r="J822" s="82">
        <f>G822/3</f>
        <v>4616666.666666667</v>
      </c>
      <c r="K822" s="7">
        <f>G1090</f>
        <v>8771000</v>
      </c>
      <c r="L822" s="7">
        <f>K822-I822</f>
        <v>-6464000.0000000019</v>
      </c>
      <c r="M822" s="7">
        <f t="shared" si="133"/>
        <v>577083.33333333337</v>
      </c>
      <c r="N822" s="7">
        <f t="shared" si="142"/>
        <v>-5886916.6666666688</v>
      </c>
      <c r="O822" s="7">
        <f t="shared" si="141"/>
        <v>30000</v>
      </c>
      <c r="P822" s="99">
        <f t="shared" si="134"/>
        <v>2.1707670043415342E-3</v>
      </c>
      <c r="Q822" s="99">
        <f t="shared" si="143"/>
        <v>5.0681759500792775E-2</v>
      </c>
      <c r="R822">
        <v>1</v>
      </c>
      <c r="S822" s="7">
        <f t="shared" si="135"/>
        <v>15235000.000000002</v>
      </c>
      <c r="T822" s="7">
        <f t="shared" si="136"/>
        <v>4616666.666666667</v>
      </c>
      <c r="U822" s="7">
        <f t="shared" si="137"/>
        <v>8771000</v>
      </c>
      <c r="V822" s="7">
        <f t="shared" si="138"/>
        <v>-6464000.0000000019</v>
      </c>
      <c r="W822" s="7">
        <f t="shared" si="139"/>
        <v>577083.33333333337</v>
      </c>
      <c r="X822" s="7">
        <f t="shared" si="140"/>
        <v>-5886916.6666666688</v>
      </c>
    </row>
    <row r="823" spans="1:24">
      <c r="A823">
        <v>822</v>
      </c>
      <c r="B823" s="96" t="s">
        <v>2781</v>
      </c>
      <c r="C823" s="95">
        <v>41345</v>
      </c>
      <c r="D823" s="82">
        <v>13820000</v>
      </c>
      <c r="E823" s="82">
        <v>13740000</v>
      </c>
      <c r="F823" s="82">
        <v>13840000</v>
      </c>
      <c r="G823" s="82">
        <v>13770000</v>
      </c>
      <c r="I823" s="97">
        <v>0</v>
      </c>
      <c r="J823" s="97">
        <v>0</v>
      </c>
      <c r="K823" s="97">
        <v>0</v>
      </c>
      <c r="M823" s="7">
        <f t="shared" si="133"/>
        <v>0</v>
      </c>
      <c r="N823" s="7">
        <f t="shared" si="142"/>
        <v>0</v>
      </c>
      <c r="O823" s="7">
        <f t="shared" si="141"/>
        <v>-80000</v>
      </c>
      <c r="P823" s="99">
        <f t="shared" si="134"/>
        <v>-5.7761732851985556E-3</v>
      </c>
      <c r="Q823" s="99">
        <f t="shared" si="143"/>
        <v>1.7898119210301475E-2</v>
      </c>
      <c r="S823" s="7">
        <f t="shared" si="135"/>
        <v>15147000.000000002</v>
      </c>
      <c r="T823" s="7">
        <f t="shared" si="136"/>
        <v>4590000</v>
      </c>
      <c r="U823" s="7">
        <f t="shared" si="137"/>
        <v>8790000</v>
      </c>
      <c r="V823" s="7">
        <f t="shared" si="138"/>
        <v>0</v>
      </c>
      <c r="W823" s="7">
        <f t="shared" si="139"/>
        <v>0</v>
      </c>
      <c r="X823" s="7">
        <f t="shared" si="140"/>
        <v>0</v>
      </c>
    </row>
    <row r="824" spans="1:24">
      <c r="A824">
        <v>823</v>
      </c>
      <c r="B824" s="96" t="s">
        <v>2780</v>
      </c>
      <c r="C824" s="95">
        <v>41346</v>
      </c>
      <c r="D824" s="82">
        <v>13600000</v>
      </c>
      <c r="E824" s="82">
        <v>13560000</v>
      </c>
      <c r="F824" s="82">
        <v>13780000</v>
      </c>
      <c r="G824" s="82">
        <v>13710000</v>
      </c>
      <c r="I824" s="97">
        <v>0</v>
      </c>
      <c r="J824" s="97">
        <v>0</v>
      </c>
      <c r="K824" s="97">
        <v>0</v>
      </c>
      <c r="M824" s="7">
        <f t="shared" si="133"/>
        <v>0</v>
      </c>
      <c r="N824" s="7">
        <f t="shared" si="142"/>
        <v>0</v>
      </c>
      <c r="O824" s="7">
        <f t="shared" si="141"/>
        <v>-60000</v>
      </c>
      <c r="P824" s="99">
        <f t="shared" si="134"/>
        <v>-4.3572984749455342E-3</v>
      </c>
      <c r="Q824" s="99">
        <f t="shared" si="143"/>
        <v>-2.8994059948612205E-2</v>
      </c>
      <c r="S824" s="7">
        <f t="shared" si="135"/>
        <v>15081000.000000002</v>
      </c>
      <c r="T824" s="7">
        <f t="shared" si="136"/>
        <v>4570000</v>
      </c>
      <c r="U824" s="7">
        <f t="shared" si="137"/>
        <v>8827000</v>
      </c>
      <c r="V824" s="7">
        <f t="shared" si="138"/>
        <v>0</v>
      </c>
      <c r="W824" s="7">
        <f t="shared" si="139"/>
        <v>0</v>
      </c>
      <c r="X824" s="7">
        <f t="shared" si="140"/>
        <v>0</v>
      </c>
    </row>
    <row r="825" spans="1:24">
      <c r="A825">
        <v>824</v>
      </c>
      <c r="B825" s="96" t="s">
        <v>2779</v>
      </c>
      <c r="C825" s="95">
        <v>41347</v>
      </c>
      <c r="D825" s="82">
        <v>13560000</v>
      </c>
      <c r="E825" s="82">
        <v>13440000</v>
      </c>
      <c r="F825" s="82">
        <v>13600000</v>
      </c>
      <c r="G825" s="82">
        <v>13440000</v>
      </c>
      <c r="I825" s="97">
        <v>0</v>
      </c>
      <c r="J825" s="97">
        <v>0</v>
      </c>
      <c r="K825" s="97">
        <v>0</v>
      </c>
      <c r="M825" s="7">
        <f t="shared" si="133"/>
        <v>0</v>
      </c>
      <c r="N825" s="7">
        <f t="shared" si="142"/>
        <v>0</v>
      </c>
      <c r="O825" s="7">
        <f t="shared" si="141"/>
        <v>-270000</v>
      </c>
      <c r="P825" s="99">
        <f t="shared" si="134"/>
        <v>-1.9693654266958426E-2</v>
      </c>
      <c r="Q825" s="99">
        <f t="shared" si="143"/>
        <v>-2.418351639252812E-2</v>
      </c>
      <c r="S825" s="7">
        <f t="shared" si="135"/>
        <v>14784000.000000002</v>
      </c>
      <c r="T825" s="7">
        <f t="shared" si="136"/>
        <v>4480000</v>
      </c>
      <c r="U825" s="7">
        <f t="shared" si="137"/>
        <v>8830000</v>
      </c>
      <c r="V825" s="7">
        <f t="shared" si="138"/>
        <v>0</v>
      </c>
      <c r="W825" s="7">
        <f t="shared" si="139"/>
        <v>0</v>
      </c>
      <c r="X825" s="7">
        <f t="shared" si="140"/>
        <v>0</v>
      </c>
    </row>
    <row r="826" spans="1:24">
      <c r="A826">
        <v>825</v>
      </c>
      <c r="B826" s="96" t="s">
        <v>2778</v>
      </c>
      <c r="C826" s="95">
        <v>41349</v>
      </c>
      <c r="D826" s="82">
        <v>13340000</v>
      </c>
      <c r="E826" s="82">
        <v>12950000</v>
      </c>
      <c r="F826" s="82">
        <v>13350000</v>
      </c>
      <c r="G826" s="82">
        <v>13050000</v>
      </c>
      <c r="I826" s="98">
        <v>0</v>
      </c>
      <c r="J826" s="98">
        <v>0</v>
      </c>
      <c r="K826" s="98">
        <v>0</v>
      </c>
      <c r="M826" s="7">
        <f t="shared" si="133"/>
        <v>0</v>
      </c>
      <c r="N826" s="7">
        <f t="shared" si="142"/>
        <v>0</v>
      </c>
      <c r="O826" s="7">
        <f t="shared" si="141"/>
        <v>-390000</v>
      </c>
      <c r="P826" s="99">
        <f t="shared" si="134"/>
        <v>-2.9017857142857144E-2</v>
      </c>
      <c r="Q826" s="99">
        <f t="shared" si="143"/>
        <v>-2.1101369947742775E-2</v>
      </c>
      <c r="S826" s="7">
        <f t="shared" si="135"/>
        <v>14355000.000000002</v>
      </c>
      <c r="T826" s="7">
        <f t="shared" si="136"/>
        <v>4350000</v>
      </c>
      <c r="U826" s="7">
        <f t="shared" si="137"/>
        <v>8806000</v>
      </c>
      <c r="V826" s="7">
        <f t="shared" si="138"/>
        <v>0</v>
      </c>
      <c r="W826" s="7">
        <f t="shared" si="139"/>
        <v>0</v>
      </c>
      <c r="X826" s="7">
        <f t="shared" si="140"/>
        <v>0</v>
      </c>
    </row>
    <row r="827" spans="1:24">
      <c r="A827">
        <v>826</v>
      </c>
      <c r="B827" s="96" t="s">
        <v>2777</v>
      </c>
      <c r="C827" s="95">
        <v>41350</v>
      </c>
      <c r="D827" s="82">
        <v>13180000</v>
      </c>
      <c r="E827" s="82">
        <v>13180000</v>
      </c>
      <c r="F827" s="82">
        <v>13600000</v>
      </c>
      <c r="G827" s="82">
        <v>13460000</v>
      </c>
      <c r="I827" s="82">
        <f>G827*1.1</f>
        <v>14806000.000000002</v>
      </c>
      <c r="J827" s="82">
        <f>G827/3</f>
        <v>4486666.666666667</v>
      </c>
      <c r="K827" s="7">
        <f>G1095</f>
        <v>8882000</v>
      </c>
      <c r="L827" s="7">
        <f>K827-I827</f>
        <v>-5924000.0000000019</v>
      </c>
      <c r="M827" s="7">
        <f t="shared" si="133"/>
        <v>560833.33333333337</v>
      </c>
      <c r="N827" s="7">
        <f t="shared" si="142"/>
        <v>-5363166.6666666688</v>
      </c>
      <c r="O827" s="7">
        <f t="shared" si="141"/>
        <v>410000</v>
      </c>
      <c r="P827" s="99">
        <f t="shared" si="134"/>
        <v>3.1417624521072794E-2</v>
      </c>
      <c r="Q827" s="99">
        <f t="shared" si="143"/>
        <v>-5.6674216165618123E-2</v>
      </c>
      <c r="R827">
        <v>1</v>
      </c>
      <c r="S827" s="7">
        <f t="shared" si="135"/>
        <v>14806000.000000002</v>
      </c>
      <c r="T827" s="7">
        <f t="shared" si="136"/>
        <v>4486666.666666667</v>
      </c>
      <c r="U827" s="7">
        <f t="shared" si="137"/>
        <v>8882000</v>
      </c>
      <c r="V827" s="7">
        <f t="shared" si="138"/>
        <v>-5924000.0000000019</v>
      </c>
      <c r="W827" s="7">
        <f t="shared" si="139"/>
        <v>560833.33333333337</v>
      </c>
      <c r="X827" s="7">
        <f t="shared" si="140"/>
        <v>-5363166.6666666688</v>
      </c>
    </row>
    <row r="828" spans="1:24">
      <c r="A828">
        <v>827</v>
      </c>
      <c r="B828" s="96" t="s">
        <v>2776</v>
      </c>
      <c r="C828" s="95">
        <v>41351</v>
      </c>
      <c r="D828" s="82">
        <v>13510000</v>
      </c>
      <c r="E828" s="82">
        <v>13370000</v>
      </c>
      <c r="F828" s="82">
        <v>13530000</v>
      </c>
      <c r="G828" s="82">
        <v>13520000</v>
      </c>
      <c r="I828" s="97">
        <v>0</v>
      </c>
      <c r="J828" s="97">
        <v>0</v>
      </c>
      <c r="K828" s="97">
        <v>0</v>
      </c>
      <c r="M828" s="7">
        <f t="shared" si="133"/>
        <v>0</v>
      </c>
      <c r="N828" s="7">
        <f t="shared" si="142"/>
        <v>0</v>
      </c>
      <c r="O828" s="7">
        <f t="shared" si="141"/>
        <v>60000</v>
      </c>
      <c r="P828" s="99">
        <f t="shared" si="134"/>
        <v>4.4576523031203564E-3</v>
      </c>
      <c r="Q828" s="99">
        <f t="shared" si="143"/>
        <v>-2.7427358648886867E-2</v>
      </c>
      <c r="S828" s="7">
        <f t="shared" si="135"/>
        <v>14872000.000000002</v>
      </c>
      <c r="T828" s="7">
        <f t="shared" si="136"/>
        <v>4506666.666666667</v>
      </c>
      <c r="U828" s="7">
        <f t="shared" si="137"/>
        <v>8968000</v>
      </c>
      <c r="V828" s="7">
        <f t="shared" si="138"/>
        <v>0</v>
      </c>
      <c r="W828" s="7">
        <f t="shared" si="139"/>
        <v>0</v>
      </c>
      <c r="X828" s="7">
        <f t="shared" si="140"/>
        <v>0</v>
      </c>
    </row>
    <row r="829" spans="1:24">
      <c r="A829">
        <v>828</v>
      </c>
      <c r="B829" s="96" t="s">
        <v>2775</v>
      </c>
      <c r="C829" s="95">
        <v>41360</v>
      </c>
      <c r="D829" s="82">
        <v>13700000</v>
      </c>
      <c r="E829" s="82">
        <v>13700000</v>
      </c>
      <c r="F829" s="82">
        <v>13700000</v>
      </c>
      <c r="G829" s="82">
        <v>13700000</v>
      </c>
      <c r="I829" s="97">
        <v>0</v>
      </c>
      <c r="J829" s="97">
        <v>0</v>
      </c>
      <c r="K829" s="97">
        <v>0</v>
      </c>
      <c r="M829" s="7">
        <f t="shared" si="133"/>
        <v>0</v>
      </c>
      <c r="N829" s="7">
        <f t="shared" si="142"/>
        <v>0</v>
      </c>
      <c r="O829" s="7">
        <f t="shared" si="141"/>
        <v>180000</v>
      </c>
      <c r="P829" s="99">
        <f t="shared" si="134"/>
        <v>1.3313609467455622E-2</v>
      </c>
      <c r="Q829" s="99">
        <f t="shared" si="143"/>
        <v>-1.7193533060567957E-2</v>
      </c>
      <c r="S829" s="7">
        <f t="shared" si="135"/>
        <v>15070000.000000002</v>
      </c>
      <c r="T829" s="7">
        <f t="shared" si="136"/>
        <v>4566666.666666667</v>
      </c>
      <c r="U829" s="7">
        <f t="shared" si="137"/>
        <v>9122000</v>
      </c>
      <c r="V829" s="7">
        <f t="shared" si="138"/>
        <v>0</v>
      </c>
      <c r="W829" s="7">
        <f t="shared" si="139"/>
        <v>0</v>
      </c>
      <c r="X829" s="7">
        <f t="shared" si="140"/>
        <v>0</v>
      </c>
    </row>
    <row r="830" spans="1:24">
      <c r="A830">
        <v>829</v>
      </c>
      <c r="B830" s="96" t="s">
        <v>2774</v>
      </c>
      <c r="C830" s="95">
        <v>41361</v>
      </c>
      <c r="D830" s="82">
        <v>13750000</v>
      </c>
      <c r="E830" s="82">
        <v>13750000</v>
      </c>
      <c r="F830" s="82">
        <v>13800000</v>
      </c>
      <c r="G830" s="82">
        <v>13800000</v>
      </c>
      <c r="I830" s="97">
        <v>0</v>
      </c>
      <c r="J830" s="97">
        <v>0</v>
      </c>
      <c r="K830" s="97">
        <v>0</v>
      </c>
      <c r="M830" s="7">
        <f t="shared" si="133"/>
        <v>0</v>
      </c>
      <c r="N830" s="7">
        <f t="shared" si="142"/>
        <v>0</v>
      </c>
      <c r="O830" s="7">
        <f t="shared" si="141"/>
        <v>100000</v>
      </c>
      <c r="P830" s="99">
        <f t="shared" si="134"/>
        <v>7.2992700729927005E-3</v>
      </c>
      <c r="Q830" s="99">
        <f t="shared" si="143"/>
        <v>4.7737488183320284E-4</v>
      </c>
      <c r="S830" s="7">
        <f t="shared" si="135"/>
        <v>15180000.000000002</v>
      </c>
      <c r="T830" s="7">
        <f t="shared" si="136"/>
        <v>4600000</v>
      </c>
      <c r="U830" s="7">
        <f t="shared" si="137"/>
        <v>9145000</v>
      </c>
      <c r="V830" s="7">
        <f t="shared" si="138"/>
        <v>0</v>
      </c>
      <c r="W830" s="7">
        <f t="shared" si="139"/>
        <v>0</v>
      </c>
      <c r="X830" s="7">
        <f t="shared" si="140"/>
        <v>0</v>
      </c>
    </row>
    <row r="831" spans="1:24">
      <c r="A831">
        <v>830</v>
      </c>
      <c r="B831" s="96" t="s">
        <v>2773</v>
      </c>
      <c r="C831" s="95">
        <v>41363</v>
      </c>
      <c r="D831" s="82">
        <v>13750000</v>
      </c>
      <c r="E831" s="82">
        <v>13650000</v>
      </c>
      <c r="F831" s="82">
        <v>13750000</v>
      </c>
      <c r="G831" s="82">
        <v>13650000</v>
      </c>
      <c r="I831" s="98">
        <v>0</v>
      </c>
      <c r="J831" s="98">
        <v>0</v>
      </c>
      <c r="K831" s="98">
        <v>0</v>
      </c>
      <c r="M831" s="7">
        <f t="shared" si="133"/>
        <v>0</v>
      </c>
      <c r="N831" s="7">
        <f t="shared" si="142"/>
        <v>0</v>
      </c>
      <c r="O831" s="7">
        <f t="shared" si="141"/>
        <v>-150000</v>
      </c>
      <c r="P831" s="99">
        <f t="shared" si="134"/>
        <v>-1.0869565217391304E-2</v>
      </c>
      <c r="Q831" s="99">
        <f t="shared" si="143"/>
        <v>2.7470299221784331E-2</v>
      </c>
      <c r="S831" s="7">
        <f t="shared" si="135"/>
        <v>15015000.000000002</v>
      </c>
      <c r="T831" s="7">
        <f t="shared" si="136"/>
        <v>4550000</v>
      </c>
      <c r="U831" s="7">
        <f t="shared" si="137"/>
        <v>9273000</v>
      </c>
      <c r="V831" s="7">
        <f t="shared" si="138"/>
        <v>0</v>
      </c>
      <c r="W831" s="7">
        <f t="shared" si="139"/>
        <v>0</v>
      </c>
      <c r="X831" s="7">
        <f t="shared" si="140"/>
        <v>0</v>
      </c>
    </row>
    <row r="832" spans="1:24">
      <c r="A832">
        <v>831</v>
      </c>
      <c r="B832" s="96" t="s">
        <v>2772</v>
      </c>
      <c r="C832" s="95">
        <v>41364</v>
      </c>
      <c r="D832" s="82">
        <v>13580000</v>
      </c>
      <c r="E832" s="82">
        <v>13530000</v>
      </c>
      <c r="F832" s="82">
        <v>13580000</v>
      </c>
      <c r="G832" s="82">
        <v>13550000</v>
      </c>
      <c r="I832" s="82">
        <f>G832*1.1</f>
        <v>14905000.000000002</v>
      </c>
      <c r="J832" s="82">
        <f>G832/3</f>
        <v>4516666.666666667</v>
      </c>
      <c r="K832" s="7">
        <f>G1100</f>
        <v>9315000</v>
      </c>
      <c r="L832" s="7">
        <f>K832-I832</f>
        <v>-5590000.0000000019</v>
      </c>
      <c r="M832" s="7">
        <f t="shared" si="133"/>
        <v>564583.33333333337</v>
      </c>
      <c r="N832" s="7">
        <f t="shared" si="142"/>
        <v>-5025416.6666666688</v>
      </c>
      <c r="O832" s="7">
        <f t="shared" si="141"/>
        <v>-100000</v>
      </c>
      <c r="P832" s="99">
        <f t="shared" si="134"/>
        <v>-7.326007326007326E-3</v>
      </c>
      <c r="Q832" s="99">
        <f t="shared" si="143"/>
        <v>4.5618591147250163E-2</v>
      </c>
      <c r="R832">
        <v>1</v>
      </c>
      <c r="S832" s="7">
        <f t="shared" si="135"/>
        <v>14905000.000000002</v>
      </c>
      <c r="T832" s="7">
        <f t="shared" si="136"/>
        <v>4516666.666666667</v>
      </c>
      <c r="U832" s="7">
        <f t="shared" si="137"/>
        <v>9315000</v>
      </c>
      <c r="V832" s="7">
        <f t="shared" si="138"/>
        <v>-5590000.0000000019</v>
      </c>
      <c r="W832" s="7">
        <f t="shared" si="139"/>
        <v>564583.33333333337</v>
      </c>
      <c r="X832" s="7">
        <f t="shared" si="140"/>
        <v>-5025416.6666666688</v>
      </c>
    </row>
    <row r="833" spans="1:24">
      <c r="A833">
        <v>832</v>
      </c>
      <c r="B833" s="96" t="s">
        <v>2771</v>
      </c>
      <c r="C833" s="95">
        <v>41367</v>
      </c>
      <c r="D833" s="82">
        <v>13390000</v>
      </c>
      <c r="E833" s="82">
        <v>13390000</v>
      </c>
      <c r="F833" s="82">
        <v>13530000</v>
      </c>
      <c r="G833" s="82">
        <v>13530000</v>
      </c>
      <c r="I833" s="97">
        <v>0</v>
      </c>
      <c r="J833" s="97">
        <v>0</v>
      </c>
      <c r="K833" s="97">
        <v>0</v>
      </c>
      <c r="M833" s="7">
        <f t="shared" si="133"/>
        <v>0</v>
      </c>
      <c r="N833" s="7">
        <f t="shared" si="142"/>
        <v>0</v>
      </c>
      <c r="O833" s="7">
        <f t="shared" si="141"/>
        <v>-20000</v>
      </c>
      <c r="P833" s="99">
        <f t="shared" si="134"/>
        <v>-1.4760147601476014E-3</v>
      </c>
      <c r="Q833" s="99">
        <f t="shared" si="143"/>
        <v>6.8749593001700502E-3</v>
      </c>
      <c r="S833" s="7">
        <f t="shared" si="135"/>
        <v>14883000.000000002</v>
      </c>
      <c r="T833" s="7">
        <f t="shared" si="136"/>
        <v>4510000</v>
      </c>
      <c r="U833" s="7">
        <f t="shared" si="137"/>
        <v>9315000</v>
      </c>
      <c r="V833" s="7">
        <f t="shared" si="138"/>
        <v>0</v>
      </c>
      <c r="W833" s="7">
        <f t="shared" si="139"/>
        <v>0</v>
      </c>
      <c r="X833" s="7">
        <f t="shared" si="140"/>
        <v>0</v>
      </c>
    </row>
    <row r="834" spans="1:24">
      <c r="A834">
        <v>833</v>
      </c>
      <c r="B834" s="96" t="s">
        <v>2770</v>
      </c>
      <c r="C834" s="95">
        <v>41368</v>
      </c>
      <c r="D834" s="82">
        <v>13470000</v>
      </c>
      <c r="E834" s="82">
        <v>13450000</v>
      </c>
      <c r="F834" s="82">
        <v>13470000</v>
      </c>
      <c r="G834" s="82">
        <v>13460000</v>
      </c>
      <c r="I834" s="97">
        <v>0</v>
      </c>
      <c r="J834" s="97">
        <v>0</v>
      </c>
      <c r="K834" s="97">
        <v>0</v>
      </c>
      <c r="M834" s="7">
        <f t="shared" ref="M834:M897" si="144">J834*$AI$6/200</f>
        <v>0</v>
      </c>
      <c r="N834" s="7">
        <f t="shared" si="142"/>
        <v>0</v>
      </c>
      <c r="O834" s="7">
        <f t="shared" si="141"/>
        <v>-70000</v>
      </c>
      <c r="P834" s="99">
        <f t="shared" si="134"/>
        <v>-5.1736881005173688E-3</v>
      </c>
      <c r="Q834" s="99">
        <f t="shared" si="143"/>
        <v>9.4129223690209065E-4</v>
      </c>
      <c r="S834" s="7">
        <f t="shared" si="135"/>
        <v>14806000.000000002</v>
      </c>
      <c r="T834" s="7">
        <f t="shared" si="136"/>
        <v>4486666.666666667</v>
      </c>
      <c r="U834" s="7">
        <f t="shared" si="137"/>
        <v>9490000</v>
      </c>
      <c r="V834" s="7">
        <f t="shared" si="138"/>
        <v>0</v>
      </c>
      <c r="W834" s="7">
        <f t="shared" si="139"/>
        <v>0</v>
      </c>
      <c r="X834" s="7">
        <f t="shared" si="140"/>
        <v>0</v>
      </c>
    </row>
    <row r="835" spans="1:24">
      <c r="A835">
        <v>834</v>
      </c>
      <c r="B835" s="96" t="s">
        <v>2769</v>
      </c>
      <c r="C835" s="95">
        <v>41370</v>
      </c>
      <c r="D835" s="82">
        <v>13920000</v>
      </c>
      <c r="E835" s="82">
        <v>13750000</v>
      </c>
      <c r="F835" s="82">
        <v>13960000</v>
      </c>
      <c r="G835" s="82">
        <v>13750000</v>
      </c>
      <c r="I835" s="97">
        <v>0</v>
      </c>
      <c r="J835" s="97">
        <v>0</v>
      </c>
      <c r="K835" s="97">
        <v>0</v>
      </c>
      <c r="M835" s="7">
        <f t="shared" si="144"/>
        <v>0</v>
      </c>
      <c r="N835" s="7">
        <f t="shared" si="142"/>
        <v>0</v>
      </c>
      <c r="O835" s="7">
        <f t="shared" si="141"/>
        <v>290000</v>
      </c>
      <c r="P835" s="99">
        <f t="shared" ref="P835:P898" si="145">O835/G834</f>
        <v>2.1545319465081723E-2</v>
      </c>
      <c r="Q835" s="99">
        <f t="shared" si="143"/>
        <v>-1.75460053310709E-2</v>
      </c>
      <c r="S835" s="7">
        <f t="shared" ref="S835:S898" si="146">G835*1.1</f>
        <v>15125000.000000002</v>
      </c>
      <c r="T835" s="7">
        <f t="shared" ref="T835:T898" si="147">G835/3</f>
        <v>4583333.333333333</v>
      </c>
      <c r="U835" s="7">
        <f t="shared" ref="U835:U898" si="148">G1103</f>
        <v>9362000</v>
      </c>
      <c r="V835" s="7">
        <f t="shared" ref="V835:V898" si="149">(U835-S835)*R835</f>
        <v>0</v>
      </c>
      <c r="W835" s="7">
        <f t="shared" ref="W835:W898" si="150">(T835*$AI$6/200)*R835</f>
        <v>0</v>
      </c>
      <c r="X835" s="7">
        <f t="shared" ref="X835:X898" si="151">V835+W835</f>
        <v>0</v>
      </c>
    </row>
    <row r="836" spans="1:24">
      <c r="A836">
        <v>835</v>
      </c>
      <c r="B836" s="96" t="s">
        <v>2768</v>
      </c>
      <c r="C836" s="95">
        <v>41371</v>
      </c>
      <c r="D836" s="82">
        <v>14350000</v>
      </c>
      <c r="E836" s="82">
        <v>14170000</v>
      </c>
      <c r="F836" s="82">
        <v>14410000</v>
      </c>
      <c r="G836" s="82">
        <v>14410000</v>
      </c>
      <c r="I836" s="98">
        <v>0</v>
      </c>
      <c r="J836" s="98">
        <v>0</v>
      </c>
      <c r="K836" s="98">
        <v>0</v>
      </c>
      <c r="M836" s="7">
        <f t="shared" si="144"/>
        <v>0</v>
      </c>
      <c r="N836" s="7">
        <f t="shared" si="142"/>
        <v>0</v>
      </c>
      <c r="O836" s="7">
        <f t="shared" ref="O836:O899" si="152">G836-G835</f>
        <v>660000</v>
      </c>
      <c r="P836" s="99">
        <f t="shared" si="145"/>
        <v>4.8000000000000001E-2</v>
      </c>
      <c r="Q836" s="99">
        <f t="shared" si="143"/>
        <v>-3.2999559389818786E-3</v>
      </c>
      <c r="S836" s="7">
        <f t="shared" si="146"/>
        <v>15851000.000000002</v>
      </c>
      <c r="T836" s="7">
        <f t="shared" si="147"/>
        <v>4803333.333333333</v>
      </c>
      <c r="U836" s="7">
        <f t="shared" si="148"/>
        <v>9340000</v>
      </c>
      <c r="V836" s="7">
        <f t="shared" si="149"/>
        <v>0</v>
      </c>
      <c r="W836" s="7">
        <f t="shared" si="150"/>
        <v>0</v>
      </c>
      <c r="X836" s="7">
        <f t="shared" si="151"/>
        <v>0</v>
      </c>
    </row>
    <row r="837" spans="1:24">
      <c r="A837">
        <v>836</v>
      </c>
      <c r="B837" s="96" t="s">
        <v>2767</v>
      </c>
      <c r="C837" s="95">
        <v>41372</v>
      </c>
      <c r="D837" s="82">
        <v>14350000</v>
      </c>
      <c r="E837" s="82">
        <v>14070000</v>
      </c>
      <c r="F837" s="82">
        <v>14350000</v>
      </c>
      <c r="G837" s="82">
        <v>14070000</v>
      </c>
      <c r="I837" s="82">
        <f>G837*1.1</f>
        <v>15477000.000000002</v>
      </c>
      <c r="J837" s="82">
        <f>G837/3</f>
        <v>4690000</v>
      </c>
      <c r="K837" s="7">
        <f>G1105</f>
        <v>9385000</v>
      </c>
      <c r="L837" s="7">
        <f>K837-I837</f>
        <v>-6092000.0000000019</v>
      </c>
      <c r="M837" s="7">
        <f t="shared" si="144"/>
        <v>586250</v>
      </c>
      <c r="N837" s="7">
        <f t="shared" si="142"/>
        <v>-5505750.0000000019</v>
      </c>
      <c r="O837" s="7">
        <f t="shared" si="152"/>
        <v>-340000</v>
      </c>
      <c r="P837" s="99">
        <f t="shared" si="145"/>
        <v>-2.3594725884802221E-2</v>
      </c>
      <c r="Q837" s="99">
        <f t="shared" si="143"/>
        <v>5.5569609278409426E-2</v>
      </c>
      <c r="R837">
        <v>1</v>
      </c>
      <c r="S837" s="7">
        <f t="shared" si="146"/>
        <v>15477000.000000002</v>
      </c>
      <c r="T837" s="7">
        <f t="shared" si="147"/>
        <v>4690000</v>
      </c>
      <c r="U837" s="7">
        <f t="shared" si="148"/>
        <v>9385000</v>
      </c>
      <c r="V837" s="7">
        <f t="shared" si="149"/>
        <v>-6092000.0000000019</v>
      </c>
      <c r="W837" s="7">
        <f t="shared" si="150"/>
        <v>586250</v>
      </c>
      <c r="X837" s="7">
        <f t="shared" si="151"/>
        <v>-5505750.0000000019</v>
      </c>
    </row>
    <row r="838" spans="1:24">
      <c r="A838">
        <v>837</v>
      </c>
      <c r="B838" s="96" t="s">
        <v>2766</v>
      </c>
      <c r="C838" s="95">
        <v>41373</v>
      </c>
      <c r="D838" s="82">
        <v>14180000</v>
      </c>
      <c r="E838" s="82">
        <v>14140000</v>
      </c>
      <c r="F838" s="82">
        <v>14270000</v>
      </c>
      <c r="G838" s="82">
        <v>14170000</v>
      </c>
      <c r="I838" s="97">
        <v>0</v>
      </c>
      <c r="J838" s="97">
        <v>0</v>
      </c>
      <c r="K838" s="97">
        <v>0</v>
      </c>
      <c r="M838" s="7">
        <f t="shared" si="144"/>
        <v>0</v>
      </c>
      <c r="N838" s="7">
        <f t="shared" si="142"/>
        <v>0</v>
      </c>
      <c r="O838" s="7">
        <f t="shared" si="152"/>
        <v>100000</v>
      </c>
      <c r="P838" s="99">
        <f t="shared" si="145"/>
        <v>7.1073205401563609E-3</v>
      </c>
      <c r="Q838" s="99">
        <f t="shared" si="143"/>
        <v>3.9300890719614533E-2</v>
      </c>
      <c r="S838" s="7">
        <f t="shared" si="146"/>
        <v>15587000.000000002</v>
      </c>
      <c r="T838" s="7">
        <f t="shared" si="147"/>
        <v>4723333.333333333</v>
      </c>
      <c r="U838" s="7">
        <f t="shared" si="148"/>
        <v>9420000</v>
      </c>
      <c r="V838" s="7">
        <f t="shared" si="149"/>
        <v>0</v>
      </c>
      <c r="W838" s="7">
        <f t="shared" si="150"/>
        <v>0</v>
      </c>
      <c r="X838" s="7">
        <f t="shared" si="151"/>
        <v>0</v>
      </c>
    </row>
    <row r="839" spans="1:24">
      <c r="A839">
        <v>838</v>
      </c>
      <c r="B839" s="96" t="s">
        <v>2765</v>
      </c>
      <c r="C839" s="95">
        <v>41374</v>
      </c>
      <c r="D839" s="82">
        <v>14180000</v>
      </c>
      <c r="E839" s="82">
        <v>14000000</v>
      </c>
      <c r="F839" s="82">
        <v>14220000</v>
      </c>
      <c r="G839" s="82">
        <v>14000000</v>
      </c>
      <c r="I839" s="97">
        <v>0</v>
      </c>
      <c r="J839" s="97">
        <v>0</v>
      </c>
      <c r="K839" s="97">
        <v>0</v>
      </c>
      <c r="M839" s="7">
        <f t="shared" si="144"/>
        <v>0</v>
      </c>
      <c r="N839" s="7">
        <f t="shared" si="142"/>
        <v>0</v>
      </c>
      <c r="O839" s="7">
        <f t="shared" si="152"/>
        <v>-170000</v>
      </c>
      <c r="P839" s="99">
        <f t="shared" si="145"/>
        <v>-1.1997177134791814E-2</v>
      </c>
      <c r="Q839" s="99">
        <f t="shared" si="143"/>
        <v>4.7884226019918499E-2</v>
      </c>
      <c r="S839" s="7">
        <f t="shared" si="146"/>
        <v>15400000.000000002</v>
      </c>
      <c r="T839" s="7">
        <f t="shared" si="147"/>
        <v>4666666.666666667</v>
      </c>
      <c r="U839" s="7">
        <f t="shared" si="148"/>
        <v>9408000</v>
      </c>
      <c r="V839" s="7">
        <f t="shared" si="149"/>
        <v>0</v>
      </c>
      <c r="W839" s="7">
        <f t="shared" si="150"/>
        <v>0</v>
      </c>
      <c r="X839" s="7">
        <f t="shared" si="151"/>
        <v>0</v>
      </c>
    </row>
    <row r="840" spans="1:24">
      <c r="A840">
        <v>839</v>
      </c>
      <c r="B840" s="96" t="s">
        <v>2764</v>
      </c>
      <c r="C840" s="95">
        <v>41375</v>
      </c>
      <c r="D840" s="82">
        <v>13890000</v>
      </c>
      <c r="E840" s="82">
        <v>13820000</v>
      </c>
      <c r="F840" s="82">
        <v>13900000</v>
      </c>
      <c r="G840" s="82">
        <v>13900000</v>
      </c>
      <c r="I840" s="97">
        <v>0</v>
      </c>
      <c r="J840" s="97">
        <v>0</v>
      </c>
      <c r="K840" s="97">
        <v>0</v>
      </c>
      <c r="M840" s="7">
        <f t="shared" si="144"/>
        <v>0</v>
      </c>
      <c r="N840" s="7">
        <f t="shared" ref="N840:N903" si="153">L840+M840</f>
        <v>0</v>
      </c>
      <c r="O840" s="7">
        <f t="shared" si="152"/>
        <v>-100000</v>
      </c>
      <c r="P840" s="99">
        <f t="shared" si="145"/>
        <v>-7.1428571428571426E-3</v>
      </c>
      <c r="Q840" s="99">
        <f t="shared" ref="Q840:Q903" si="154">SUM(P835:P839)</f>
        <v>4.1060736985644039E-2</v>
      </c>
      <c r="S840" s="7">
        <f t="shared" si="146"/>
        <v>15290000.000000002</v>
      </c>
      <c r="T840" s="7">
        <f t="shared" si="147"/>
        <v>4633333.333333333</v>
      </c>
      <c r="U840" s="7">
        <f t="shared" si="148"/>
        <v>9438000</v>
      </c>
      <c r="V840" s="7">
        <f t="shared" si="149"/>
        <v>0</v>
      </c>
      <c r="W840" s="7">
        <f t="shared" si="150"/>
        <v>0</v>
      </c>
      <c r="X840" s="7">
        <f t="shared" si="151"/>
        <v>0</v>
      </c>
    </row>
    <row r="841" spans="1:24">
      <c r="A841">
        <v>840</v>
      </c>
      <c r="B841" s="96" t="s">
        <v>2763</v>
      </c>
      <c r="C841" s="95">
        <v>41377</v>
      </c>
      <c r="D841" s="82">
        <v>13320000</v>
      </c>
      <c r="E841" s="82">
        <v>13320000</v>
      </c>
      <c r="F841" s="82">
        <v>13550000</v>
      </c>
      <c r="G841" s="82">
        <v>13550000</v>
      </c>
      <c r="I841" s="98">
        <v>0</v>
      </c>
      <c r="J841" s="98">
        <v>0</v>
      </c>
      <c r="K841" s="98">
        <v>0</v>
      </c>
      <c r="M841" s="7">
        <f t="shared" si="144"/>
        <v>0</v>
      </c>
      <c r="N841" s="7">
        <f t="shared" si="153"/>
        <v>0</v>
      </c>
      <c r="O841" s="7">
        <f t="shared" si="152"/>
        <v>-350000</v>
      </c>
      <c r="P841" s="99">
        <f t="shared" si="145"/>
        <v>-2.5179856115107913E-2</v>
      </c>
      <c r="Q841" s="99">
        <f t="shared" si="154"/>
        <v>1.2372560377705181E-2</v>
      </c>
      <c r="S841" s="7">
        <f t="shared" si="146"/>
        <v>14905000.000000002</v>
      </c>
      <c r="T841" s="7">
        <f t="shared" si="147"/>
        <v>4516666.666666667</v>
      </c>
      <c r="U841" s="7">
        <f t="shared" si="148"/>
        <v>9680000</v>
      </c>
      <c r="V841" s="7">
        <f t="shared" si="149"/>
        <v>0</v>
      </c>
      <c r="W841" s="7">
        <f t="shared" si="150"/>
        <v>0</v>
      </c>
      <c r="X841" s="7">
        <f t="shared" si="151"/>
        <v>0</v>
      </c>
    </row>
    <row r="842" spans="1:24">
      <c r="A842">
        <v>841</v>
      </c>
      <c r="B842" s="96" t="s">
        <v>2762</v>
      </c>
      <c r="C842" s="95">
        <v>41379</v>
      </c>
      <c r="D842" s="82">
        <v>13380000</v>
      </c>
      <c r="E842" s="82">
        <v>13100000</v>
      </c>
      <c r="F842" s="82">
        <v>13390000</v>
      </c>
      <c r="G842" s="82">
        <v>13100000</v>
      </c>
      <c r="I842" s="82">
        <f>G842*1.1</f>
        <v>14410000.000000002</v>
      </c>
      <c r="J842" s="82">
        <f>G842/3</f>
        <v>4366666.666666667</v>
      </c>
      <c r="K842" s="7">
        <f>G1110</f>
        <v>9770000</v>
      </c>
      <c r="L842" s="7">
        <f>K842-I842</f>
        <v>-4640000.0000000019</v>
      </c>
      <c r="M842" s="7">
        <f t="shared" si="144"/>
        <v>545833.33333333337</v>
      </c>
      <c r="N842" s="7">
        <f t="shared" si="153"/>
        <v>-4094166.6666666684</v>
      </c>
      <c r="O842" s="7">
        <f t="shared" si="152"/>
        <v>-450000</v>
      </c>
      <c r="P842" s="99">
        <f t="shared" si="145"/>
        <v>-3.3210332103321034E-2</v>
      </c>
      <c r="Q842" s="99">
        <f t="shared" si="154"/>
        <v>-6.0807295737402733E-2</v>
      </c>
      <c r="R842">
        <v>1</v>
      </c>
      <c r="S842" s="7">
        <f t="shared" si="146"/>
        <v>14410000.000000002</v>
      </c>
      <c r="T842" s="7">
        <f t="shared" si="147"/>
        <v>4366666.666666667</v>
      </c>
      <c r="U842" s="7">
        <f t="shared" si="148"/>
        <v>9770000</v>
      </c>
      <c r="V842" s="7">
        <f t="shared" si="149"/>
        <v>-4640000.0000000019</v>
      </c>
      <c r="W842" s="7">
        <f t="shared" si="150"/>
        <v>545833.33333333337</v>
      </c>
      <c r="X842" s="7">
        <f t="shared" si="151"/>
        <v>-4094166.6666666684</v>
      </c>
    </row>
    <row r="843" spans="1:24">
      <c r="A843">
        <v>842</v>
      </c>
      <c r="B843" s="96" t="s">
        <v>2761</v>
      </c>
      <c r="C843" s="95">
        <v>41380</v>
      </c>
      <c r="D843" s="82">
        <v>13120000</v>
      </c>
      <c r="E843" s="82">
        <v>13070000</v>
      </c>
      <c r="F843" s="82">
        <v>13180000</v>
      </c>
      <c r="G843" s="82">
        <v>13160000</v>
      </c>
      <c r="I843" s="97">
        <v>0</v>
      </c>
      <c r="J843" s="97">
        <v>0</v>
      </c>
      <c r="K843" s="97">
        <v>0</v>
      </c>
      <c r="M843" s="7">
        <f t="shared" si="144"/>
        <v>0</v>
      </c>
      <c r="N843" s="7">
        <f t="shared" si="153"/>
        <v>0</v>
      </c>
      <c r="O843" s="7">
        <f t="shared" si="152"/>
        <v>60000</v>
      </c>
      <c r="P843" s="99">
        <f t="shared" si="145"/>
        <v>4.5801526717557254E-3</v>
      </c>
      <c r="Q843" s="99">
        <f t="shared" si="154"/>
        <v>-7.0422901955921546E-2</v>
      </c>
      <c r="S843" s="7">
        <f t="shared" si="146"/>
        <v>14476000.000000002</v>
      </c>
      <c r="T843" s="7">
        <f t="shared" si="147"/>
        <v>4386666.666666667</v>
      </c>
      <c r="U843" s="7">
        <f t="shared" si="148"/>
        <v>9645000</v>
      </c>
      <c r="V843" s="7">
        <f t="shared" si="149"/>
        <v>0</v>
      </c>
      <c r="W843" s="7">
        <f t="shared" si="150"/>
        <v>0</v>
      </c>
      <c r="X843" s="7">
        <f t="shared" si="151"/>
        <v>0</v>
      </c>
    </row>
    <row r="844" spans="1:24">
      <c r="A844">
        <v>843</v>
      </c>
      <c r="B844" s="96" t="s">
        <v>2760</v>
      </c>
      <c r="C844" s="95">
        <v>41381</v>
      </c>
      <c r="D844" s="82">
        <v>13110000</v>
      </c>
      <c r="E844" s="82">
        <v>13080000</v>
      </c>
      <c r="F844" s="82">
        <v>13140000</v>
      </c>
      <c r="G844" s="82">
        <v>13140000</v>
      </c>
      <c r="I844" s="97">
        <v>0</v>
      </c>
      <c r="J844" s="97">
        <v>0</v>
      </c>
      <c r="K844" s="97">
        <v>0</v>
      </c>
      <c r="M844" s="7">
        <f t="shared" si="144"/>
        <v>0</v>
      </c>
      <c r="N844" s="7">
        <f t="shared" si="153"/>
        <v>0</v>
      </c>
      <c r="O844" s="7">
        <f t="shared" si="152"/>
        <v>-20000</v>
      </c>
      <c r="P844" s="99">
        <f t="shared" si="145"/>
        <v>-1.5197568389057751E-3</v>
      </c>
      <c r="Q844" s="99">
        <f t="shared" si="154"/>
        <v>-7.2950069824322186E-2</v>
      </c>
      <c r="S844" s="7">
        <f t="shared" si="146"/>
        <v>14454000.000000002</v>
      </c>
      <c r="T844" s="7">
        <f t="shared" si="147"/>
        <v>4380000</v>
      </c>
      <c r="U844" s="7">
        <f t="shared" si="148"/>
        <v>9650000</v>
      </c>
      <c r="V844" s="7">
        <f t="shared" si="149"/>
        <v>0</v>
      </c>
      <c r="W844" s="7">
        <f t="shared" si="150"/>
        <v>0</v>
      </c>
      <c r="X844" s="7">
        <f t="shared" si="151"/>
        <v>0</v>
      </c>
    </row>
    <row r="845" spans="1:24">
      <c r="A845">
        <v>844</v>
      </c>
      <c r="B845" s="96" t="s">
        <v>2759</v>
      </c>
      <c r="C845" s="95">
        <v>41382</v>
      </c>
      <c r="D845" s="82">
        <v>13120000</v>
      </c>
      <c r="E845" s="82">
        <v>13090000</v>
      </c>
      <c r="F845" s="82">
        <v>13130000</v>
      </c>
      <c r="G845" s="82">
        <v>13110000</v>
      </c>
      <c r="I845" s="97">
        <v>0</v>
      </c>
      <c r="J845" s="97">
        <v>0</v>
      </c>
      <c r="K845" s="97">
        <v>0</v>
      </c>
      <c r="M845" s="7">
        <f t="shared" si="144"/>
        <v>0</v>
      </c>
      <c r="N845" s="7">
        <f t="shared" si="153"/>
        <v>0</v>
      </c>
      <c r="O845" s="7">
        <f t="shared" si="152"/>
        <v>-30000</v>
      </c>
      <c r="P845" s="99">
        <f t="shared" si="145"/>
        <v>-2.2831050228310501E-3</v>
      </c>
      <c r="Q845" s="99">
        <f t="shared" si="154"/>
        <v>-6.2472649528436147E-2</v>
      </c>
      <c r="S845" s="7">
        <f t="shared" si="146"/>
        <v>14421000.000000002</v>
      </c>
      <c r="T845" s="7">
        <f t="shared" si="147"/>
        <v>4370000</v>
      </c>
      <c r="U845" s="7">
        <f t="shared" si="148"/>
        <v>9652000</v>
      </c>
      <c r="V845" s="7">
        <f t="shared" si="149"/>
        <v>0</v>
      </c>
      <c r="W845" s="7">
        <f t="shared" si="150"/>
        <v>0</v>
      </c>
      <c r="X845" s="7">
        <f t="shared" si="151"/>
        <v>0</v>
      </c>
    </row>
    <row r="846" spans="1:24">
      <c r="A846">
        <v>845</v>
      </c>
      <c r="B846" s="96" t="s">
        <v>2758</v>
      </c>
      <c r="C846" s="95">
        <v>41384</v>
      </c>
      <c r="D846" s="82">
        <v>13140000</v>
      </c>
      <c r="E846" s="82">
        <v>12920000</v>
      </c>
      <c r="F846" s="82">
        <v>13150000</v>
      </c>
      <c r="G846" s="82">
        <v>12950000</v>
      </c>
      <c r="I846" s="98">
        <v>0</v>
      </c>
      <c r="J846" s="98">
        <v>0</v>
      </c>
      <c r="K846" s="98">
        <v>0</v>
      </c>
      <c r="M846" s="7">
        <f t="shared" si="144"/>
        <v>0</v>
      </c>
      <c r="N846" s="7">
        <f t="shared" si="153"/>
        <v>0</v>
      </c>
      <c r="O846" s="7">
        <f t="shared" si="152"/>
        <v>-160000</v>
      </c>
      <c r="P846" s="99">
        <f t="shared" si="145"/>
        <v>-1.2204424103737605E-2</v>
      </c>
      <c r="Q846" s="99">
        <f t="shared" si="154"/>
        <v>-5.7612897408410052E-2</v>
      </c>
      <c r="S846" s="7">
        <f t="shared" si="146"/>
        <v>14245000.000000002</v>
      </c>
      <c r="T846" s="7">
        <f t="shared" si="147"/>
        <v>4316666.666666667</v>
      </c>
      <c r="U846" s="7">
        <f t="shared" si="148"/>
        <v>9745000</v>
      </c>
      <c r="V846" s="7">
        <f t="shared" si="149"/>
        <v>0</v>
      </c>
      <c r="W846" s="7">
        <f t="shared" si="150"/>
        <v>0</v>
      </c>
      <c r="X846" s="7">
        <f t="shared" si="151"/>
        <v>0</v>
      </c>
    </row>
    <row r="847" spans="1:24">
      <c r="A847">
        <v>846</v>
      </c>
      <c r="B847" s="96" t="s">
        <v>2757</v>
      </c>
      <c r="C847" s="95">
        <v>41385</v>
      </c>
      <c r="D847" s="82">
        <v>13000000</v>
      </c>
      <c r="E847" s="82">
        <v>12960000</v>
      </c>
      <c r="F847" s="82">
        <v>13170000</v>
      </c>
      <c r="G847" s="82">
        <v>13130000</v>
      </c>
      <c r="I847" s="82">
        <f>G847*1.1</f>
        <v>14443000.000000002</v>
      </c>
      <c r="J847" s="82">
        <f>G847/3</f>
        <v>4376666.666666667</v>
      </c>
      <c r="K847" s="7">
        <f>G1115</f>
        <v>9776000</v>
      </c>
      <c r="L847" s="7">
        <f>K847-I847</f>
        <v>-4667000.0000000019</v>
      </c>
      <c r="M847" s="7">
        <f t="shared" si="144"/>
        <v>547083.33333333337</v>
      </c>
      <c r="N847" s="7">
        <f t="shared" si="153"/>
        <v>-4119916.6666666684</v>
      </c>
      <c r="O847" s="7">
        <f t="shared" si="152"/>
        <v>180000</v>
      </c>
      <c r="P847" s="99">
        <f t="shared" si="145"/>
        <v>1.3899613899613899E-2</v>
      </c>
      <c r="Q847" s="99">
        <f t="shared" si="154"/>
        <v>-4.4637465397039743E-2</v>
      </c>
      <c r="R847">
        <v>1</v>
      </c>
      <c r="S847" s="7">
        <f t="shared" si="146"/>
        <v>14443000.000000002</v>
      </c>
      <c r="T847" s="7">
        <f t="shared" si="147"/>
        <v>4376666.666666667</v>
      </c>
      <c r="U847" s="7">
        <f t="shared" si="148"/>
        <v>9776000</v>
      </c>
      <c r="V847" s="7">
        <f t="shared" si="149"/>
        <v>-4667000.0000000019</v>
      </c>
      <c r="W847" s="7">
        <f t="shared" si="150"/>
        <v>547083.33333333337</v>
      </c>
      <c r="X847" s="7">
        <f t="shared" si="151"/>
        <v>-4119916.6666666684</v>
      </c>
    </row>
    <row r="848" spans="1:24">
      <c r="A848">
        <v>847</v>
      </c>
      <c r="B848" s="96" t="s">
        <v>2756</v>
      </c>
      <c r="C848" s="95">
        <v>41386</v>
      </c>
      <c r="D848" s="82">
        <v>13260000</v>
      </c>
      <c r="E848" s="82">
        <v>13220000</v>
      </c>
      <c r="F848" s="82">
        <v>13500000</v>
      </c>
      <c r="G848" s="82">
        <v>13390000</v>
      </c>
      <c r="I848" s="97">
        <v>0</v>
      </c>
      <c r="J848" s="97">
        <v>0</v>
      </c>
      <c r="K848" s="97">
        <v>0</v>
      </c>
      <c r="M848" s="7">
        <f t="shared" si="144"/>
        <v>0</v>
      </c>
      <c r="N848" s="7">
        <f t="shared" si="153"/>
        <v>0</v>
      </c>
      <c r="O848" s="7">
        <f t="shared" si="152"/>
        <v>260000</v>
      </c>
      <c r="P848" s="99">
        <f t="shared" si="145"/>
        <v>1.9801980198019802E-2</v>
      </c>
      <c r="Q848" s="99">
        <f t="shared" si="154"/>
        <v>2.4724806058951943E-3</v>
      </c>
      <c r="S848" s="7">
        <f t="shared" si="146"/>
        <v>14729000.000000002</v>
      </c>
      <c r="T848" s="7">
        <f t="shared" si="147"/>
        <v>4463333.333333333</v>
      </c>
      <c r="U848" s="7">
        <f t="shared" si="148"/>
        <v>9970000</v>
      </c>
      <c r="V848" s="7">
        <f t="shared" si="149"/>
        <v>0</v>
      </c>
      <c r="W848" s="7">
        <f t="shared" si="150"/>
        <v>0</v>
      </c>
      <c r="X848" s="7">
        <f t="shared" si="151"/>
        <v>0</v>
      </c>
    </row>
    <row r="849" spans="1:24">
      <c r="A849">
        <v>848</v>
      </c>
      <c r="B849" s="96" t="s">
        <v>2755</v>
      </c>
      <c r="C849" s="95">
        <v>41387</v>
      </c>
      <c r="D849" s="82">
        <v>13310000</v>
      </c>
      <c r="E849" s="82">
        <v>13260000</v>
      </c>
      <c r="F849" s="82">
        <v>13400000</v>
      </c>
      <c r="G849" s="82">
        <v>13330000</v>
      </c>
      <c r="I849" s="97">
        <v>0</v>
      </c>
      <c r="J849" s="97">
        <v>0</v>
      </c>
      <c r="K849" s="97">
        <v>0</v>
      </c>
      <c r="M849" s="7">
        <f t="shared" si="144"/>
        <v>0</v>
      </c>
      <c r="N849" s="7">
        <f t="shared" si="153"/>
        <v>0</v>
      </c>
      <c r="O849" s="7">
        <f t="shared" si="152"/>
        <v>-60000</v>
      </c>
      <c r="P849" s="99">
        <f t="shared" si="145"/>
        <v>-4.4809559372666168E-3</v>
      </c>
      <c r="Q849" s="99">
        <f t="shared" si="154"/>
        <v>1.7694308132159269E-2</v>
      </c>
      <c r="S849" s="7">
        <f t="shared" si="146"/>
        <v>14663000.000000002</v>
      </c>
      <c r="T849" s="7">
        <f t="shared" si="147"/>
        <v>4443333.333333333</v>
      </c>
      <c r="U849" s="7">
        <f t="shared" si="148"/>
        <v>9780000</v>
      </c>
      <c r="V849" s="7">
        <f t="shared" si="149"/>
        <v>0</v>
      </c>
      <c r="W849" s="7">
        <f t="shared" si="150"/>
        <v>0</v>
      </c>
      <c r="X849" s="7">
        <f t="shared" si="151"/>
        <v>0</v>
      </c>
    </row>
    <row r="850" spans="1:24">
      <c r="A850">
        <v>849</v>
      </c>
      <c r="B850" s="96" t="s">
        <v>2754</v>
      </c>
      <c r="C850" s="95">
        <v>41388</v>
      </c>
      <c r="D850" s="82">
        <v>13510000</v>
      </c>
      <c r="E850" s="82">
        <v>13480000</v>
      </c>
      <c r="F850" s="82">
        <v>13720000</v>
      </c>
      <c r="G850" s="82">
        <v>13710000</v>
      </c>
      <c r="I850" s="97">
        <v>0</v>
      </c>
      <c r="J850" s="97">
        <v>0</v>
      </c>
      <c r="K850" s="97">
        <v>0</v>
      </c>
      <c r="M850" s="7">
        <f t="shared" si="144"/>
        <v>0</v>
      </c>
      <c r="N850" s="7">
        <f t="shared" si="153"/>
        <v>0</v>
      </c>
      <c r="O850" s="7">
        <f t="shared" si="152"/>
        <v>380000</v>
      </c>
      <c r="P850" s="99">
        <f t="shared" si="145"/>
        <v>2.8507126781695424E-2</v>
      </c>
      <c r="Q850" s="99">
        <f t="shared" si="154"/>
        <v>1.4733109033798427E-2</v>
      </c>
      <c r="S850" s="7">
        <f t="shared" si="146"/>
        <v>15081000.000000002</v>
      </c>
      <c r="T850" s="7">
        <f t="shared" si="147"/>
        <v>4570000</v>
      </c>
      <c r="U850" s="7">
        <f t="shared" si="148"/>
        <v>9800000</v>
      </c>
      <c r="V850" s="7">
        <f t="shared" si="149"/>
        <v>0</v>
      </c>
      <c r="W850" s="7">
        <f t="shared" si="150"/>
        <v>0</v>
      </c>
      <c r="X850" s="7">
        <f t="shared" si="151"/>
        <v>0</v>
      </c>
    </row>
    <row r="851" spans="1:24">
      <c r="A851">
        <v>850</v>
      </c>
      <c r="B851" s="96" t="s">
        <v>2753</v>
      </c>
      <c r="C851" s="95">
        <v>41389</v>
      </c>
      <c r="D851" s="82">
        <v>13780000</v>
      </c>
      <c r="E851" s="82">
        <v>13690000</v>
      </c>
      <c r="F851" s="82">
        <v>13850000</v>
      </c>
      <c r="G851" s="82">
        <v>13750000</v>
      </c>
      <c r="I851" s="98">
        <v>0</v>
      </c>
      <c r="J851" s="98">
        <v>0</v>
      </c>
      <c r="K851" s="98">
        <v>0</v>
      </c>
      <c r="M851" s="7">
        <f t="shared" si="144"/>
        <v>0</v>
      </c>
      <c r="N851" s="7">
        <f t="shared" si="153"/>
        <v>0</v>
      </c>
      <c r="O851" s="7">
        <f t="shared" si="152"/>
        <v>40000</v>
      </c>
      <c r="P851" s="99">
        <f t="shared" si="145"/>
        <v>2.9175784099197666E-3</v>
      </c>
      <c r="Q851" s="99">
        <f t="shared" si="154"/>
        <v>4.5523340838324905E-2</v>
      </c>
      <c r="S851" s="7">
        <f t="shared" si="146"/>
        <v>15125000.000000002</v>
      </c>
      <c r="T851" s="7">
        <f t="shared" si="147"/>
        <v>4583333.333333333</v>
      </c>
      <c r="U851" s="7">
        <f t="shared" si="148"/>
        <v>9820000</v>
      </c>
      <c r="V851" s="7">
        <f t="shared" si="149"/>
        <v>0</v>
      </c>
      <c r="W851" s="7">
        <f t="shared" si="150"/>
        <v>0</v>
      </c>
      <c r="X851" s="7">
        <f t="shared" si="151"/>
        <v>0</v>
      </c>
    </row>
    <row r="852" spans="1:24">
      <c r="A852">
        <v>851</v>
      </c>
      <c r="B852" s="96" t="s">
        <v>2752</v>
      </c>
      <c r="C852" s="95">
        <v>41391</v>
      </c>
      <c r="D852" s="82">
        <v>13650000</v>
      </c>
      <c r="E852" s="82">
        <v>13500000</v>
      </c>
      <c r="F852" s="82">
        <v>13670000</v>
      </c>
      <c r="G852" s="82">
        <v>13550000</v>
      </c>
      <c r="I852" s="82">
        <f>G852*1.1</f>
        <v>14905000.000000002</v>
      </c>
      <c r="J852" s="82">
        <f>G852/3</f>
        <v>4516666.666666667</v>
      </c>
      <c r="K852" s="7">
        <f>G1120</f>
        <v>9762000</v>
      </c>
      <c r="L852" s="7">
        <f>K852-I852</f>
        <v>-5143000.0000000019</v>
      </c>
      <c r="M852" s="7">
        <f t="shared" si="144"/>
        <v>564583.33333333337</v>
      </c>
      <c r="N852" s="7">
        <f t="shared" si="153"/>
        <v>-4578416.6666666688</v>
      </c>
      <c r="O852" s="7">
        <f t="shared" si="152"/>
        <v>-200000</v>
      </c>
      <c r="P852" s="99">
        <f t="shared" si="145"/>
        <v>-1.4545454545454545E-2</v>
      </c>
      <c r="Q852" s="99">
        <f t="shared" si="154"/>
        <v>6.0645343351982281E-2</v>
      </c>
      <c r="R852">
        <v>1</v>
      </c>
      <c r="S852" s="7">
        <f t="shared" si="146"/>
        <v>14905000.000000002</v>
      </c>
      <c r="T852" s="7">
        <f t="shared" si="147"/>
        <v>4516666.666666667</v>
      </c>
      <c r="U852" s="7">
        <f t="shared" si="148"/>
        <v>9762000</v>
      </c>
      <c r="V852" s="7">
        <f t="shared" si="149"/>
        <v>-5143000.0000000019</v>
      </c>
      <c r="W852" s="7">
        <f t="shared" si="150"/>
        <v>564583.33333333337</v>
      </c>
      <c r="X852" s="7">
        <f t="shared" si="151"/>
        <v>-4578416.6666666688</v>
      </c>
    </row>
    <row r="853" spans="1:24">
      <c r="A853">
        <v>852</v>
      </c>
      <c r="B853" s="96" t="s">
        <v>2751</v>
      </c>
      <c r="C853" s="95">
        <v>41392</v>
      </c>
      <c r="D853" s="82">
        <v>13530000</v>
      </c>
      <c r="E853" s="82">
        <v>13450000</v>
      </c>
      <c r="F853" s="82">
        <v>13690000</v>
      </c>
      <c r="G853" s="82">
        <v>13620000</v>
      </c>
      <c r="I853" s="97">
        <v>0</v>
      </c>
      <c r="J853" s="97">
        <v>0</v>
      </c>
      <c r="K853" s="97">
        <v>0</v>
      </c>
      <c r="M853" s="7">
        <f t="shared" si="144"/>
        <v>0</v>
      </c>
      <c r="N853" s="7">
        <f t="shared" si="153"/>
        <v>0</v>
      </c>
      <c r="O853" s="7">
        <f t="shared" si="152"/>
        <v>70000</v>
      </c>
      <c r="P853" s="99">
        <f t="shared" si="145"/>
        <v>5.1660516605166054E-3</v>
      </c>
      <c r="Q853" s="99">
        <f t="shared" si="154"/>
        <v>3.2200274906913837E-2</v>
      </c>
      <c r="S853" s="7">
        <f t="shared" si="146"/>
        <v>14982000.000000002</v>
      </c>
      <c r="T853" s="7">
        <f t="shared" si="147"/>
        <v>4540000</v>
      </c>
      <c r="U853" s="7">
        <f t="shared" si="148"/>
        <v>9550000</v>
      </c>
      <c r="V853" s="7">
        <f t="shared" si="149"/>
        <v>0</v>
      </c>
      <c r="W853" s="7">
        <f t="shared" si="150"/>
        <v>0</v>
      </c>
      <c r="X853" s="7">
        <f t="shared" si="151"/>
        <v>0</v>
      </c>
    </row>
    <row r="854" spans="1:24">
      <c r="A854">
        <v>853</v>
      </c>
      <c r="B854" s="96" t="s">
        <v>2750</v>
      </c>
      <c r="C854" s="95">
        <v>41393</v>
      </c>
      <c r="D854" s="82">
        <v>13700000</v>
      </c>
      <c r="E854" s="82">
        <v>13640000</v>
      </c>
      <c r="F854" s="82">
        <v>13780000</v>
      </c>
      <c r="G854" s="82">
        <v>13680000</v>
      </c>
      <c r="I854" s="97">
        <v>0</v>
      </c>
      <c r="J854" s="97">
        <v>0</v>
      </c>
      <c r="K854" s="97">
        <v>0</v>
      </c>
      <c r="M854" s="7">
        <f t="shared" si="144"/>
        <v>0</v>
      </c>
      <c r="N854" s="7">
        <f t="shared" si="153"/>
        <v>0</v>
      </c>
      <c r="O854" s="7">
        <f t="shared" si="152"/>
        <v>60000</v>
      </c>
      <c r="P854" s="99">
        <f t="shared" si="145"/>
        <v>4.4052863436123352E-3</v>
      </c>
      <c r="Q854" s="99">
        <f t="shared" si="154"/>
        <v>1.7564346369410632E-2</v>
      </c>
      <c r="S854" s="7">
        <f t="shared" si="146"/>
        <v>15048000.000000002</v>
      </c>
      <c r="T854" s="7">
        <f t="shared" si="147"/>
        <v>4560000</v>
      </c>
      <c r="U854" s="7">
        <f t="shared" si="148"/>
        <v>9710000</v>
      </c>
      <c r="V854" s="7">
        <f t="shared" si="149"/>
        <v>0</v>
      </c>
      <c r="W854" s="7">
        <f t="shared" si="150"/>
        <v>0</v>
      </c>
      <c r="X854" s="7">
        <f t="shared" si="151"/>
        <v>0</v>
      </c>
    </row>
    <row r="855" spans="1:24">
      <c r="A855">
        <v>854</v>
      </c>
      <c r="B855" s="96" t="s">
        <v>2749</v>
      </c>
      <c r="C855" s="95">
        <v>41394</v>
      </c>
      <c r="D855" s="82">
        <v>13650000</v>
      </c>
      <c r="E855" s="82">
        <v>13560000</v>
      </c>
      <c r="F855" s="82">
        <v>13680000</v>
      </c>
      <c r="G855" s="82">
        <v>13580000</v>
      </c>
      <c r="I855" s="97">
        <v>0</v>
      </c>
      <c r="J855" s="97">
        <v>0</v>
      </c>
      <c r="K855" s="97">
        <v>0</v>
      </c>
      <c r="M855" s="7">
        <f t="shared" si="144"/>
        <v>0</v>
      </c>
      <c r="N855" s="7">
        <f t="shared" si="153"/>
        <v>0</v>
      </c>
      <c r="O855" s="7">
        <f t="shared" si="152"/>
        <v>-100000</v>
      </c>
      <c r="P855" s="99">
        <f t="shared" si="145"/>
        <v>-7.3099415204678359E-3</v>
      </c>
      <c r="Q855" s="99">
        <f t="shared" si="154"/>
        <v>2.6450588650289587E-2</v>
      </c>
      <c r="S855" s="7">
        <f t="shared" si="146"/>
        <v>14938000.000000002</v>
      </c>
      <c r="T855" s="7">
        <f t="shared" si="147"/>
        <v>4526666.666666667</v>
      </c>
      <c r="U855" s="7">
        <f t="shared" si="148"/>
        <v>9770000</v>
      </c>
      <c r="V855" s="7">
        <f t="shared" si="149"/>
        <v>0</v>
      </c>
      <c r="W855" s="7">
        <f t="shared" si="150"/>
        <v>0</v>
      </c>
      <c r="X855" s="7">
        <f t="shared" si="151"/>
        <v>0</v>
      </c>
    </row>
    <row r="856" spans="1:24">
      <c r="A856">
        <v>855</v>
      </c>
      <c r="B856" s="96" t="s">
        <v>2748</v>
      </c>
      <c r="C856" s="95">
        <v>41395</v>
      </c>
      <c r="D856" s="82">
        <v>13570000</v>
      </c>
      <c r="E856" s="82">
        <v>13450000</v>
      </c>
      <c r="F856" s="82">
        <v>13570000</v>
      </c>
      <c r="G856" s="82">
        <v>13450000</v>
      </c>
      <c r="I856" s="98">
        <v>0</v>
      </c>
      <c r="J856" s="98">
        <v>0</v>
      </c>
      <c r="K856" s="98">
        <v>0</v>
      </c>
      <c r="M856" s="7">
        <f t="shared" si="144"/>
        <v>0</v>
      </c>
      <c r="N856" s="7">
        <f t="shared" si="153"/>
        <v>0</v>
      </c>
      <c r="O856" s="7">
        <f t="shared" si="152"/>
        <v>-130000</v>
      </c>
      <c r="P856" s="99">
        <f t="shared" si="145"/>
        <v>-9.5729013254786458E-3</v>
      </c>
      <c r="Q856" s="99">
        <f t="shared" si="154"/>
        <v>-9.3664796518736736E-3</v>
      </c>
      <c r="S856" s="7">
        <f t="shared" si="146"/>
        <v>14795000.000000002</v>
      </c>
      <c r="T856" s="7">
        <f t="shared" si="147"/>
        <v>4483333.333333333</v>
      </c>
      <c r="U856" s="7">
        <f t="shared" si="148"/>
        <v>9787000</v>
      </c>
      <c r="V856" s="7">
        <f t="shared" si="149"/>
        <v>0</v>
      </c>
      <c r="W856" s="7">
        <f t="shared" si="150"/>
        <v>0</v>
      </c>
      <c r="X856" s="7">
        <f t="shared" si="151"/>
        <v>0</v>
      </c>
    </row>
    <row r="857" spans="1:24">
      <c r="A857">
        <v>856</v>
      </c>
      <c r="B857" s="96" t="s">
        <v>2747</v>
      </c>
      <c r="C857" s="95">
        <v>41396</v>
      </c>
      <c r="D857" s="82">
        <v>13430000</v>
      </c>
      <c r="E857" s="82">
        <v>13370000</v>
      </c>
      <c r="F857" s="82">
        <v>13470000</v>
      </c>
      <c r="G857" s="82">
        <v>13460000</v>
      </c>
      <c r="I857" s="82">
        <f>G857*1.1</f>
        <v>14806000.000000002</v>
      </c>
      <c r="J857" s="82">
        <f>G857/3</f>
        <v>4486666.666666667</v>
      </c>
      <c r="K857" s="7">
        <f>G1125</f>
        <v>9775000</v>
      </c>
      <c r="L857" s="7">
        <f>K857-I857</f>
        <v>-5031000.0000000019</v>
      </c>
      <c r="M857" s="7">
        <f t="shared" si="144"/>
        <v>560833.33333333337</v>
      </c>
      <c r="N857" s="7">
        <f t="shared" si="153"/>
        <v>-4470166.6666666688</v>
      </c>
      <c r="O857" s="7">
        <f t="shared" si="152"/>
        <v>10000</v>
      </c>
      <c r="P857" s="99">
        <f t="shared" si="145"/>
        <v>7.4349442379182155E-4</v>
      </c>
      <c r="Q857" s="99">
        <f t="shared" si="154"/>
        <v>-2.1856959387272088E-2</v>
      </c>
      <c r="R857">
        <v>1</v>
      </c>
      <c r="S857" s="7">
        <f t="shared" si="146"/>
        <v>14806000.000000002</v>
      </c>
      <c r="T857" s="7">
        <f t="shared" si="147"/>
        <v>4486666.666666667</v>
      </c>
      <c r="U857" s="7">
        <f t="shared" si="148"/>
        <v>9775000</v>
      </c>
      <c r="V857" s="7">
        <f t="shared" si="149"/>
        <v>-5031000.0000000019</v>
      </c>
      <c r="W857" s="7">
        <f t="shared" si="150"/>
        <v>560833.33333333337</v>
      </c>
      <c r="X857" s="7">
        <f t="shared" si="151"/>
        <v>-4470166.6666666688</v>
      </c>
    </row>
    <row r="858" spans="1:24">
      <c r="A858">
        <v>857</v>
      </c>
      <c r="B858" s="96" t="s">
        <v>2746</v>
      </c>
      <c r="C858" s="95">
        <v>41398</v>
      </c>
      <c r="D858" s="82">
        <v>13450000</v>
      </c>
      <c r="E858" s="82">
        <v>13420000</v>
      </c>
      <c r="F858" s="82">
        <v>13470000</v>
      </c>
      <c r="G858" s="82">
        <v>13425000</v>
      </c>
      <c r="I858" s="97">
        <v>0</v>
      </c>
      <c r="J858" s="97">
        <v>0</v>
      </c>
      <c r="K858" s="97">
        <v>0</v>
      </c>
      <c r="M858" s="7">
        <f t="shared" si="144"/>
        <v>0</v>
      </c>
      <c r="N858" s="7">
        <f t="shared" si="153"/>
        <v>0</v>
      </c>
      <c r="O858" s="7">
        <f t="shared" si="152"/>
        <v>-35000</v>
      </c>
      <c r="P858" s="99">
        <f t="shared" si="145"/>
        <v>-2.6002971768202079E-3</v>
      </c>
      <c r="Q858" s="99">
        <f t="shared" si="154"/>
        <v>-6.5680104180257191E-3</v>
      </c>
      <c r="S858" s="7">
        <f t="shared" si="146"/>
        <v>14767500.000000002</v>
      </c>
      <c r="T858" s="7">
        <f t="shared" si="147"/>
        <v>4475000</v>
      </c>
      <c r="U858" s="7">
        <f t="shared" si="148"/>
        <v>9805000</v>
      </c>
      <c r="V858" s="7">
        <f t="shared" si="149"/>
        <v>0</v>
      </c>
      <c r="W858" s="7">
        <f t="shared" si="150"/>
        <v>0</v>
      </c>
      <c r="X858" s="7">
        <f t="shared" si="151"/>
        <v>0</v>
      </c>
    </row>
    <row r="859" spans="1:24">
      <c r="A859">
        <v>858</v>
      </c>
      <c r="B859" s="96" t="s">
        <v>2745</v>
      </c>
      <c r="C859" s="95">
        <v>41399</v>
      </c>
      <c r="D859" s="82">
        <v>13480000</v>
      </c>
      <c r="E859" s="82">
        <v>13450000</v>
      </c>
      <c r="F859" s="82">
        <v>13580000</v>
      </c>
      <c r="G859" s="82">
        <v>13580000</v>
      </c>
      <c r="I859" s="97">
        <v>0</v>
      </c>
      <c r="J859" s="97">
        <v>0</v>
      </c>
      <c r="K859" s="97">
        <v>0</v>
      </c>
      <c r="M859" s="7">
        <f t="shared" si="144"/>
        <v>0</v>
      </c>
      <c r="N859" s="7">
        <f t="shared" si="153"/>
        <v>0</v>
      </c>
      <c r="O859" s="7">
        <f t="shared" si="152"/>
        <v>155000</v>
      </c>
      <c r="P859" s="99">
        <f t="shared" si="145"/>
        <v>1.1545623836126629E-2</v>
      </c>
      <c r="Q859" s="99">
        <f t="shared" si="154"/>
        <v>-1.4334359255362533E-2</v>
      </c>
      <c r="S859" s="7">
        <f t="shared" si="146"/>
        <v>14938000.000000002</v>
      </c>
      <c r="T859" s="7">
        <f t="shared" si="147"/>
        <v>4526666.666666667</v>
      </c>
      <c r="U859" s="7">
        <f t="shared" si="148"/>
        <v>9850000</v>
      </c>
      <c r="V859" s="7">
        <f t="shared" si="149"/>
        <v>0</v>
      </c>
      <c r="W859" s="7">
        <f t="shared" si="150"/>
        <v>0</v>
      </c>
      <c r="X859" s="7">
        <f t="shared" si="151"/>
        <v>0</v>
      </c>
    </row>
    <row r="860" spans="1:24">
      <c r="A860">
        <v>859</v>
      </c>
      <c r="B860" s="96" t="s">
        <v>2744</v>
      </c>
      <c r="C860" s="95">
        <v>41400</v>
      </c>
      <c r="D860" s="82">
        <v>13540000</v>
      </c>
      <c r="E860" s="82">
        <v>13430000</v>
      </c>
      <c r="F860" s="82">
        <v>13540000</v>
      </c>
      <c r="G860" s="82">
        <v>13440000</v>
      </c>
      <c r="I860" s="97">
        <v>0</v>
      </c>
      <c r="J860" s="97">
        <v>0</v>
      </c>
      <c r="K860" s="97">
        <v>0</v>
      </c>
      <c r="M860" s="7">
        <f t="shared" si="144"/>
        <v>0</v>
      </c>
      <c r="N860" s="7">
        <f t="shared" si="153"/>
        <v>0</v>
      </c>
      <c r="O860" s="7">
        <f t="shared" si="152"/>
        <v>-140000</v>
      </c>
      <c r="P860" s="99">
        <f t="shared" si="145"/>
        <v>-1.0309278350515464E-2</v>
      </c>
      <c r="Q860" s="99">
        <f t="shared" si="154"/>
        <v>-7.1940217628482395E-3</v>
      </c>
      <c r="S860" s="7">
        <f t="shared" si="146"/>
        <v>14784000.000000002</v>
      </c>
      <c r="T860" s="7">
        <f t="shared" si="147"/>
        <v>4480000</v>
      </c>
      <c r="U860" s="7">
        <f t="shared" si="148"/>
        <v>9775000</v>
      </c>
      <c r="V860" s="7">
        <f t="shared" si="149"/>
        <v>0</v>
      </c>
      <c r="W860" s="7">
        <f t="shared" si="150"/>
        <v>0</v>
      </c>
      <c r="X860" s="7">
        <f t="shared" si="151"/>
        <v>0</v>
      </c>
    </row>
    <row r="861" spans="1:24">
      <c r="A861">
        <v>860</v>
      </c>
      <c r="B861" s="96" t="s">
        <v>2743</v>
      </c>
      <c r="C861" s="95">
        <v>41401</v>
      </c>
      <c r="D861" s="82">
        <v>13350000</v>
      </c>
      <c r="E861" s="82">
        <v>13290000</v>
      </c>
      <c r="F861" s="82">
        <v>13370000</v>
      </c>
      <c r="G861" s="82">
        <v>13290000</v>
      </c>
      <c r="I861" s="98">
        <v>0</v>
      </c>
      <c r="J861" s="98">
        <v>0</v>
      </c>
      <c r="K861" s="98">
        <v>0</v>
      </c>
      <c r="M861" s="7">
        <f t="shared" si="144"/>
        <v>0</v>
      </c>
      <c r="N861" s="7">
        <f t="shared" si="153"/>
        <v>0</v>
      </c>
      <c r="O861" s="7">
        <f t="shared" si="152"/>
        <v>-150000</v>
      </c>
      <c r="P861" s="99">
        <f t="shared" si="145"/>
        <v>-1.1160714285714286E-2</v>
      </c>
      <c r="Q861" s="99">
        <f t="shared" si="154"/>
        <v>-1.0193358592895866E-2</v>
      </c>
      <c r="S861" s="7">
        <f t="shared" si="146"/>
        <v>14619000.000000002</v>
      </c>
      <c r="T861" s="7">
        <f t="shared" si="147"/>
        <v>4430000</v>
      </c>
      <c r="U861" s="7">
        <f t="shared" si="148"/>
        <v>9820000</v>
      </c>
      <c r="V861" s="7">
        <f t="shared" si="149"/>
        <v>0</v>
      </c>
      <c r="W861" s="7">
        <f t="shared" si="150"/>
        <v>0</v>
      </c>
      <c r="X861" s="7">
        <f t="shared" si="151"/>
        <v>0</v>
      </c>
    </row>
    <row r="862" spans="1:24">
      <c r="A862">
        <v>861</v>
      </c>
      <c r="B862" s="96" t="s">
        <v>2742</v>
      </c>
      <c r="C862" s="95">
        <v>41402</v>
      </c>
      <c r="D862" s="82">
        <v>13300000</v>
      </c>
      <c r="E862" s="82">
        <v>13030000</v>
      </c>
      <c r="F862" s="82">
        <v>13300000</v>
      </c>
      <c r="G862" s="82">
        <v>13150000</v>
      </c>
      <c r="I862" s="82">
        <f>G862*1.1</f>
        <v>14465000.000000002</v>
      </c>
      <c r="J862" s="82">
        <f>G862/3</f>
        <v>4383333.333333333</v>
      </c>
      <c r="K862" s="7">
        <f>G1130</f>
        <v>9660000</v>
      </c>
      <c r="L862" s="7">
        <f>K862-I862</f>
        <v>-4805000.0000000019</v>
      </c>
      <c r="M862" s="7">
        <f t="shared" si="144"/>
        <v>547916.66666666663</v>
      </c>
      <c r="N862" s="7">
        <f t="shared" si="153"/>
        <v>-4257083.3333333349</v>
      </c>
      <c r="O862" s="7">
        <f t="shared" si="152"/>
        <v>-140000</v>
      </c>
      <c r="P862" s="99">
        <f t="shared" si="145"/>
        <v>-1.0534236267870579E-2</v>
      </c>
      <c r="Q862" s="99">
        <f t="shared" si="154"/>
        <v>-1.1781171553131506E-2</v>
      </c>
      <c r="R862">
        <v>1</v>
      </c>
      <c r="S862" s="7">
        <f t="shared" si="146"/>
        <v>14465000.000000002</v>
      </c>
      <c r="T862" s="7">
        <f t="shared" si="147"/>
        <v>4383333.333333333</v>
      </c>
      <c r="U862" s="7">
        <f t="shared" si="148"/>
        <v>9660000</v>
      </c>
      <c r="V862" s="7">
        <f t="shared" si="149"/>
        <v>-4805000.0000000019</v>
      </c>
      <c r="W862" s="7">
        <f t="shared" si="150"/>
        <v>547916.66666666663</v>
      </c>
      <c r="X862" s="7">
        <f t="shared" si="151"/>
        <v>-4257083.3333333349</v>
      </c>
    </row>
    <row r="863" spans="1:24">
      <c r="A863">
        <v>862</v>
      </c>
      <c r="B863" s="96" t="s">
        <v>2741</v>
      </c>
      <c r="C863" s="95">
        <v>41403</v>
      </c>
      <c r="D863" s="82">
        <v>13180000</v>
      </c>
      <c r="E863" s="82">
        <v>13120000</v>
      </c>
      <c r="F863" s="82">
        <v>13180000</v>
      </c>
      <c r="G863" s="82">
        <v>13140000</v>
      </c>
      <c r="I863" s="97">
        <v>0</v>
      </c>
      <c r="J863" s="97">
        <v>0</v>
      </c>
      <c r="K863" s="97">
        <v>0</v>
      </c>
      <c r="M863" s="7">
        <f t="shared" si="144"/>
        <v>0</v>
      </c>
      <c r="N863" s="7">
        <f t="shared" si="153"/>
        <v>0</v>
      </c>
      <c r="O863" s="7">
        <f t="shared" si="152"/>
        <v>-10000</v>
      </c>
      <c r="P863" s="99">
        <f t="shared" si="145"/>
        <v>-7.6045627376425851E-4</v>
      </c>
      <c r="Q863" s="99">
        <f t="shared" si="154"/>
        <v>-2.3058902244793907E-2</v>
      </c>
      <c r="S863" s="7">
        <f t="shared" si="146"/>
        <v>14454000.000000002</v>
      </c>
      <c r="T863" s="7">
        <f t="shared" si="147"/>
        <v>4380000</v>
      </c>
      <c r="U863" s="7">
        <f t="shared" si="148"/>
        <v>9535000</v>
      </c>
      <c r="V863" s="7">
        <f t="shared" si="149"/>
        <v>0</v>
      </c>
      <c r="W863" s="7">
        <f t="shared" si="150"/>
        <v>0</v>
      </c>
      <c r="X863" s="7">
        <f t="shared" si="151"/>
        <v>0</v>
      </c>
    </row>
    <row r="864" spans="1:24">
      <c r="A864">
        <v>863</v>
      </c>
      <c r="B864" s="96" t="s">
        <v>2740</v>
      </c>
      <c r="C864" s="95">
        <v>41405</v>
      </c>
      <c r="D864" s="82">
        <v>13030000</v>
      </c>
      <c r="E864" s="82">
        <v>12820000</v>
      </c>
      <c r="F864" s="82">
        <v>13110000</v>
      </c>
      <c r="G864" s="82">
        <v>12820000</v>
      </c>
      <c r="I864" s="97">
        <v>0</v>
      </c>
      <c r="J864" s="97">
        <v>0</v>
      </c>
      <c r="K864" s="97">
        <v>0</v>
      </c>
      <c r="M864" s="7">
        <f t="shared" si="144"/>
        <v>0</v>
      </c>
      <c r="N864" s="7">
        <f t="shared" si="153"/>
        <v>0</v>
      </c>
      <c r="O864" s="7">
        <f t="shared" si="152"/>
        <v>-320000</v>
      </c>
      <c r="P864" s="99">
        <f t="shared" si="145"/>
        <v>-2.4353120243531201E-2</v>
      </c>
      <c r="Q864" s="99">
        <f t="shared" si="154"/>
        <v>-2.1219061341737958E-2</v>
      </c>
      <c r="S864" s="7">
        <f t="shared" si="146"/>
        <v>14102000.000000002</v>
      </c>
      <c r="T864" s="7">
        <f t="shared" si="147"/>
        <v>4273333.333333333</v>
      </c>
      <c r="U864" s="7">
        <f t="shared" si="148"/>
        <v>9500000</v>
      </c>
      <c r="V864" s="7">
        <f t="shared" si="149"/>
        <v>0</v>
      </c>
      <c r="W864" s="7">
        <f t="shared" si="150"/>
        <v>0</v>
      </c>
      <c r="X864" s="7">
        <f t="shared" si="151"/>
        <v>0</v>
      </c>
    </row>
    <row r="865" spans="1:24">
      <c r="A865">
        <v>864</v>
      </c>
      <c r="B865" s="96" t="s">
        <v>2739</v>
      </c>
      <c r="C865" s="95">
        <v>41406</v>
      </c>
      <c r="D865" s="82">
        <v>12870000</v>
      </c>
      <c r="E865" s="82">
        <v>12870000</v>
      </c>
      <c r="F865" s="82">
        <v>13020000</v>
      </c>
      <c r="G865" s="82">
        <v>13000000</v>
      </c>
      <c r="I865" s="97">
        <v>0</v>
      </c>
      <c r="J865" s="97">
        <v>0</v>
      </c>
      <c r="K865" s="97">
        <v>0</v>
      </c>
      <c r="M865" s="7">
        <f t="shared" si="144"/>
        <v>0</v>
      </c>
      <c r="N865" s="7">
        <f t="shared" si="153"/>
        <v>0</v>
      </c>
      <c r="O865" s="7">
        <f t="shared" si="152"/>
        <v>180000</v>
      </c>
      <c r="P865" s="99">
        <f t="shared" si="145"/>
        <v>1.4040561622464899E-2</v>
      </c>
      <c r="Q865" s="99">
        <f t="shared" si="154"/>
        <v>-5.7117805421395794E-2</v>
      </c>
      <c r="S865" s="7">
        <f t="shared" si="146"/>
        <v>14300000.000000002</v>
      </c>
      <c r="T865" s="7">
        <f t="shared" si="147"/>
        <v>4333333.333333333</v>
      </c>
      <c r="U865" s="7">
        <f t="shared" si="148"/>
        <v>9530000</v>
      </c>
      <c r="V865" s="7">
        <f t="shared" si="149"/>
        <v>0</v>
      </c>
      <c r="W865" s="7">
        <f t="shared" si="150"/>
        <v>0</v>
      </c>
      <c r="X865" s="7">
        <f t="shared" si="151"/>
        <v>0</v>
      </c>
    </row>
    <row r="866" spans="1:24">
      <c r="A866">
        <v>865</v>
      </c>
      <c r="B866" s="96" t="s">
        <v>2738</v>
      </c>
      <c r="C866" s="95">
        <v>41407</v>
      </c>
      <c r="D866" s="82">
        <v>12930000</v>
      </c>
      <c r="E866" s="82">
        <v>12930000</v>
      </c>
      <c r="F866" s="82">
        <v>13040000</v>
      </c>
      <c r="G866" s="82">
        <v>12975000</v>
      </c>
      <c r="I866" s="98">
        <v>0</v>
      </c>
      <c r="J866" s="98">
        <v>0</v>
      </c>
      <c r="K866" s="98">
        <v>0</v>
      </c>
      <c r="M866" s="7">
        <f t="shared" si="144"/>
        <v>0</v>
      </c>
      <c r="N866" s="7">
        <f t="shared" si="153"/>
        <v>0</v>
      </c>
      <c r="O866" s="7">
        <f t="shared" si="152"/>
        <v>-25000</v>
      </c>
      <c r="P866" s="99">
        <f t="shared" si="145"/>
        <v>-1.9230769230769232E-3</v>
      </c>
      <c r="Q866" s="99">
        <f t="shared" si="154"/>
        <v>-3.2767965448415419E-2</v>
      </c>
      <c r="S866" s="7">
        <f t="shared" si="146"/>
        <v>14272500.000000002</v>
      </c>
      <c r="T866" s="7">
        <f t="shared" si="147"/>
        <v>4325000</v>
      </c>
      <c r="U866" s="7">
        <f t="shared" si="148"/>
        <v>9550000</v>
      </c>
      <c r="V866" s="7">
        <f t="shared" si="149"/>
        <v>0</v>
      </c>
      <c r="W866" s="7">
        <f t="shared" si="150"/>
        <v>0</v>
      </c>
      <c r="X866" s="7">
        <f t="shared" si="151"/>
        <v>0</v>
      </c>
    </row>
    <row r="867" spans="1:24">
      <c r="A867">
        <v>866</v>
      </c>
      <c r="B867" s="96" t="s">
        <v>2737</v>
      </c>
      <c r="C867" s="95">
        <v>41408</v>
      </c>
      <c r="D867" s="82">
        <v>13110000</v>
      </c>
      <c r="E867" s="82">
        <v>13000000</v>
      </c>
      <c r="F867" s="82">
        <v>13150000</v>
      </c>
      <c r="G867" s="82">
        <v>13040000</v>
      </c>
      <c r="I867" s="82">
        <f>G867*1.1</f>
        <v>14344000.000000002</v>
      </c>
      <c r="J867" s="82">
        <f>G867/3</f>
        <v>4346666.666666667</v>
      </c>
      <c r="K867" s="7">
        <f>G1135</f>
        <v>9480000</v>
      </c>
      <c r="L867" s="7">
        <f>K867-I867</f>
        <v>-4864000.0000000019</v>
      </c>
      <c r="M867" s="7">
        <f t="shared" si="144"/>
        <v>543333.33333333337</v>
      </c>
      <c r="N867" s="7">
        <f t="shared" si="153"/>
        <v>-4320666.6666666688</v>
      </c>
      <c r="O867" s="7">
        <f t="shared" si="152"/>
        <v>65000</v>
      </c>
      <c r="P867" s="99">
        <f t="shared" si="145"/>
        <v>5.0096339113680152E-3</v>
      </c>
      <c r="Q867" s="99">
        <f t="shared" si="154"/>
        <v>-2.3530328085778061E-2</v>
      </c>
      <c r="R867">
        <v>1</v>
      </c>
      <c r="S867" s="7">
        <f t="shared" si="146"/>
        <v>14344000.000000002</v>
      </c>
      <c r="T867" s="7">
        <f t="shared" si="147"/>
        <v>4346666.666666667</v>
      </c>
      <c r="U867" s="7">
        <f t="shared" si="148"/>
        <v>9480000</v>
      </c>
      <c r="V867" s="7">
        <f t="shared" si="149"/>
        <v>-4864000.0000000019</v>
      </c>
      <c r="W867" s="7">
        <f t="shared" si="150"/>
        <v>543333.33333333337</v>
      </c>
      <c r="X867" s="7">
        <f t="shared" si="151"/>
        <v>-4320666.6666666688</v>
      </c>
    </row>
    <row r="868" spans="1:24">
      <c r="A868">
        <v>867</v>
      </c>
      <c r="B868" s="96" t="s">
        <v>2736</v>
      </c>
      <c r="C868" s="95">
        <v>41409</v>
      </c>
      <c r="D868" s="82">
        <v>12910000</v>
      </c>
      <c r="E868" s="82">
        <v>12830000</v>
      </c>
      <c r="F868" s="82">
        <v>12940000</v>
      </c>
      <c r="G868" s="82">
        <v>12830000</v>
      </c>
      <c r="I868" s="97">
        <v>0</v>
      </c>
      <c r="J868" s="97">
        <v>0</v>
      </c>
      <c r="K868" s="97">
        <v>0</v>
      </c>
      <c r="M868" s="7">
        <f t="shared" si="144"/>
        <v>0</v>
      </c>
      <c r="N868" s="7">
        <f t="shared" si="153"/>
        <v>0</v>
      </c>
      <c r="O868" s="7">
        <f t="shared" si="152"/>
        <v>-210000</v>
      </c>
      <c r="P868" s="99">
        <f t="shared" si="145"/>
        <v>-1.6104294478527608E-2</v>
      </c>
      <c r="Q868" s="99">
        <f t="shared" si="154"/>
        <v>-7.9864579065394674E-3</v>
      </c>
      <c r="S868" s="7">
        <f t="shared" si="146"/>
        <v>14113000.000000002</v>
      </c>
      <c r="T868" s="7">
        <f t="shared" si="147"/>
        <v>4276666.666666667</v>
      </c>
      <c r="U868" s="7">
        <f t="shared" si="148"/>
        <v>9520000</v>
      </c>
      <c r="V868" s="7">
        <f t="shared" si="149"/>
        <v>0</v>
      </c>
      <c r="W868" s="7">
        <f t="shared" si="150"/>
        <v>0</v>
      </c>
      <c r="X868" s="7">
        <f t="shared" si="151"/>
        <v>0</v>
      </c>
    </row>
    <row r="869" spans="1:24">
      <c r="A869">
        <v>868</v>
      </c>
      <c r="B869" s="96" t="s">
        <v>2735</v>
      </c>
      <c r="C869" s="95">
        <v>41410</v>
      </c>
      <c r="D869" s="82">
        <v>12840000</v>
      </c>
      <c r="E869" s="82">
        <v>12720000</v>
      </c>
      <c r="F869" s="82">
        <v>12850000</v>
      </c>
      <c r="G869" s="82">
        <v>12780000</v>
      </c>
      <c r="I869" s="97">
        <v>0</v>
      </c>
      <c r="J869" s="97">
        <v>0</v>
      </c>
      <c r="K869" s="97">
        <v>0</v>
      </c>
      <c r="M869" s="7">
        <f t="shared" si="144"/>
        <v>0</v>
      </c>
      <c r="N869" s="7">
        <f t="shared" si="153"/>
        <v>0</v>
      </c>
      <c r="O869" s="7">
        <f t="shared" si="152"/>
        <v>-50000</v>
      </c>
      <c r="P869" s="99">
        <f t="shared" si="145"/>
        <v>-3.897116134060795E-3</v>
      </c>
      <c r="Q869" s="99">
        <f t="shared" si="154"/>
        <v>-2.3330296111302818E-2</v>
      </c>
      <c r="S869" s="7">
        <f t="shared" si="146"/>
        <v>14058000.000000002</v>
      </c>
      <c r="T869" s="7">
        <f t="shared" si="147"/>
        <v>4260000</v>
      </c>
      <c r="U869" s="7">
        <f t="shared" si="148"/>
        <v>9510000</v>
      </c>
      <c r="V869" s="7">
        <f t="shared" si="149"/>
        <v>0</v>
      </c>
      <c r="W869" s="7">
        <f t="shared" si="150"/>
        <v>0</v>
      </c>
      <c r="X869" s="7">
        <f t="shared" si="151"/>
        <v>0</v>
      </c>
    </row>
    <row r="870" spans="1:24">
      <c r="A870">
        <v>869</v>
      </c>
      <c r="B870" s="96" t="s">
        <v>2734</v>
      </c>
      <c r="C870" s="95">
        <v>41412</v>
      </c>
      <c r="D870" s="82">
        <v>12630000</v>
      </c>
      <c r="E870" s="82">
        <v>12440000</v>
      </c>
      <c r="F870" s="82">
        <v>12630000</v>
      </c>
      <c r="G870" s="82">
        <v>12470000</v>
      </c>
      <c r="I870" s="97">
        <v>0</v>
      </c>
      <c r="J870" s="97">
        <v>0</v>
      </c>
      <c r="K870" s="97">
        <v>0</v>
      </c>
      <c r="M870" s="7">
        <f t="shared" si="144"/>
        <v>0</v>
      </c>
      <c r="N870" s="7">
        <f t="shared" si="153"/>
        <v>0</v>
      </c>
      <c r="O870" s="7">
        <f t="shared" si="152"/>
        <v>-310000</v>
      </c>
      <c r="P870" s="99">
        <f t="shared" si="145"/>
        <v>-2.4256651017214397E-2</v>
      </c>
      <c r="Q870" s="99">
        <f t="shared" si="154"/>
        <v>-2.8742920018324119E-3</v>
      </c>
      <c r="S870" s="7">
        <f t="shared" si="146"/>
        <v>13717000.000000002</v>
      </c>
      <c r="T870" s="7">
        <f t="shared" si="147"/>
        <v>4156666.6666666665</v>
      </c>
      <c r="U870" s="7">
        <f t="shared" si="148"/>
        <v>9520000</v>
      </c>
      <c r="V870" s="7">
        <f t="shared" si="149"/>
        <v>0</v>
      </c>
      <c r="W870" s="7">
        <f t="shared" si="150"/>
        <v>0</v>
      </c>
      <c r="X870" s="7">
        <f t="shared" si="151"/>
        <v>0</v>
      </c>
    </row>
    <row r="871" spans="1:24">
      <c r="A871">
        <v>870</v>
      </c>
      <c r="B871" s="96" t="s">
        <v>2733</v>
      </c>
      <c r="C871" s="95">
        <v>41413</v>
      </c>
      <c r="D871" s="82">
        <v>12240000</v>
      </c>
      <c r="E871" s="82">
        <v>11960000</v>
      </c>
      <c r="F871" s="82">
        <v>12260000</v>
      </c>
      <c r="G871" s="82">
        <v>11970000</v>
      </c>
      <c r="I871" s="98">
        <v>0</v>
      </c>
      <c r="J871" s="98">
        <v>0</v>
      </c>
      <c r="K871" s="98">
        <v>0</v>
      </c>
      <c r="M871" s="7">
        <f t="shared" si="144"/>
        <v>0</v>
      </c>
      <c r="N871" s="7">
        <f t="shared" si="153"/>
        <v>0</v>
      </c>
      <c r="O871" s="7">
        <f t="shared" si="152"/>
        <v>-500000</v>
      </c>
      <c r="P871" s="99">
        <f t="shared" si="145"/>
        <v>-4.0096230954290296E-2</v>
      </c>
      <c r="Q871" s="99">
        <f t="shared" si="154"/>
        <v>-4.1171504641511709E-2</v>
      </c>
      <c r="S871" s="7">
        <f t="shared" si="146"/>
        <v>13167000.000000002</v>
      </c>
      <c r="T871" s="7">
        <f t="shared" si="147"/>
        <v>3990000</v>
      </c>
      <c r="U871" s="7">
        <f t="shared" si="148"/>
        <v>9500000</v>
      </c>
      <c r="V871" s="7">
        <f t="shared" si="149"/>
        <v>0</v>
      </c>
      <c r="W871" s="7">
        <f t="shared" si="150"/>
        <v>0</v>
      </c>
      <c r="X871" s="7">
        <f t="shared" si="151"/>
        <v>0</v>
      </c>
    </row>
    <row r="872" spans="1:24">
      <c r="A872">
        <v>871</v>
      </c>
      <c r="B872" s="96" t="s">
        <v>2732</v>
      </c>
      <c r="C872" s="95">
        <v>41416</v>
      </c>
      <c r="D872" s="82">
        <v>12810000</v>
      </c>
      <c r="E872" s="82">
        <v>12780000</v>
      </c>
      <c r="F872" s="82">
        <v>13270000</v>
      </c>
      <c r="G872" s="82">
        <v>13250000</v>
      </c>
      <c r="I872" s="82">
        <f>G872*1.1</f>
        <v>14575000.000000002</v>
      </c>
      <c r="J872" s="82">
        <f>G872/3</f>
        <v>4416666.666666667</v>
      </c>
      <c r="K872" s="7">
        <f>G1140</f>
        <v>9450000</v>
      </c>
      <c r="L872" s="7">
        <f>K872-I872</f>
        <v>-5125000.0000000019</v>
      </c>
      <c r="M872" s="7">
        <f t="shared" si="144"/>
        <v>552083.33333333337</v>
      </c>
      <c r="N872" s="7">
        <f t="shared" si="153"/>
        <v>-4572916.6666666688</v>
      </c>
      <c r="O872" s="7">
        <f t="shared" si="152"/>
        <v>1280000</v>
      </c>
      <c r="P872" s="99">
        <f t="shared" si="145"/>
        <v>0.10693400167084377</v>
      </c>
      <c r="Q872" s="99">
        <f t="shared" si="154"/>
        <v>-7.9344658672725082E-2</v>
      </c>
      <c r="R872">
        <v>1</v>
      </c>
      <c r="S872" s="7">
        <f t="shared" si="146"/>
        <v>14575000.000000002</v>
      </c>
      <c r="T872" s="7">
        <f t="shared" si="147"/>
        <v>4416666.666666667</v>
      </c>
      <c r="U872" s="7">
        <f t="shared" si="148"/>
        <v>9450000</v>
      </c>
      <c r="V872" s="7">
        <f t="shared" si="149"/>
        <v>-5125000.0000000019</v>
      </c>
      <c r="W872" s="7">
        <f t="shared" si="150"/>
        <v>552083.33333333337</v>
      </c>
      <c r="X872" s="7">
        <f t="shared" si="151"/>
        <v>-4572916.6666666688</v>
      </c>
    </row>
    <row r="873" spans="1:24">
      <c r="A873">
        <v>872</v>
      </c>
      <c r="B873" s="96" t="s">
        <v>2731</v>
      </c>
      <c r="C873" s="95">
        <v>41414</v>
      </c>
      <c r="D873" s="82">
        <v>11720000</v>
      </c>
      <c r="E873" s="82">
        <v>11570000</v>
      </c>
      <c r="F873" s="82">
        <v>12040000</v>
      </c>
      <c r="G873" s="82">
        <v>12000000</v>
      </c>
      <c r="I873" s="97">
        <v>0</v>
      </c>
      <c r="J873" s="97">
        <v>0</v>
      </c>
      <c r="K873" s="97">
        <v>0</v>
      </c>
      <c r="M873" s="7">
        <f t="shared" si="144"/>
        <v>0</v>
      </c>
      <c r="N873" s="7">
        <f t="shared" si="153"/>
        <v>0</v>
      </c>
      <c r="O873" s="7">
        <f t="shared" si="152"/>
        <v>-1250000</v>
      </c>
      <c r="P873" s="99">
        <f t="shared" si="145"/>
        <v>-9.4339622641509441E-2</v>
      </c>
      <c r="Q873" s="99">
        <f t="shared" si="154"/>
        <v>2.2579709086750666E-2</v>
      </c>
      <c r="S873" s="7">
        <f t="shared" si="146"/>
        <v>13200000.000000002</v>
      </c>
      <c r="T873" s="7">
        <f t="shared" si="147"/>
        <v>4000000</v>
      </c>
      <c r="U873" s="7">
        <f t="shared" si="148"/>
        <v>9440000</v>
      </c>
      <c r="V873" s="7">
        <f t="shared" si="149"/>
        <v>0</v>
      </c>
      <c r="W873" s="7">
        <f t="shared" si="150"/>
        <v>0</v>
      </c>
      <c r="X873" s="7">
        <f t="shared" si="151"/>
        <v>0</v>
      </c>
    </row>
    <row r="874" spans="1:24">
      <c r="A874">
        <v>873</v>
      </c>
      <c r="B874" s="96" t="s">
        <v>2730</v>
      </c>
      <c r="C874" s="95">
        <v>41417</v>
      </c>
      <c r="D874" s="82">
        <v>12950000</v>
      </c>
      <c r="E874" s="82">
        <v>12910000</v>
      </c>
      <c r="F874" s="82">
        <v>13080000</v>
      </c>
      <c r="G874" s="82">
        <v>12930000</v>
      </c>
      <c r="I874" s="97">
        <v>0</v>
      </c>
      <c r="J874" s="97">
        <v>0</v>
      </c>
      <c r="K874" s="97">
        <v>0</v>
      </c>
      <c r="M874" s="7">
        <f t="shared" si="144"/>
        <v>0</v>
      </c>
      <c r="N874" s="7">
        <f t="shared" si="153"/>
        <v>0</v>
      </c>
      <c r="O874" s="7">
        <f t="shared" si="152"/>
        <v>930000</v>
      </c>
      <c r="P874" s="99">
        <f t="shared" si="145"/>
        <v>7.7499999999999999E-2</v>
      </c>
      <c r="Q874" s="99">
        <f t="shared" si="154"/>
        <v>-5.5655619076231164E-2</v>
      </c>
      <c r="S874" s="7">
        <f t="shared" si="146"/>
        <v>14223000.000000002</v>
      </c>
      <c r="T874" s="7">
        <f t="shared" si="147"/>
        <v>4310000</v>
      </c>
      <c r="U874" s="7">
        <f t="shared" si="148"/>
        <v>9430000</v>
      </c>
      <c r="V874" s="7">
        <f t="shared" si="149"/>
        <v>0</v>
      </c>
      <c r="W874" s="7">
        <f t="shared" si="150"/>
        <v>0</v>
      </c>
      <c r="X874" s="7">
        <f t="shared" si="151"/>
        <v>0</v>
      </c>
    </row>
    <row r="875" spans="1:24">
      <c r="A875">
        <v>874</v>
      </c>
      <c r="B875" s="96" t="s">
        <v>2729</v>
      </c>
      <c r="C875" s="95">
        <v>41415</v>
      </c>
      <c r="D875" s="82">
        <v>12260000</v>
      </c>
      <c r="E875" s="82">
        <v>12200000</v>
      </c>
      <c r="F875" s="82">
        <v>12570000</v>
      </c>
      <c r="G875" s="82">
        <v>12560000</v>
      </c>
      <c r="I875" s="97">
        <v>0</v>
      </c>
      <c r="J875" s="97">
        <v>0</v>
      </c>
      <c r="K875" s="97">
        <v>0</v>
      </c>
      <c r="M875" s="7">
        <f t="shared" si="144"/>
        <v>0</v>
      </c>
      <c r="N875" s="7">
        <f t="shared" si="153"/>
        <v>0</v>
      </c>
      <c r="O875" s="7">
        <f t="shared" si="152"/>
        <v>-370000</v>
      </c>
      <c r="P875" s="99">
        <f t="shared" si="145"/>
        <v>-2.8615622583139984E-2</v>
      </c>
      <c r="Q875" s="99">
        <f t="shared" si="154"/>
        <v>2.5741497057829632E-2</v>
      </c>
      <c r="S875" s="7">
        <f t="shared" si="146"/>
        <v>13816000.000000002</v>
      </c>
      <c r="T875" s="7">
        <f t="shared" si="147"/>
        <v>4186666.6666666665</v>
      </c>
      <c r="U875" s="7">
        <f t="shared" si="148"/>
        <v>9410000</v>
      </c>
      <c r="V875" s="7">
        <f t="shared" si="149"/>
        <v>0</v>
      </c>
      <c r="W875" s="7">
        <f t="shared" si="150"/>
        <v>0</v>
      </c>
      <c r="X875" s="7">
        <f t="shared" si="151"/>
        <v>0</v>
      </c>
    </row>
    <row r="876" spans="1:24">
      <c r="A876">
        <v>875</v>
      </c>
      <c r="B876" s="96" t="s">
        <v>2728</v>
      </c>
      <c r="C876" s="95">
        <v>41419</v>
      </c>
      <c r="D876" s="82">
        <v>12980000</v>
      </c>
      <c r="E876" s="82">
        <v>12970000</v>
      </c>
      <c r="F876" s="82">
        <v>13240000</v>
      </c>
      <c r="G876" s="82">
        <v>13240000</v>
      </c>
      <c r="I876" s="98">
        <v>0</v>
      </c>
      <c r="J876" s="98">
        <v>0</v>
      </c>
      <c r="K876" s="98">
        <v>0</v>
      </c>
      <c r="M876" s="7">
        <f t="shared" si="144"/>
        <v>0</v>
      </c>
      <c r="N876" s="7">
        <f t="shared" si="153"/>
        <v>0</v>
      </c>
      <c r="O876" s="7">
        <f t="shared" si="152"/>
        <v>680000</v>
      </c>
      <c r="P876" s="99">
        <f t="shared" si="145"/>
        <v>5.4140127388535034E-2</v>
      </c>
      <c r="Q876" s="99">
        <f t="shared" si="154"/>
        <v>2.1382525491904048E-2</v>
      </c>
      <c r="S876" s="7">
        <f t="shared" si="146"/>
        <v>14564000.000000002</v>
      </c>
      <c r="T876" s="7">
        <f t="shared" si="147"/>
        <v>4413333.333333333</v>
      </c>
      <c r="U876" s="7">
        <f t="shared" si="148"/>
        <v>9445000</v>
      </c>
      <c r="V876" s="7">
        <f t="shared" si="149"/>
        <v>0</v>
      </c>
      <c r="W876" s="7">
        <f t="shared" si="150"/>
        <v>0</v>
      </c>
      <c r="X876" s="7">
        <f t="shared" si="151"/>
        <v>0</v>
      </c>
    </row>
    <row r="877" spans="1:24">
      <c r="A877">
        <v>876</v>
      </c>
      <c r="B877" s="96" t="s">
        <v>2727</v>
      </c>
      <c r="C877" s="95">
        <v>41420</v>
      </c>
      <c r="D877" s="82">
        <v>13300000</v>
      </c>
      <c r="E877" s="82">
        <v>13250000</v>
      </c>
      <c r="F877" s="82">
        <v>13540000</v>
      </c>
      <c r="G877" s="82">
        <v>13280000</v>
      </c>
      <c r="I877" s="82">
        <f>G877*1.1</f>
        <v>14608000.000000002</v>
      </c>
      <c r="J877" s="82">
        <f>G877/3</f>
        <v>4426666.666666667</v>
      </c>
      <c r="K877" s="7">
        <f>G1145</f>
        <v>9462000</v>
      </c>
      <c r="L877" s="7">
        <f>K877-I877</f>
        <v>-5146000.0000000019</v>
      </c>
      <c r="M877" s="7">
        <f t="shared" si="144"/>
        <v>553333.33333333337</v>
      </c>
      <c r="N877" s="7">
        <f t="shared" si="153"/>
        <v>-4592666.6666666688</v>
      </c>
      <c r="O877" s="7">
        <f t="shared" si="152"/>
        <v>40000</v>
      </c>
      <c r="P877" s="99">
        <f t="shared" si="145"/>
        <v>3.0211480362537764E-3</v>
      </c>
      <c r="Q877" s="99">
        <f t="shared" si="154"/>
        <v>0.11561888383472937</v>
      </c>
      <c r="R877">
        <v>1</v>
      </c>
      <c r="S877" s="7">
        <f t="shared" si="146"/>
        <v>14608000.000000002</v>
      </c>
      <c r="T877" s="7">
        <f t="shared" si="147"/>
        <v>4426666.666666667</v>
      </c>
      <c r="U877" s="7">
        <f t="shared" si="148"/>
        <v>9462000</v>
      </c>
      <c r="V877" s="7">
        <f t="shared" si="149"/>
        <v>-5146000.0000000019</v>
      </c>
      <c r="W877" s="7">
        <f t="shared" si="150"/>
        <v>553333.33333333337</v>
      </c>
      <c r="X877" s="7">
        <f t="shared" si="151"/>
        <v>-4592666.6666666688</v>
      </c>
    </row>
    <row r="878" spans="1:24">
      <c r="A878">
        <v>877</v>
      </c>
      <c r="B878" s="96" t="s">
        <v>2726</v>
      </c>
      <c r="C878" s="95">
        <v>41421</v>
      </c>
      <c r="D878" s="82">
        <v>13330000</v>
      </c>
      <c r="E878" s="82">
        <v>13200000</v>
      </c>
      <c r="F878" s="82">
        <v>13380000</v>
      </c>
      <c r="G878" s="82">
        <v>13215000</v>
      </c>
      <c r="I878" s="97">
        <v>0</v>
      </c>
      <c r="J878" s="97">
        <v>0</v>
      </c>
      <c r="K878" s="97">
        <v>0</v>
      </c>
      <c r="M878" s="7">
        <f t="shared" si="144"/>
        <v>0</v>
      </c>
      <c r="N878" s="7">
        <f t="shared" si="153"/>
        <v>0</v>
      </c>
      <c r="O878" s="7">
        <f t="shared" si="152"/>
        <v>-65000</v>
      </c>
      <c r="P878" s="99">
        <f t="shared" si="145"/>
        <v>-4.8945783132530122E-3</v>
      </c>
      <c r="Q878" s="99">
        <f t="shared" si="154"/>
        <v>1.170603020013938E-2</v>
      </c>
      <c r="S878" s="7">
        <f t="shared" si="146"/>
        <v>14536500.000000002</v>
      </c>
      <c r="T878" s="7">
        <f t="shared" si="147"/>
        <v>4405000</v>
      </c>
      <c r="U878" s="7">
        <f t="shared" si="148"/>
        <v>9440000</v>
      </c>
      <c r="V878" s="7">
        <f t="shared" si="149"/>
        <v>0</v>
      </c>
      <c r="W878" s="7">
        <f t="shared" si="150"/>
        <v>0</v>
      </c>
      <c r="X878" s="7">
        <f t="shared" si="151"/>
        <v>0</v>
      </c>
    </row>
    <row r="879" spans="1:24">
      <c r="A879">
        <v>878</v>
      </c>
      <c r="B879" s="96" t="s">
        <v>2725</v>
      </c>
      <c r="C879" s="95">
        <v>41422</v>
      </c>
      <c r="D879" s="82">
        <v>13440000</v>
      </c>
      <c r="E879" s="82">
        <v>13340000</v>
      </c>
      <c r="F879" s="82">
        <v>13440000</v>
      </c>
      <c r="G879" s="82">
        <v>13400000</v>
      </c>
      <c r="I879" s="97">
        <v>0</v>
      </c>
      <c r="J879" s="97">
        <v>0</v>
      </c>
      <c r="K879" s="97">
        <v>0</v>
      </c>
      <c r="M879" s="7">
        <f t="shared" si="144"/>
        <v>0</v>
      </c>
      <c r="N879" s="7">
        <f t="shared" si="153"/>
        <v>0</v>
      </c>
      <c r="O879" s="7">
        <f t="shared" si="152"/>
        <v>185000</v>
      </c>
      <c r="P879" s="99">
        <f t="shared" si="145"/>
        <v>1.3999243284146803E-2</v>
      </c>
      <c r="Q879" s="99">
        <f t="shared" si="154"/>
        <v>0.10115107452839581</v>
      </c>
      <c r="S879" s="7">
        <f t="shared" si="146"/>
        <v>14740000.000000002</v>
      </c>
      <c r="T879" s="7">
        <f t="shared" si="147"/>
        <v>4466666.666666667</v>
      </c>
      <c r="U879" s="7">
        <f t="shared" si="148"/>
        <v>9460000</v>
      </c>
      <c r="V879" s="7">
        <f t="shared" si="149"/>
        <v>0</v>
      </c>
      <c r="W879" s="7">
        <f t="shared" si="150"/>
        <v>0</v>
      </c>
      <c r="X879" s="7">
        <f t="shared" si="151"/>
        <v>0</v>
      </c>
    </row>
    <row r="880" spans="1:24">
      <c r="A880">
        <v>879</v>
      </c>
      <c r="B880" s="96" t="s">
        <v>2724</v>
      </c>
      <c r="C880" s="95">
        <v>41423</v>
      </c>
      <c r="D880" s="82">
        <v>13330000</v>
      </c>
      <c r="E880" s="82">
        <v>13170000</v>
      </c>
      <c r="F880" s="82">
        <v>13340000</v>
      </c>
      <c r="G880" s="82">
        <v>13180000</v>
      </c>
      <c r="I880" s="97">
        <v>0</v>
      </c>
      <c r="J880" s="97">
        <v>0</v>
      </c>
      <c r="K880" s="97">
        <v>0</v>
      </c>
      <c r="M880" s="7">
        <f t="shared" si="144"/>
        <v>0</v>
      </c>
      <c r="N880" s="7">
        <f t="shared" si="153"/>
        <v>0</v>
      </c>
      <c r="O880" s="7">
        <f t="shared" si="152"/>
        <v>-220000</v>
      </c>
      <c r="P880" s="99">
        <f t="shared" si="145"/>
        <v>-1.6417910447761194E-2</v>
      </c>
      <c r="Q880" s="99">
        <f t="shared" si="154"/>
        <v>3.7650317812542619E-2</v>
      </c>
      <c r="S880" s="7">
        <f t="shared" si="146"/>
        <v>14498000.000000002</v>
      </c>
      <c r="T880" s="7">
        <f t="shared" si="147"/>
        <v>4393333.333333333</v>
      </c>
      <c r="U880" s="7">
        <f t="shared" si="148"/>
        <v>9658000</v>
      </c>
      <c r="V880" s="7">
        <f t="shared" si="149"/>
        <v>0</v>
      </c>
      <c r="W880" s="7">
        <f t="shared" si="150"/>
        <v>0</v>
      </c>
      <c r="X880" s="7">
        <f t="shared" si="151"/>
        <v>0</v>
      </c>
    </row>
    <row r="881" spans="1:24">
      <c r="A881">
        <v>880</v>
      </c>
      <c r="B881" s="96" t="s">
        <v>2723</v>
      </c>
      <c r="C881" s="95">
        <v>41424</v>
      </c>
      <c r="D881" s="82">
        <v>13150000</v>
      </c>
      <c r="E881" s="82">
        <v>13080000</v>
      </c>
      <c r="F881" s="82">
        <v>13200000</v>
      </c>
      <c r="G881" s="82">
        <v>13190000</v>
      </c>
      <c r="I881" s="98">
        <v>0</v>
      </c>
      <c r="J881" s="98">
        <v>0</v>
      </c>
      <c r="K881" s="98">
        <v>0</v>
      </c>
      <c r="M881" s="7">
        <f t="shared" si="144"/>
        <v>0</v>
      </c>
      <c r="N881" s="7">
        <f t="shared" si="153"/>
        <v>0</v>
      </c>
      <c r="O881" s="7">
        <f t="shared" si="152"/>
        <v>10000</v>
      </c>
      <c r="P881" s="99">
        <f t="shared" si="145"/>
        <v>7.5872534142640367E-4</v>
      </c>
      <c r="Q881" s="99">
        <f t="shared" si="154"/>
        <v>4.984802994792141E-2</v>
      </c>
      <c r="S881" s="7">
        <f t="shared" si="146"/>
        <v>14509000.000000002</v>
      </c>
      <c r="T881" s="7">
        <f t="shared" si="147"/>
        <v>4396666.666666667</v>
      </c>
      <c r="U881" s="7">
        <f t="shared" si="148"/>
        <v>9640000</v>
      </c>
      <c r="V881" s="7">
        <f t="shared" si="149"/>
        <v>0</v>
      </c>
      <c r="W881" s="7">
        <f t="shared" si="150"/>
        <v>0</v>
      </c>
      <c r="X881" s="7">
        <f t="shared" si="151"/>
        <v>0</v>
      </c>
    </row>
    <row r="882" spans="1:24">
      <c r="A882">
        <v>881</v>
      </c>
      <c r="B882" s="96" t="s">
        <v>2722</v>
      </c>
      <c r="C882" s="95">
        <v>41425</v>
      </c>
      <c r="D882" s="82">
        <v>13210000</v>
      </c>
      <c r="E882" s="82">
        <v>13210000</v>
      </c>
      <c r="F882" s="82">
        <v>13210000</v>
      </c>
      <c r="G882" s="82">
        <v>13210000</v>
      </c>
      <c r="I882" s="82">
        <f>G882*1.1</f>
        <v>14531000.000000002</v>
      </c>
      <c r="J882" s="82">
        <f>G882/3</f>
        <v>4403333.333333333</v>
      </c>
      <c r="K882" s="7">
        <f>G1150</f>
        <v>9683000</v>
      </c>
      <c r="L882" s="7">
        <f>K882-I882</f>
        <v>-4848000.0000000019</v>
      </c>
      <c r="M882" s="7">
        <f t="shared" si="144"/>
        <v>550416.66666666663</v>
      </c>
      <c r="N882" s="7">
        <f t="shared" si="153"/>
        <v>-4297583.3333333349</v>
      </c>
      <c r="O882" s="7">
        <f t="shared" si="152"/>
        <v>20000</v>
      </c>
      <c r="P882" s="99">
        <f t="shared" si="145"/>
        <v>1.5163002274450341E-3</v>
      </c>
      <c r="Q882" s="99">
        <f t="shared" si="154"/>
        <v>-3.5333720991872234E-3</v>
      </c>
      <c r="R882">
        <v>1</v>
      </c>
      <c r="S882" s="7">
        <f t="shared" si="146"/>
        <v>14531000.000000002</v>
      </c>
      <c r="T882" s="7">
        <f t="shared" si="147"/>
        <v>4403333.333333333</v>
      </c>
      <c r="U882" s="7">
        <f t="shared" si="148"/>
        <v>9683000</v>
      </c>
      <c r="V882" s="7">
        <f t="shared" si="149"/>
        <v>-4848000.0000000019</v>
      </c>
      <c r="W882" s="7">
        <f t="shared" si="150"/>
        <v>550416.66666666663</v>
      </c>
      <c r="X882" s="7">
        <f t="shared" si="151"/>
        <v>-4297583.3333333349</v>
      </c>
    </row>
    <row r="883" spans="1:24">
      <c r="A883">
        <v>882</v>
      </c>
      <c r="B883" s="96" t="s">
        <v>2721</v>
      </c>
      <c r="C883" s="95">
        <v>41426</v>
      </c>
      <c r="D883" s="82">
        <v>13110000</v>
      </c>
      <c r="E883" s="82">
        <v>13110000</v>
      </c>
      <c r="F883" s="82">
        <v>13230000</v>
      </c>
      <c r="G883" s="82">
        <v>13120000</v>
      </c>
      <c r="I883" s="97">
        <v>0</v>
      </c>
      <c r="J883" s="97">
        <v>0</v>
      </c>
      <c r="K883" s="97">
        <v>0</v>
      </c>
      <c r="M883" s="7">
        <f t="shared" si="144"/>
        <v>0</v>
      </c>
      <c r="N883" s="7">
        <f t="shared" si="153"/>
        <v>0</v>
      </c>
      <c r="O883" s="7">
        <f t="shared" si="152"/>
        <v>-90000</v>
      </c>
      <c r="P883" s="99">
        <f t="shared" si="145"/>
        <v>-6.8130204390613172E-3</v>
      </c>
      <c r="Q883" s="99">
        <f t="shared" si="154"/>
        <v>-5.0382199079959649E-3</v>
      </c>
      <c r="S883" s="7">
        <f t="shared" si="146"/>
        <v>14432000.000000002</v>
      </c>
      <c r="T883" s="7">
        <f t="shared" si="147"/>
        <v>4373333.333333333</v>
      </c>
      <c r="U883" s="7">
        <f t="shared" si="148"/>
        <v>9675000</v>
      </c>
      <c r="V883" s="7">
        <f t="shared" si="149"/>
        <v>0</v>
      </c>
      <c r="W883" s="7">
        <f t="shared" si="150"/>
        <v>0</v>
      </c>
      <c r="X883" s="7">
        <f t="shared" si="151"/>
        <v>0</v>
      </c>
    </row>
    <row r="884" spans="1:24">
      <c r="A884">
        <v>883</v>
      </c>
      <c r="B884" s="96" t="s">
        <v>2720</v>
      </c>
      <c r="C884" s="95">
        <v>41427</v>
      </c>
      <c r="D884" s="82">
        <v>13110000</v>
      </c>
      <c r="E884" s="82">
        <v>12950000</v>
      </c>
      <c r="F884" s="82">
        <v>13140000</v>
      </c>
      <c r="G884" s="82">
        <v>12950000</v>
      </c>
      <c r="I884" s="97">
        <v>0</v>
      </c>
      <c r="J884" s="97">
        <v>0</v>
      </c>
      <c r="K884" s="97">
        <v>0</v>
      </c>
      <c r="M884" s="7">
        <f t="shared" si="144"/>
        <v>0</v>
      </c>
      <c r="N884" s="7">
        <f t="shared" si="153"/>
        <v>0</v>
      </c>
      <c r="O884" s="7">
        <f t="shared" si="152"/>
        <v>-170000</v>
      </c>
      <c r="P884" s="99">
        <f t="shared" si="145"/>
        <v>-1.2957317073170731E-2</v>
      </c>
      <c r="Q884" s="99">
        <f t="shared" si="154"/>
        <v>-6.9566620338042699E-3</v>
      </c>
      <c r="S884" s="7">
        <f t="shared" si="146"/>
        <v>14245000.000000002</v>
      </c>
      <c r="T884" s="7">
        <f t="shared" si="147"/>
        <v>4316666.666666667</v>
      </c>
      <c r="U884" s="7">
        <f t="shared" si="148"/>
        <v>9750000</v>
      </c>
      <c r="V884" s="7">
        <f t="shared" si="149"/>
        <v>0</v>
      </c>
      <c r="W884" s="7">
        <f t="shared" si="150"/>
        <v>0</v>
      </c>
      <c r="X884" s="7">
        <f t="shared" si="151"/>
        <v>0</v>
      </c>
    </row>
    <row r="885" spans="1:24">
      <c r="A885">
        <v>884</v>
      </c>
      <c r="B885" s="96" t="s">
        <v>2719</v>
      </c>
      <c r="C885" s="95">
        <v>41428</v>
      </c>
      <c r="D885" s="82">
        <v>12960000</v>
      </c>
      <c r="E885" s="82">
        <v>12960000</v>
      </c>
      <c r="F885" s="82">
        <v>13050000</v>
      </c>
      <c r="G885" s="82">
        <v>13050000</v>
      </c>
      <c r="I885" s="97">
        <v>0</v>
      </c>
      <c r="J885" s="97">
        <v>0</v>
      </c>
      <c r="K885" s="97">
        <v>0</v>
      </c>
      <c r="M885" s="7">
        <f t="shared" si="144"/>
        <v>0</v>
      </c>
      <c r="N885" s="7">
        <f t="shared" si="153"/>
        <v>0</v>
      </c>
      <c r="O885" s="7">
        <f t="shared" si="152"/>
        <v>100000</v>
      </c>
      <c r="P885" s="99">
        <f t="shared" si="145"/>
        <v>7.7220077220077222E-3</v>
      </c>
      <c r="Q885" s="99">
        <f t="shared" si="154"/>
        <v>-3.3913222391121808E-2</v>
      </c>
      <c r="S885" s="7">
        <f t="shared" si="146"/>
        <v>14355000.000000002</v>
      </c>
      <c r="T885" s="7">
        <f t="shared" si="147"/>
        <v>4350000</v>
      </c>
      <c r="U885" s="7">
        <f t="shared" si="148"/>
        <v>9780000</v>
      </c>
      <c r="V885" s="7">
        <f t="shared" si="149"/>
        <v>0</v>
      </c>
      <c r="W885" s="7">
        <f t="shared" si="150"/>
        <v>0</v>
      </c>
      <c r="X885" s="7">
        <f t="shared" si="151"/>
        <v>0</v>
      </c>
    </row>
    <row r="886" spans="1:24">
      <c r="A886">
        <v>885</v>
      </c>
      <c r="B886" s="96" t="s">
        <v>2718</v>
      </c>
      <c r="C886" s="95">
        <v>41433</v>
      </c>
      <c r="D886" s="82">
        <v>13030000</v>
      </c>
      <c r="E886" s="82">
        <v>13030000</v>
      </c>
      <c r="F886" s="82">
        <v>13080000</v>
      </c>
      <c r="G886" s="82">
        <v>13050000</v>
      </c>
      <c r="I886" s="98">
        <v>0</v>
      </c>
      <c r="J886" s="98">
        <v>0</v>
      </c>
      <c r="K886" s="98">
        <v>0</v>
      </c>
      <c r="M886" s="7">
        <f t="shared" si="144"/>
        <v>0</v>
      </c>
      <c r="N886" s="7">
        <f t="shared" si="153"/>
        <v>0</v>
      </c>
      <c r="O886" s="7">
        <f t="shared" si="152"/>
        <v>0</v>
      </c>
      <c r="P886" s="99">
        <f t="shared" si="145"/>
        <v>0</v>
      </c>
      <c r="Q886" s="99">
        <f t="shared" si="154"/>
        <v>-9.7733042213528892E-3</v>
      </c>
      <c r="S886" s="7">
        <f t="shared" si="146"/>
        <v>14355000.000000002</v>
      </c>
      <c r="T886" s="7">
        <f t="shared" si="147"/>
        <v>4350000</v>
      </c>
      <c r="U886" s="7">
        <f t="shared" si="148"/>
        <v>9880000</v>
      </c>
      <c r="V886" s="7">
        <f t="shared" si="149"/>
        <v>0</v>
      </c>
      <c r="W886" s="7">
        <f t="shared" si="150"/>
        <v>0</v>
      </c>
      <c r="X886" s="7">
        <f t="shared" si="151"/>
        <v>0</v>
      </c>
    </row>
    <row r="887" spans="1:24">
      <c r="A887">
        <v>886</v>
      </c>
      <c r="B887" s="96" t="s">
        <v>2717</v>
      </c>
      <c r="C887" s="95">
        <v>41434</v>
      </c>
      <c r="D887" s="82">
        <v>13040000</v>
      </c>
      <c r="E887" s="82">
        <v>12890000</v>
      </c>
      <c r="F887" s="82">
        <v>13040000</v>
      </c>
      <c r="G887" s="82">
        <v>12900000</v>
      </c>
      <c r="I887" s="82">
        <f>G887*1.1</f>
        <v>14190000.000000002</v>
      </c>
      <c r="J887" s="82">
        <f>G887/3</f>
        <v>4300000</v>
      </c>
      <c r="K887" s="7">
        <f>G1155</f>
        <v>9835000</v>
      </c>
      <c r="L887" s="7">
        <f>K887-I887</f>
        <v>-4355000.0000000019</v>
      </c>
      <c r="M887" s="7">
        <f t="shared" si="144"/>
        <v>537500</v>
      </c>
      <c r="N887" s="7">
        <f t="shared" si="153"/>
        <v>-3817500.0000000019</v>
      </c>
      <c r="O887" s="7">
        <f t="shared" si="152"/>
        <v>-150000</v>
      </c>
      <c r="P887" s="99">
        <f t="shared" si="145"/>
        <v>-1.1494252873563218E-2</v>
      </c>
      <c r="Q887" s="99">
        <f t="shared" si="154"/>
        <v>-1.0532029562779292E-2</v>
      </c>
      <c r="R887">
        <v>1</v>
      </c>
      <c r="S887" s="7">
        <f t="shared" si="146"/>
        <v>14190000.000000002</v>
      </c>
      <c r="T887" s="7">
        <f t="shared" si="147"/>
        <v>4300000</v>
      </c>
      <c r="U887" s="7">
        <f t="shared" si="148"/>
        <v>9835000</v>
      </c>
      <c r="V887" s="7">
        <f t="shared" si="149"/>
        <v>-4355000.0000000019</v>
      </c>
      <c r="W887" s="7">
        <f t="shared" si="150"/>
        <v>537500</v>
      </c>
      <c r="X887" s="7">
        <f t="shared" si="151"/>
        <v>-3817500.0000000019</v>
      </c>
    </row>
    <row r="888" spans="1:24">
      <c r="A888">
        <v>887</v>
      </c>
      <c r="B888" s="96" t="s">
        <v>2716</v>
      </c>
      <c r="C888" s="95">
        <v>41435</v>
      </c>
      <c r="D888" s="82">
        <v>12840000</v>
      </c>
      <c r="E888" s="82">
        <v>12780000</v>
      </c>
      <c r="F888" s="82">
        <v>12880000</v>
      </c>
      <c r="G888" s="82">
        <v>12800000</v>
      </c>
      <c r="I888" s="97">
        <v>0</v>
      </c>
      <c r="J888" s="97">
        <v>0</v>
      </c>
      <c r="K888" s="97">
        <v>0</v>
      </c>
      <c r="M888" s="7">
        <f t="shared" si="144"/>
        <v>0</v>
      </c>
      <c r="N888" s="7">
        <f t="shared" si="153"/>
        <v>0</v>
      </c>
      <c r="O888" s="7">
        <f t="shared" si="152"/>
        <v>-100000</v>
      </c>
      <c r="P888" s="99">
        <f t="shared" si="145"/>
        <v>-7.7519379844961239E-3</v>
      </c>
      <c r="Q888" s="99">
        <f t="shared" si="154"/>
        <v>-2.3542582663787545E-2</v>
      </c>
      <c r="S888" s="7">
        <f t="shared" si="146"/>
        <v>14080000.000000002</v>
      </c>
      <c r="T888" s="7">
        <f t="shared" si="147"/>
        <v>4266666.666666667</v>
      </c>
      <c r="U888" s="7">
        <f t="shared" si="148"/>
        <v>9760000</v>
      </c>
      <c r="V888" s="7">
        <f t="shared" si="149"/>
        <v>0</v>
      </c>
      <c r="W888" s="7">
        <f t="shared" si="150"/>
        <v>0</v>
      </c>
      <c r="X888" s="7">
        <f t="shared" si="151"/>
        <v>0</v>
      </c>
    </row>
    <row r="889" spans="1:24">
      <c r="A889">
        <v>888</v>
      </c>
      <c r="B889" s="96" t="s">
        <v>2715</v>
      </c>
      <c r="C889" s="95">
        <v>41436</v>
      </c>
      <c r="D889" s="82">
        <v>12660000</v>
      </c>
      <c r="E889" s="82">
        <v>12450000</v>
      </c>
      <c r="F889" s="82">
        <v>12660000</v>
      </c>
      <c r="G889" s="82">
        <v>12630000</v>
      </c>
      <c r="I889" s="97">
        <v>0</v>
      </c>
      <c r="J889" s="97">
        <v>0</v>
      </c>
      <c r="K889" s="97">
        <v>0</v>
      </c>
      <c r="M889" s="7">
        <f t="shared" si="144"/>
        <v>0</v>
      </c>
      <c r="N889" s="7">
        <f t="shared" si="153"/>
        <v>0</v>
      </c>
      <c r="O889" s="7">
        <f t="shared" si="152"/>
        <v>-170000</v>
      </c>
      <c r="P889" s="99">
        <f t="shared" si="145"/>
        <v>-1.328125E-2</v>
      </c>
      <c r="Q889" s="99">
        <f t="shared" si="154"/>
        <v>-2.4481500209222351E-2</v>
      </c>
      <c r="S889" s="7">
        <f t="shared" si="146"/>
        <v>13893000.000000002</v>
      </c>
      <c r="T889" s="7">
        <f t="shared" si="147"/>
        <v>4210000</v>
      </c>
      <c r="U889" s="7">
        <f t="shared" si="148"/>
        <v>9765000</v>
      </c>
      <c r="V889" s="7">
        <f t="shared" si="149"/>
        <v>0</v>
      </c>
      <c r="W889" s="7">
        <f t="shared" si="150"/>
        <v>0</v>
      </c>
      <c r="X889" s="7">
        <f t="shared" si="151"/>
        <v>0</v>
      </c>
    </row>
    <row r="890" spans="1:24">
      <c r="A890">
        <v>889</v>
      </c>
      <c r="B890" s="96" t="s">
        <v>2714</v>
      </c>
      <c r="C890" s="95">
        <v>41437</v>
      </c>
      <c r="D890" s="82">
        <v>12660000</v>
      </c>
      <c r="E890" s="82">
        <v>12660000</v>
      </c>
      <c r="F890" s="82">
        <v>13050000</v>
      </c>
      <c r="G890" s="82">
        <v>12990000</v>
      </c>
      <c r="I890" s="97">
        <v>0</v>
      </c>
      <c r="J890" s="97">
        <v>0</v>
      </c>
      <c r="K890" s="97">
        <v>0</v>
      </c>
      <c r="M890" s="7">
        <f t="shared" si="144"/>
        <v>0</v>
      </c>
      <c r="N890" s="7">
        <f t="shared" si="153"/>
        <v>0</v>
      </c>
      <c r="O890" s="7">
        <f t="shared" si="152"/>
        <v>360000</v>
      </c>
      <c r="P890" s="99">
        <f t="shared" si="145"/>
        <v>2.8503562945368172E-2</v>
      </c>
      <c r="Q890" s="99">
        <f t="shared" si="154"/>
        <v>-2.480543313605162E-2</v>
      </c>
      <c r="S890" s="7">
        <f t="shared" si="146"/>
        <v>14289000.000000002</v>
      </c>
      <c r="T890" s="7">
        <f t="shared" si="147"/>
        <v>4330000</v>
      </c>
      <c r="U890" s="7">
        <f t="shared" si="148"/>
        <v>9765000</v>
      </c>
      <c r="V890" s="7">
        <f t="shared" si="149"/>
        <v>0</v>
      </c>
      <c r="W890" s="7">
        <f t="shared" si="150"/>
        <v>0</v>
      </c>
      <c r="X890" s="7">
        <f t="shared" si="151"/>
        <v>0</v>
      </c>
    </row>
    <row r="891" spans="1:24">
      <c r="A891">
        <v>890</v>
      </c>
      <c r="B891" s="96" t="s">
        <v>2713</v>
      </c>
      <c r="C891" s="95">
        <v>41438</v>
      </c>
      <c r="D891" s="82">
        <v>13100000</v>
      </c>
      <c r="E891" s="82">
        <v>13050000</v>
      </c>
      <c r="F891" s="82">
        <v>13120000</v>
      </c>
      <c r="G891" s="82">
        <v>13080000</v>
      </c>
      <c r="I891" s="98">
        <v>0</v>
      </c>
      <c r="J891" s="98">
        <v>0</v>
      </c>
      <c r="K891" s="98">
        <v>0</v>
      </c>
      <c r="M891" s="7">
        <f t="shared" si="144"/>
        <v>0</v>
      </c>
      <c r="N891" s="7">
        <f t="shared" si="153"/>
        <v>0</v>
      </c>
      <c r="O891" s="7">
        <f t="shared" si="152"/>
        <v>90000</v>
      </c>
      <c r="P891" s="99">
        <f t="shared" si="145"/>
        <v>6.9284064665127024E-3</v>
      </c>
      <c r="Q891" s="99">
        <f t="shared" si="154"/>
        <v>-4.0238779126911713E-3</v>
      </c>
      <c r="S891" s="7">
        <f t="shared" si="146"/>
        <v>14388000.000000002</v>
      </c>
      <c r="T891" s="7">
        <f t="shared" si="147"/>
        <v>4360000</v>
      </c>
      <c r="U891" s="7">
        <f t="shared" si="148"/>
        <v>9790000</v>
      </c>
      <c r="V891" s="7">
        <f t="shared" si="149"/>
        <v>0</v>
      </c>
      <c r="W891" s="7">
        <f t="shared" si="150"/>
        <v>0</v>
      </c>
      <c r="X891" s="7">
        <f t="shared" si="151"/>
        <v>0</v>
      </c>
    </row>
    <row r="892" spans="1:24">
      <c r="A892">
        <v>891</v>
      </c>
      <c r="B892" s="96" t="s">
        <v>2712</v>
      </c>
      <c r="C892" s="95">
        <v>41440</v>
      </c>
      <c r="D892" s="82">
        <v>12650000</v>
      </c>
      <c r="E892" s="82">
        <v>12000000</v>
      </c>
      <c r="F892" s="82">
        <v>12680000</v>
      </c>
      <c r="G892" s="82">
        <v>12120000</v>
      </c>
      <c r="I892" s="82">
        <f>G892*1.1</f>
        <v>13332000.000000002</v>
      </c>
      <c r="J892" s="82">
        <f>G892/3</f>
        <v>4040000</v>
      </c>
      <c r="K892" s="7">
        <f>G1160</f>
        <v>9800000</v>
      </c>
      <c r="L892" s="7">
        <f>K892-I892</f>
        <v>-3532000.0000000019</v>
      </c>
      <c r="M892" s="7">
        <f t="shared" si="144"/>
        <v>505000</v>
      </c>
      <c r="N892" s="7">
        <f t="shared" si="153"/>
        <v>-3027000.0000000019</v>
      </c>
      <c r="O892" s="7">
        <f t="shared" si="152"/>
        <v>-960000</v>
      </c>
      <c r="P892" s="99">
        <f t="shared" si="145"/>
        <v>-7.3394495412844041E-2</v>
      </c>
      <c r="Q892" s="99">
        <f t="shared" si="154"/>
        <v>2.9045285538215311E-3</v>
      </c>
      <c r="R892">
        <v>1</v>
      </c>
      <c r="S892" s="7">
        <f t="shared" si="146"/>
        <v>13332000.000000002</v>
      </c>
      <c r="T892" s="7">
        <f t="shared" si="147"/>
        <v>4040000</v>
      </c>
      <c r="U892" s="7">
        <f t="shared" si="148"/>
        <v>9800000</v>
      </c>
      <c r="V892" s="7">
        <f t="shared" si="149"/>
        <v>-3532000.0000000019</v>
      </c>
      <c r="W892" s="7">
        <f t="shared" si="150"/>
        <v>505000</v>
      </c>
      <c r="X892" s="7">
        <f t="shared" si="151"/>
        <v>-3027000.0000000019</v>
      </c>
    </row>
    <row r="893" spans="1:24">
      <c r="A893">
        <v>892</v>
      </c>
      <c r="B893" s="96" t="s">
        <v>2711</v>
      </c>
      <c r="C893" s="95">
        <v>41441</v>
      </c>
      <c r="D893" s="82">
        <v>12500000</v>
      </c>
      <c r="E893" s="82">
        <v>12380000</v>
      </c>
      <c r="F893" s="82">
        <v>12680000</v>
      </c>
      <c r="G893" s="82">
        <v>12600000</v>
      </c>
      <c r="I893" s="97">
        <v>0</v>
      </c>
      <c r="J893" s="97">
        <v>0</v>
      </c>
      <c r="K893" s="97">
        <v>0</v>
      </c>
      <c r="M893" s="7">
        <f t="shared" si="144"/>
        <v>0</v>
      </c>
      <c r="N893" s="7">
        <f t="shared" si="153"/>
        <v>0</v>
      </c>
      <c r="O893" s="7">
        <f t="shared" si="152"/>
        <v>480000</v>
      </c>
      <c r="P893" s="99">
        <f t="shared" si="145"/>
        <v>3.9603960396039604E-2</v>
      </c>
      <c r="Q893" s="99">
        <f t="shared" si="154"/>
        <v>-5.8995713985459289E-2</v>
      </c>
      <c r="S893" s="7">
        <f t="shared" si="146"/>
        <v>13860000.000000002</v>
      </c>
      <c r="T893" s="7">
        <f t="shared" si="147"/>
        <v>4200000</v>
      </c>
      <c r="U893" s="7">
        <f t="shared" si="148"/>
        <v>9855000</v>
      </c>
      <c r="V893" s="7">
        <f t="shared" si="149"/>
        <v>0</v>
      </c>
      <c r="W893" s="7">
        <f t="shared" si="150"/>
        <v>0</v>
      </c>
      <c r="X893" s="7">
        <f t="shared" si="151"/>
        <v>0</v>
      </c>
    </row>
    <row r="894" spans="1:24">
      <c r="A894">
        <v>893</v>
      </c>
      <c r="B894" s="96" t="s">
        <v>2710</v>
      </c>
      <c r="C894" s="95">
        <v>41442</v>
      </c>
      <c r="D894" s="82">
        <v>12380000</v>
      </c>
      <c r="E894" s="82">
        <v>12280000</v>
      </c>
      <c r="F894" s="82">
        <v>12570000</v>
      </c>
      <c r="G894" s="82">
        <v>12550000</v>
      </c>
      <c r="I894" s="97">
        <v>0</v>
      </c>
      <c r="J894" s="97">
        <v>0</v>
      </c>
      <c r="K894" s="97">
        <v>0</v>
      </c>
      <c r="M894" s="7">
        <f t="shared" si="144"/>
        <v>0</v>
      </c>
      <c r="N894" s="7">
        <f t="shared" si="153"/>
        <v>0</v>
      </c>
      <c r="O894" s="7">
        <f t="shared" si="152"/>
        <v>-50000</v>
      </c>
      <c r="P894" s="99">
        <f t="shared" si="145"/>
        <v>-3.968253968253968E-3</v>
      </c>
      <c r="Q894" s="99">
        <f t="shared" si="154"/>
        <v>-1.163981560492356E-2</v>
      </c>
      <c r="S894" s="7">
        <f t="shared" si="146"/>
        <v>13805000.000000002</v>
      </c>
      <c r="T894" s="7">
        <f t="shared" si="147"/>
        <v>4183333.3333333335</v>
      </c>
      <c r="U894" s="7">
        <f t="shared" si="148"/>
        <v>10000000</v>
      </c>
      <c r="V894" s="7">
        <f t="shared" si="149"/>
        <v>0</v>
      </c>
      <c r="W894" s="7">
        <f t="shared" si="150"/>
        <v>0</v>
      </c>
      <c r="X894" s="7">
        <f t="shared" si="151"/>
        <v>0</v>
      </c>
    </row>
    <row r="895" spans="1:24">
      <c r="A895">
        <v>894</v>
      </c>
      <c r="B895" s="96" t="s">
        <v>2709</v>
      </c>
      <c r="C895" s="95">
        <v>41443</v>
      </c>
      <c r="D895" s="82">
        <v>12680000</v>
      </c>
      <c r="E895" s="82">
        <v>12350000</v>
      </c>
      <c r="F895" s="82">
        <v>12680000</v>
      </c>
      <c r="G895" s="82">
        <v>12350000</v>
      </c>
      <c r="I895" s="97">
        <v>0</v>
      </c>
      <c r="J895" s="97">
        <v>0</v>
      </c>
      <c r="K895" s="97">
        <v>0</v>
      </c>
      <c r="M895" s="7">
        <f t="shared" si="144"/>
        <v>0</v>
      </c>
      <c r="N895" s="7">
        <f t="shared" si="153"/>
        <v>0</v>
      </c>
      <c r="O895" s="7">
        <f t="shared" si="152"/>
        <v>-200000</v>
      </c>
      <c r="P895" s="99">
        <f t="shared" si="145"/>
        <v>-1.5936254980079681E-2</v>
      </c>
      <c r="Q895" s="99">
        <f t="shared" si="154"/>
        <v>-2.3268195731775271E-3</v>
      </c>
      <c r="S895" s="7">
        <f t="shared" si="146"/>
        <v>13585000.000000002</v>
      </c>
      <c r="T895" s="7">
        <f t="shared" si="147"/>
        <v>4116666.6666666665</v>
      </c>
      <c r="U895" s="7">
        <f t="shared" si="148"/>
        <v>9910000</v>
      </c>
      <c r="V895" s="7">
        <f t="shared" si="149"/>
        <v>0</v>
      </c>
      <c r="W895" s="7">
        <f t="shared" si="150"/>
        <v>0</v>
      </c>
      <c r="X895" s="7">
        <f t="shared" si="151"/>
        <v>0</v>
      </c>
    </row>
    <row r="896" spans="1:24">
      <c r="A896">
        <v>895</v>
      </c>
      <c r="B896" s="96" t="s">
        <v>2708</v>
      </c>
      <c r="C896" s="95">
        <v>41444</v>
      </c>
      <c r="D896" s="82">
        <v>12230000</v>
      </c>
      <c r="E896" s="82">
        <v>12030000</v>
      </c>
      <c r="F896" s="82">
        <v>12250000</v>
      </c>
      <c r="G896" s="82">
        <v>12050000</v>
      </c>
      <c r="I896" s="98">
        <v>0</v>
      </c>
      <c r="J896" s="98">
        <v>0</v>
      </c>
      <c r="K896" s="98">
        <v>0</v>
      </c>
      <c r="M896" s="7">
        <f t="shared" si="144"/>
        <v>0</v>
      </c>
      <c r="N896" s="7">
        <f t="shared" si="153"/>
        <v>0</v>
      </c>
      <c r="O896" s="7">
        <f t="shared" si="152"/>
        <v>-300000</v>
      </c>
      <c r="P896" s="99">
        <f t="shared" si="145"/>
        <v>-2.4291497975708502E-2</v>
      </c>
      <c r="Q896" s="99">
        <f t="shared" si="154"/>
        <v>-4.6766637498625384E-2</v>
      </c>
      <c r="S896" s="7">
        <f t="shared" si="146"/>
        <v>13255000.000000002</v>
      </c>
      <c r="T896" s="7">
        <f t="shared" si="147"/>
        <v>4016666.6666666665</v>
      </c>
      <c r="U896" s="7">
        <f t="shared" si="148"/>
        <v>9950000</v>
      </c>
      <c r="V896" s="7">
        <f t="shared" si="149"/>
        <v>0</v>
      </c>
      <c r="W896" s="7">
        <f t="shared" si="150"/>
        <v>0</v>
      </c>
      <c r="X896" s="7">
        <f t="shared" si="151"/>
        <v>0</v>
      </c>
    </row>
    <row r="897" spans="1:24">
      <c r="A897">
        <v>896</v>
      </c>
      <c r="B897" s="96" t="s">
        <v>2707</v>
      </c>
      <c r="C897" s="95">
        <v>41445</v>
      </c>
      <c r="D897" s="82">
        <v>11800000</v>
      </c>
      <c r="E897" s="82">
        <v>11600000</v>
      </c>
      <c r="F897" s="82">
        <v>11810000</v>
      </c>
      <c r="G897" s="82">
        <v>11710000</v>
      </c>
      <c r="I897" s="82">
        <f>G897*1.1</f>
        <v>12881000.000000002</v>
      </c>
      <c r="J897" s="82">
        <f>G897/3</f>
        <v>3903333.3333333335</v>
      </c>
      <c r="K897" s="7">
        <f>G1165</f>
        <v>9960000</v>
      </c>
      <c r="L897" s="7">
        <f>K897-I897</f>
        <v>-2921000.0000000019</v>
      </c>
      <c r="M897" s="7">
        <f t="shared" si="144"/>
        <v>487916.66666666674</v>
      </c>
      <c r="N897" s="7">
        <f t="shared" si="153"/>
        <v>-2433083.3333333349</v>
      </c>
      <c r="O897" s="7">
        <f t="shared" si="152"/>
        <v>-340000</v>
      </c>
      <c r="P897" s="99">
        <f t="shared" si="145"/>
        <v>-2.8215767634854772E-2</v>
      </c>
      <c r="Q897" s="99">
        <f t="shared" si="154"/>
        <v>-7.7986541940846588E-2</v>
      </c>
      <c r="R897">
        <v>1</v>
      </c>
      <c r="S897" s="7">
        <f t="shared" si="146"/>
        <v>12881000.000000002</v>
      </c>
      <c r="T897" s="7">
        <f t="shared" si="147"/>
        <v>3903333.3333333335</v>
      </c>
      <c r="U897" s="7">
        <f t="shared" si="148"/>
        <v>9960000</v>
      </c>
      <c r="V897" s="7">
        <f t="shared" si="149"/>
        <v>-2921000.0000000019</v>
      </c>
      <c r="W897" s="7">
        <f t="shared" si="150"/>
        <v>487916.66666666674</v>
      </c>
      <c r="X897" s="7">
        <f t="shared" si="151"/>
        <v>-2433083.3333333349</v>
      </c>
    </row>
    <row r="898" spans="1:24">
      <c r="A898">
        <v>897</v>
      </c>
      <c r="B898" s="96" t="s">
        <v>2706</v>
      </c>
      <c r="C898" s="95">
        <v>41447</v>
      </c>
      <c r="D898" s="82">
        <v>11640000</v>
      </c>
      <c r="E898" s="82">
        <v>11080000</v>
      </c>
      <c r="F898" s="82">
        <v>11640000</v>
      </c>
      <c r="G898" s="82">
        <v>11200000</v>
      </c>
      <c r="I898" s="97">
        <v>0</v>
      </c>
      <c r="J898" s="97">
        <v>0</v>
      </c>
      <c r="K898" s="97">
        <v>0</v>
      </c>
      <c r="M898" s="7">
        <f t="shared" ref="M898:M961" si="155">J898*$AI$6/200</f>
        <v>0</v>
      </c>
      <c r="N898" s="7">
        <f t="shared" si="153"/>
        <v>0</v>
      </c>
      <c r="O898" s="7">
        <f t="shared" si="152"/>
        <v>-510000</v>
      </c>
      <c r="P898" s="99">
        <f t="shared" si="145"/>
        <v>-4.3552519214346712E-2</v>
      </c>
      <c r="Q898" s="99">
        <f t="shared" si="154"/>
        <v>-3.2807814162857316E-2</v>
      </c>
      <c r="S898" s="7">
        <f t="shared" si="146"/>
        <v>12320000.000000002</v>
      </c>
      <c r="T898" s="7">
        <f t="shared" si="147"/>
        <v>3733333.3333333335</v>
      </c>
      <c r="U898" s="7">
        <f t="shared" si="148"/>
        <v>10140000</v>
      </c>
      <c r="V898" s="7">
        <f t="shared" si="149"/>
        <v>0</v>
      </c>
      <c r="W898" s="7">
        <f t="shared" si="150"/>
        <v>0</v>
      </c>
      <c r="X898" s="7">
        <f t="shared" si="151"/>
        <v>0</v>
      </c>
    </row>
    <row r="899" spans="1:24">
      <c r="A899">
        <v>898</v>
      </c>
      <c r="B899" s="96" t="s">
        <v>2705</v>
      </c>
      <c r="C899" s="95">
        <v>41448</v>
      </c>
      <c r="D899" s="82">
        <v>10880000</v>
      </c>
      <c r="E899" s="82">
        <v>10380000</v>
      </c>
      <c r="F899" s="82">
        <v>11300000</v>
      </c>
      <c r="G899" s="82">
        <v>10970000</v>
      </c>
      <c r="I899" s="97">
        <v>0</v>
      </c>
      <c r="J899" s="97">
        <v>0</v>
      </c>
      <c r="K899" s="97">
        <v>0</v>
      </c>
      <c r="M899" s="7">
        <f t="shared" si="155"/>
        <v>0</v>
      </c>
      <c r="N899" s="7">
        <f t="shared" si="153"/>
        <v>0</v>
      </c>
      <c r="O899" s="7">
        <f t="shared" si="152"/>
        <v>-230000</v>
      </c>
      <c r="P899" s="99">
        <f t="shared" ref="P899:P962" si="156">O899/G898</f>
        <v>-2.0535714285714286E-2</v>
      </c>
      <c r="Q899" s="99">
        <f t="shared" si="154"/>
        <v>-0.11596429377324363</v>
      </c>
      <c r="S899" s="7">
        <f t="shared" ref="S899:S962" si="157">G899*1.1</f>
        <v>12067000.000000002</v>
      </c>
      <c r="T899" s="7">
        <f t="shared" ref="T899:T962" si="158">G899/3</f>
        <v>3656666.6666666665</v>
      </c>
      <c r="U899" s="7">
        <f t="shared" ref="U899:U962" si="159">G1167</f>
        <v>10455000</v>
      </c>
      <c r="V899" s="7">
        <f t="shared" ref="V899:V962" si="160">(U899-S899)*R899</f>
        <v>0</v>
      </c>
      <c r="W899" s="7">
        <f t="shared" ref="W899:W962" si="161">(T899*$AI$6/200)*R899</f>
        <v>0</v>
      </c>
      <c r="X899" s="7">
        <f t="shared" ref="X899:X962" si="162">V899+W899</f>
        <v>0</v>
      </c>
    </row>
    <row r="900" spans="1:24">
      <c r="A900">
        <v>899</v>
      </c>
      <c r="B900" s="96" t="s">
        <v>2704</v>
      </c>
      <c r="C900" s="95">
        <v>41449</v>
      </c>
      <c r="D900" s="82">
        <v>10980000</v>
      </c>
      <c r="E900" s="82">
        <v>10980000</v>
      </c>
      <c r="F900" s="82">
        <v>10980000</v>
      </c>
      <c r="G900" s="82">
        <v>10980000</v>
      </c>
      <c r="I900" s="97">
        <v>0</v>
      </c>
      <c r="J900" s="97">
        <v>0</v>
      </c>
      <c r="K900" s="97">
        <v>0</v>
      </c>
      <c r="M900" s="7">
        <f t="shared" si="155"/>
        <v>0</v>
      </c>
      <c r="N900" s="7">
        <f t="shared" si="153"/>
        <v>0</v>
      </c>
      <c r="O900" s="7">
        <f t="shared" ref="O900:O963" si="163">G900-G899</f>
        <v>10000</v>
      </c>
      <c r="P900" s="99">
        <f t="shared" si="156"/>
        <v>9.1157702825888785E-4</v>
      </c>
      <c r="Q900" s="99">
        <f t="shared" si="154"/>
        <v>-0.13253175409070397</v>
      </c>
      <c r="S900" s="7">
        <f t="shared" si="157"/>
        <v>12078000.000000002</v>
      </c>
      <c r="T900" s="7">
        <f t="shared" si="158"/>
        <v>3660000</v>
      </c>
      <c r="U900" s="7">
        <f t="shared" si="159"/>
        <v>10185000</v>
      </c>
      <c r="V900" s="7">
        <f t="shared" si="160"/>
        <v>0</v>
      </c>
      <c r="W900" s="7">
        <f t="shared" si="161"/>
        <v>0</v>
      </c>
      <c r="X900" s="7">
        <f t="shared" si="162"/>
        <v>0</v>
      </c>
    </row>
    <row r="901" spans="1:24">
      <c r="A901">
        <v>900</v>
      </c>
      <c r="B901" s="96" t="s">
        <v>2703</v>
      </c>
      <c r="C901" s="95">
        <v>41450</v>
      </c>
      <c r="D901" s="82">
        <v>10620000</v>
      </c>
      <c r="E901" s="82">
        <v>10580000</v>
      </c>
      <c r="F901" s="82">
        <v>11120000</v>
      </c>
      <c r="G901" s="82">
        <v>10900000</v>
      </c>
      <c r="I901" s="98">
        <v>0</v>
      </c>
      <c r="J901" s="98">
        <v>0</v>
      </c>
      <c r="K901" s="98">
        <v>0</v>
      </c>
      <c r="M901" s="7">
        <f t="shared" si="155"/>
        <v>0</v>
      </c>
      <c r="N901" s="7">
        <f t="shared" si="153"/>
        <v>0</v>
      </c>
      <c r="O901" s="7">
        <f t="shared" si="163"/>
        <v>-80000</v>
      </c>
      <c r="P901" s="99">
        <f t="shared" si="156"/>
        <v>-7.2859744990892532E-3</v>
      </c>
      <c r="Q901" s="99">
        <f t="shared" si="154"/>
        <v>-0.11568392208236537</v>
      </c>
      <c r="S901" s="7">
        <f t="shared" si="157"/>
        <v>11990000.000000002</v>
      </c>
      <c r="T901" s="7">
        <f t="shared" si="158"/>
        <v>3633333.3333333335</v>
      </c>
      <c r="U901" s="7">
        <f t="shared" si="159"/>
        <v>10160000</v>
      </c>
      <c r="V901" s="7">
        <f t="shared" si="160"/>
        <v>0</v>
      </c>
      <c r="W901" s="7">
        <f t="shared" si="161"/>
        <v>0</v>
      </c>
      <c r="X901" s="7">
        <f t="shared" si="162"/>
        <v>0</v>
      </c>
    </row>
    <row r="902" spans="1:24">
      <c r="A902">
        <v>901</v>
      </c>
      <c r="B902" s="96" t="s">
        <v>2702</v>
      </c>
      <c r="C902" s="95">
        <v>41451</v>
      </c>
      <c r="D902" s="82">
        <v>10680000</v>
      </c>
      <c r="E902" s="82">
        <v>10660000</v>
      </c>
      <c r="F902" s="82">
        <v>10930000</v>
      </c>
      <c r="G902" s="82">
        <v>10830000</v>
      </c>
      <c r="I902" s="82">
        <f>G902*1.1</f>
        <v>11913000.000000002</v>
      </c>
      <c r="J902" s="82">
        <f>G902/3</f>
        <v>3610000</v>
      </c>
      <c r="K902" s="7">
        <f>G1170</f>
        <v>10110000</v>
      </c>
      <c r="L902" s="7">
        <f>K902-I902</f>
        <v>-1803000.0000000019</v>
      </c>
      <c r="M902" s="7">
        <f t="shared" si="155"/>
        <v>451250</v>
      </c>
      <c r="N902" s="7">
        <f t="shared" si="153"/>
        <v>-1351750.0000000019</v>
      </c>
      <c r="O902" s="7">
        <f t="shared" si="163"/>
        <v>-70000</v>
      </c>
      <c r="P902" s="99">
        <f t="shared" si="156"/>
        <v>-6.4220183486238536E-3</v>
      </c>
      <c r="Q902" s="99">
        <f t="shared" si="154"/>
        <v>-9.8678398605746134E-2</v>
      </c>
      <c r="R902">
        <v>1</v>
      </c>
      <c r="S902" s="7">
        <f t="shared" si="157"/>
        <v>11913000.000000002</v>
      </c>
      <c r="T902" s="7">
        <f t="shared" si="158"/>
        <v>3610000</v>
      </c>
      <c r="U902" s="7">
        <f t="shared" si="159"/>
        <v>10110000</v>
      </c>
      <c r="V902" s="7">
        <f t="shared" si="160"/>
        <v>-1803000.0000000019</v>
      </c>
      <c r="W902" s="7">
        <f t="shared" si="161"/>
        <v>451250</v>
      </c>
      <c r="X902" s="7">
        <f t="shared" si="162"/>
        <v>-1351750.0000000019</v>
      </c>
    </row>
    <row r="903" spans="1:24">
      <c r="A903">
        <v>902</v>
      </c>
      <c r="B903" s="96" t="s">
        <v>2701</v>
      </c>
      <c r="C903" s="95">
        <v>41452</v>
      </c>
      <c r="D903" s="82">
        <v>11000000</v>
      </c>
      <c r="E903" s="82">
        <v>10920000</v>
      </c>
      <c r="F903" s="82">
        <v>11110000</v>
      </c>
      <c r="G903" s="82">
        <v>10950000</v>
      </c>
      <c r="I903" s="97">
        <v>0</v>
      </c>
      <c r="J903" s="97">
        <v>0</v>
      </c>
      <c r="K903" s="97">
        <v>0</v>
      </c>
      <c r="M903" s="7">
        <f t="shared" si="155"/>
        <v>0</v>
      </c>
      <c r="N903" s="7">
        <f t="shared" si="153"/>
        <v>0</v>
      </c>
      <c r="O903" s="7">
        <f t="shared" si="163"/>
        <v>120000</v>
      </c>
      <c r="P903" s="99">
        <f t="shared" si="156"/>
        <v>1.1080332409972299E-2</v>
      </c>
      <c r="Q903" s="99">
        <f t="shared" si="154"/>
        <v>-7.6884649319515219E-2</v>
      </c>
      <c r="S903" s="7">
        <f t="shared" si="157"/>
        <v>12045000.000000002</v>
      </c>
      <c r="T903" s="7">
        <f t="shared" si="158"/>
        <v>3650000</v>
      </c>
      <c r="U903" s="7">
        <f t="shared" si="159"/>
        <v>10120000</v>
      </c>
      <c r="V903" s="7">
        <f t="shared" si="160"/>
        <v>0</v>
      </c>
      <c r="W903" s="7">
        <f t="shared" si="161"/>
        <v>0</v>
      </c>
      <c r="X903" s="7">
        <f t="shared" si="162"/>
        <v>0</v>
      </c>
    </row>
    <row r="904" spans="1:24">
      <c r="A904">
        <v>903</v>
      </c>
      <c r="B904" s="96" t="s">
        <v>2700</v>
      </c>
      <c r="C904" s="95">
        <v>41454</v>
      </c>
      <c r="D904" s="82">
        <v>11020000</v>
      </c>
      <c r="E904" s="82">
        <v>10860000</v>
      </c>
      <c r="F904" s="82">
        <v>11070000</v>
      </c>
      <c r="G904" s="82">
        <v>10900000</v>
      </c>
      <c r="I904" s="97">
        <v>0</v>
      </c>
      <c r="J904" s="97">
        <v>0</v>
      </c>
      <c r="K904" s="97">
        <v>0</v>
      </c>
      <c r="M904" s="7">
        <f t="shared" si="155"/>
        <v>0</v>
      </c>
      <c r="N904" s="7">
        <f t="shared" ref="N904:N967" si="164">L904+M904</f>
        <v>0</v>
      </c>
      <c r="O904" s="7">
        <f t="shared" si="163"/>
        <v>-50000</v>
      </c>
      <c r="P904" s="99">
        <f t="shared" si="156"/>
        <v>-4.5662100456621002E-3</v>
      </c>
      <c r="Q904" s="99">
        <f t="shared" ref="Q904:Q967" si="165">SUM(P899:P903)</f>
        <v>-2.2251797695196203E-2</v>
      </c>
      <c r="S904" s="7">
        <f t="shared" si="157"/>
        <v>11990000.000000002</v>
      </c>
      <c r="T904" s="7">
        <f t="shared" si="158"/>
        <v>3633333.3333333335</v>
      </c>
      <c r="U904" s="7">
        <f t="shared" si="159"/>
        <v>10130000</v>
      </c>
      <c r="V904" s="7">
        <f t="shared" si="160"/>
        <v>0</v>
      </c>
      <c r="W904" s="7">
        <f t="shared" si="161"/>
        <v>0</v>
      </c>
      <c r="X904" s="7">
        <f t="shared" si="162"/>
        <v>0</v>
      </c>
    </row>
    <row r="905" spans="1:24">
      <c r="A905">
        <v>904</v>
      </c>
      <c r="B905" s="96" t="s">
        <v>2699</v>
      </c>
      <c r="C905" s="95">
        <v>41455</v>
      </c>
      <c r="D905" s="82">
        <v>11010000</v>
      </c>
      <c r="E905" s="82">
        <v>10960000</v>
      </c>
      <c r="F905" s="82">
        <v>11120000</v>
      </c>
      <c r="G905" s="82">
        <v>11110000</v>
      </c>
      <c r="I905" s="97">
        <v>0</v>
      </c>
      <c r="J905" s="97">
        <v>0</v>
      </c>
      <c r="K905" s="97">
        <v>0</v>
      </c>
      <c r="M905" s="7">
        <f t="shared" si="155"/>
        <v>0</v>
      </c>
      <c r="N905" s="7">
        <f t="shared" si="164"/>
        <v>0</v>
      </c>
      <c r="O905" s="7">
        <f t="shared" si="163"/>
        <v>210000</v>
      </c>
      <c r="P905" s="99">
        <f t="shared" si="156"/>
        <v>1.9266055045871561E-2</v>
      </c>
      <c r="Q905" s="99">
        <f t="shared" si="165"/>
        <v>-6.2822934551440193E-3</v>
      </c>
      <c r="S905" s="7">
        <f t="shared" si="157"/>
        <v>12221000.000000002</v>
      </c>
      <c r="T905" s="7">
        <f t="shared" si="158"/>
        <v>3703333.3333333335</v>
      </c>
      <c r="U905" s="7">
        <f t="shared" si="159"/>
        <v>10220000</v>
      </c>
      <c r="V905" s="7">
        <f t="shared" si="160"/>
        <v>0</v>
      </c>
      <c r="W905" s="7">
        <f t="shared" si="161"/>
        <v>0</v>
      </c>
      <c r="X905" s="7">
        <f t="shared" si="162"/>
        <v>0</v>
      </c>
    </row>
    <row r="906" spans="1:24">
      <c r="A906">
        <v>905</v>
      </c>
      <c r="B906" s="96" t="s">
        <v>2698</v>
      </c>
      <c r="C906" s="95">
        <v>41456</v>
      </c>
      <c r="D906" s="82">
        <v>11380000</v>
      </c>
      <c r="E906" s="82">
        <v>11320000</v>
      </c>
      <c r="F906" s="82">
        <v>11480000</v>
      </c>
      <c r="G906" s="82">
        <v>11410000</v>
      </c>
      <c r="I906" s="98">
        <v>0</v>
      </c>
      <c r="J906" s="98">
        <v>0</v>
      </c>
      <c r="K906" s="98">
        <v>0</v>
      </c>
      <c r="M906" s="7">
        <f t="shared" si="155"/>
        <v>0</v>
      </c>
      <c r="N906" s="7">
        <f t="shared" si="164"/>
        <v>0</v>
      </c>
      <c r="O906" s="7">
        <f t="shared" si="163"/>
        <v>300000</v>
      </c>
      <c r="P906" s="99">
        <f t="shared" si="156"/>
        <v>2.7002700270027002E-2</v>
      </c>
      <c r="Q906" s="99">
        <f t="shared" si="165"/>
        <v>1.2072184562468653E-2</v>
      </c>
      <c r="S906" s="7">
        <f t="shared" si="157"/>
        <v>12551000.000000002</v>
      </c>
      <c r="T906" s="7">
        <f t="shared" si="158"/>
        <v>3803333.3333333335</v>
      </c>
      <c r="U906" s="7">
        <f t="shared" si="159"/>
        <v>10130000</v>
      </c>
      <c r="V906" s="7">
        <f t="shared" si="160"/>
        <v>0</v>
      </c>
      <c r="W906" s="7">
        <f t="shared" si="161"/>
        <v>0</v>
      </c>
      <c r="X906" s="7">
        <f t="shared" si="162"/>
        <v>0</v>
      </c>
    </row>
    <row r="907" spans="1:24">
      <c r="A907">
        <v>906</v>
      </c>
      <c r="B907" s="96" t="s">
        <v>2697</v>
      </c>
      <c r="C907" s="95">
        <v>41457</v>
      </c>
      <c r="D907" s="82">
        <v>11500000</v>
      </c>
      <c r="E907" s="82">
        <v>11430000</v>
      </c>
      <c r="F907" s="82">
        <v>11530000</v>
      </c>
      <c r="G907" s="82">
        <v>11450000</v>
      </c>
      <c r="I907" s="82">
        <f>G907*1.1</f>
        <v>12595000.000000002</v>
      </c>
      <c r="J907" s="82">
        <f>G907/3</f>
        <v>3816666.6666666665</v>
      </c>
      <c r="K907" s="7">
        <f>G1175</f>
        <v>10190000</v>
      </c>
      <c r="L907" s="7">
        <f>K907-I907</f>
        <v>-2405000.0000000019</v>
      </c>
      <c r="M907" s="7">
        <f t="shared" si="155"/>
        <v>477083.33333333326</v>
      </c>
      <c r="N907" s="7">
        <f t="shared" si="164"/>
        <v>-1927916.6666666686</v>
      </c>
      <c r="O907" s="7">
        <f t="shared" si="163"/>
        <v>40000</v>
      </c>
      <c r="P907" s="99">
        <f t="shared" si="156"/>
        <v>3.5056967572304996E-3</v>
      </c>
      <c r="Q907" s="99">
        <f t="shared" si="165"/>
        <v>4.6360859331584903E-2</v>
      </c>
      <c r="R907">
        <v>1</v>
      </c>
      <c r="S907" s="7">
        <f t="shared" si="157"/>
        <v>12595000.000000002</v>
      </c>
      <c r="T907" s="7">
        <f t="shared" si="158"/>
        <v>3816666.6666666665</v>
      </c>
      <c r="U907" s="7">
        <f t="shared" si="159"/>
        <v>10190000</v>
      </c>
      <c r="V907" s="7">
        <f t="shared" si="160"/>
        <v>-2405000.0000000019</v>
      </c>
      <c r="W907" s="7">
        <f t="shared" si="161"/>
        <v>477083.33333333326</v>
      </c>
      <c r="X907" s="7">
        <f t="shared" si="162"/>
        <v>-1927916.6666666686</v>
      </c>
    </row>
    <row r="908" spans="1:24">
      <c r="A908">
        <v>907</v>
      </c>
      <c r="B908" s="96" t="s">
        <v>2696</v>
      </c>
      <c r="C908" s="95">
        <v>41458</v>
      </c>
      <c r="D908" s="82">
        <v>11370000</v>
      </c>
      <c r="E908" s="82">
        <v>11250000</v>
      </c>
      <c r="F908" s="82">
        <v>11420000</v>
      </c>
      <c r="G908" s="82">
        <v>11400000</v>
      </c>
      <c r="I908" s="97">
        <v>0</v>
      </c>
      <c r="J908" s="97">
        <v>0</v>
      </c>
      <c r="K908" s="97">
        <v>0</v>
      </c>
      <c r="M908" s="7">
        <f t="shared" si="155"/>
        <v>0</v>
      </c>
      <c r="N908" s="7">
        <f t="shared" si="164"/>
        <v>0</v>
      </c>
      <c r="O908" s="7">
        <f t="shared" si="163"/>
        <v>-50000</v>
      </c>
      <c r="P908" s="99">
        <f t="shared" si="156"/>
        <v>-4.3668122270742356E-3</v>
      </c>
      <c r="Q908" s="99">
        <f t="shared" si="165"/>
        <v>5.6288574437439259E-2</v>
      </c>
      <c r="S908" s="7">
        <f t="shared" si="157"/>
        <v>12540000.000000002</v>
      </c>
      <c r="T908" s="7">
        <f t="shared" si="158"/>
        <v>3800000</v>
      </c>
      <c r="U908" s="7">
        <f t="shared" si="159"/>
        <v>10110000</v>
      </c>
      <c r="V908" s="7">
        <f t="shared" si="160"/>
        <v>0</v>
      </c>
      <c r="W908" s="7">
        <f t="shared" si="161"/>
        <v>0</v>
      </c>
      <c r="X908" s="7">
        <f t="shared" si="162"/>
        <v>0</v>
      </c>
    </row>
    <row r="909" spans="1:24">
      <c r="A909">
        <v>908</v>
      </c>
      <c r="B909" s="96" t="s">
        <v>2695</v>
      </c>
      <c r="C909" s="95">
        <v>41459</v>
      </c>
      <c r="D909" s="82">
        <v>11370000</v>
      </c>
      <c r="E909" s="82">
        <v>11350000</v>
      </c>
      <c r="F909" s="82">
        <v>11380000</v>
      </c>
      <c r="G909" s="82">
        <v>11360000</v>
      </c>
      <c r="I909" s="97">
        <v>0</v>
      </c>
      <c r="J909" s="97">
        <v>0</v>
      </c>
      <c r="K909" s="97">
        <v>0</v>
      </c>
      <c r="M909" s="7">
        <f t="shared" si="155"/>
        <v>0</v>
      </c>
      <c r="N909" s="7">
        <f t="shared" si="164"/>
        <v>0</v>
      </c>
      <c r="O909" s="7">
        <f t="shared" si="163"/>
        <v>-40000</v>
      </c>
      <c r="P909" s="99">
        <f t="shared" si="156"/>
        <v>-3.5087719298245615E-3</v>
      </c>
      <c r="Q909" s="99">
        <f t="shared" si="165"/>
        <v>4.0841429800392737E-2</v>
      </c>
      <c r="S909" s="7">
        <f t="shared" si="157"/>
        <v>12496000.000000002</v>
      </c>
      <c r="T909" s="7">
        <f t="shared" si="158"/>
        <v>3786666.6666666665</v>
      </c>
      <c r="U909" s="7">
        <f t="shared" si="159"/>
        <v>10040000</v>
      </c>
      <c r="V909" s="7">
        <f t="shared" si="160"/>
        <v>0</v>
      </c>
      <c r="W909" s="7">
        <f t="shared" si="161"/>
        <v>0</v>
      </c>
      <c r="X909" s="7">
        <f t="shared" si="162"/>
        <v>0</v>
      </c>
    </row>
    <row r="910" spans="1:24">
      <c r="A910">
        <v>909</v>
      </c>
      <c r="B910" s="96" t="s">
        <v>2694</v>
      </c>
      <c r="C910" s="95">
        <v>41461</v>
      </c>
      <c r="D910" s="82">
        <v>11100000</v>
      </c>
      <c r="E910" s="82">
        <v>10920000</v>
      </c>
      <c r="F910" s="82">
        <v>11150000</v>
      </c>
      <c r="G910" s="82">
        <v>10930000</v>
      </c>
      <c r="I910" s="97">
        <v>0</v>
      </c>
      <c r="J910" s="97">
        <v>0</v>
      </c>
      <c r="K910" s="97">
        <v>0</v>
      </c>
      <c r="M910" s="7">
        <f t="shared" si="155"/>
        <v>0</v>
      </c>
      <c r="N910" s="7">
        <f t="shared" si="164"/>
        <v>0</v>
      </c>
      <c r="O910" s="7">
        <f t="shared" si="163"/>
        <v>-430000</v>
      </c>
      <c r="P910" s="99">
        <f t="shared" si="156"/>
        <v>-3.7852112676056336E-2</v>
      </c>
      <c r="Q910" s="99">
        <f t="shared" si="165"/>
        <v>4.1898867916230279E-2</v>
      </c>
      <c r="S910" s="7">
        <f t="shared" si="157"/>
        <v>12023000.000000002</v>
      </c>
      <c r="T910" s="7">
        <f t="shared" si="158"/>
        <v>3643333.3333333335</v>
      </c>
      <c r="U910" s="7">
        <f t="shared" si="159"/>
        <v>9910000</v>
      </c>
      <c r="V910" s="7">
        <f t="shared" si="160"/>
        <v>0</v>
      </c>
      <c r="W910" s="7">
        <f t="shared" si="161"/>
        <v>0</v>
      </c>
      <c r="X910" s="7">
        <f t="shared" si="162"/>
        <v>0</v>
      </c>
    </row>
    <row r="911" spans="1:24">
      <c r="A911">
        <v>910</v>
      </c>
      <c r="B911" s="96" t="s">
        <v>2693</v>
      </c>
      <c r="C911" s="95">
        <v>41462</v>
      </c>
      <c r="D911" s="82">
        <v>10900000</v>
      </c>
      <c r="E911" s="82">
        <v>10825000</v>
      </c>
      <c r="F911" s="82">
        <v>11060000</v>
      </c>
      <c r="G911" s="82">
        <v>11030000</v>
      </c>
      <c r="I911" s="98">
        <v>0</v>
      </c>
      <c r="J911" s="98">
        <v>0</v>
      </c>
      <c r="K911" s="98">
        <v>0</v>
      </c>
      <c r="M911" s="7">
        <f t="shared" si="155"/>
        <v>0</v>
      </c>
      <c r="N911" s="7">
        <f t="shared" si="164"/>
        <v>0</v>
      </c>
      <c r="O911" s="7">
        <f t="shared" si="163"/>
        <v>100000</v>
      </c>
      <c r="P911" s="99">
        <f t="shared" si="156"/>
        <v>9.1491308325709064E-3</v>
      </c>
      <c r="Q911" s="99">
        <f t="shared" si="165"/>
        <v>-1.5219299805697632E-2</v>
      </c>
      <c r="S911" s="7">
        <f t="shared" si="157"/>
        <v>12133000.000000002</v>
      </c>
      <c r="T911" s="7">
        <f t="shared" si="158"/>
        <v>3676666.6666666665</v>
      </c>
      <c r="U911" s="7">
        <f t="shared" si="159"/>
        <v>9910000</v>
      </c>
      <c r="V911" s="7">
        <f t="shared" si="160"/>
        <v>0</v>
      </c>
      <c r="W911" s="7">
        <f t="shared" si="161"/>
        <v>0</v>
      </c>
      <c r="X911" s="7">
        <f t="shared" si="162"/>
        <v>0</v>
      </c>
    </row>
    <row r="912" spans="1:24">
      <c r="A912">
        <v>911</v>
      </c>
      <c r="B912" s="96" t="s">
        <v>2692</v>
      </c>
      <c r="C912" s="95">
        <v>41463</v>
      </c>
      <c r="D912" s="82">
        <v>11020000</v>
      </c>
      <c r="E912" s="82">
        <v>10950000</v>
      </c>
      <c r="F912" s="82">
        <v>11050000</v>
      </c>
      <c r="G912" s="82">
        <v>10970000</v>
      </c>
      <c r="I912" s="82">
        <f>G912*1.1</f>
        <v>12067000.000000002</v>
      </c>
      <c r="J912" s="82">
        <f>G912/3</f>
        <v>3656666.6666666665</v>
      </c>
      <c r="K912" s="7">
        <f>G1180</f>
        <v>9800000</v>
      </c>
      <c r="L912" s="7">
        <f>K912-I912</f>
        <v>-2267000.0000000019</v>
      </c>
      <c r="M912" s="7">
        <f t="shared" si="155"/>
        <v>457083.33333333326</v>
      </c>
      <c r="N912" s="7">
        <f t="shared" si="164"/>
        <v>-1809916.6666666686</v>
      </c>
      <c r="O912" s="7">
        <f t="shared" si="163"/>
        <v>-60000</v>
      </c>
      <c r="P912" s="99">
        <f t="shared" si="156"/>
        <v>-5.4397098821396192E-3</v>
      </c>
      <c r="Q912" s="99">
        <f t="shared" si="165"/>
        <v>-3.3072869243153724E-2</v>
      </c>
      <c r="R912">
        <v>1</v>
      </c>
      <c r="S912" s="7">
        <f t="shared" si="157"/>
        <v>12067000.000000002</v>
      </c>
      <c r="T912" s="7">
        <f t="shared" si="158"/>
        <v>3656666.6666666665</v>
      </c>
      <c r="U912" s="7">
        <f t="shared" si="159"/>
        <v>9800000</v>
      </c>
      <c r="V912" s="7">
        <f t="shared" si="160"/>
        <v>-2267000.0000000019</v>
      </c>
      <c r="W912" s="7">
        <f t="shared" si="161"/>
        <v>457083.33333333326</v>
      </c>
      <c r="X912" s="7">
        <f t="shared" si="162"/>
        <v>-1809916.6666666686</v>
      </c>
    </row>
    <row r="913" spans="1:24">
      <c r="A913">
        <v>912</v>
      </c>
      <c r="B913" s="96" t="s">
        <v>2691</v>
      </c>
      <c r="C913" s="95">
        <v>41464</v>
      </c>
      <c r="D913" s="82">
        <v>11020000</v>
      </c>
      <c r="E913" s="82">
        <v>10850000</v>
      </c>
      <c r="F913" s="82">
        <v>11020000</v>
      </c>
      <c r="G913" s="82">
        <v>10865000</v>
      </c>
      <c r="I913" s="97">
        <v>0</v>
      </c>
      <c r="J913" s="97">
        <v>0</v>
      </c>
      <c r="K913" s="97">
        <v>0</v>
      </c>
      <c r="M913" s="7">
        <f t="shared" si="155"/>
        <v>0</v>
      </c>
      <c r="N913" s="7">
        <f t="shared" si="164"/>
        <v>0</v>
      </c>
      <c r="O913" s="7">
        <f t="shared" si="163"/>
        <v>-105000</v>
      </c>
      <c r="P913" s="99">
        <f t="shared" si="156"/>
        <v>-9.5715587967183224E-3</v>
      </c>
      <c r="Q913" s="99">
        <f t="shared" si="165"/>
        <v>-4.2018275882523846E-2</v>
      </c>
      <c r="S913" s="7">
        <f t="shared" si="157"/>
        <v>11951500.000000002</v>
      </c>
      <c r="T913" s="7">
        <f t="shared" si="158"/>
        <v>3621666.6666666665</v>
      </c>
      <c r="U913" s="7">
        <f t="shared" si="159"/>
        <v>9690000</v>
      </c>
      <c r="V913" s="7">
        <f t="shared" si="160"/>
        <v>0</v>
      </c>
      <c r="W913" s="7">
        <f t="shared" si="161"/>
        <v>0</v>
      </c>
      <c r="X913" s="7">
        <f t="shared" si="162"/>
        <v>0</v>
      </c>
    </row>
    <row r="914" spans="1:24">
      <c r="A914">
        <v>913</v>
      </c>
      <c r="B914" s="96" t="s">
        <v>2690</v>
      </c>
      <c r="C914" s="95">
        <v>41465</v>
      </c>
      <c r="D914" s="82">
        <v>10810000</v>
      </c>
      <c r="E914" s="82">
        <v>10800000</v>
      </c>
      <c r="F914" s="82">
        <v>10880000</v>
      </c>
      <c r="G914" s="82">
        <v>10870000</v>
      </c>
      <c r="I914" s="97">
        <v>0</v>
      </c>
      <c r="J914" s="97">
        <v>0</v>
      </c>
      <c r="K914" s="97">
        <v>0</v>
      </c>
      <c r="M914" s="7">
        <f t="shared" si="155"/>
        <v>0</v>
      </c>
      <c r="N914" s="7">
        <f t="shared" si="164"/>
        <v>0</v>
      </c>
      <c r="O914" s="7">
        <f t="shared" si="163"/>
        <v>5000</v>
      </c>
      <c r="P914" s="99">
        <f t="shared" si="156"/>
        <v>4.6019328117809482E-4</v>
      </c>
      <c r="Q914" s="99">
        <f t="shared" si="165"/>
        <v>-4.7223022452167931E-2</v>
      </c>
      <c r="S914" s="7">
        <f t="shared" si="157"/>
        <v>11957000.000000002</v>
      </c>
      <c r="T914" s="7">
        <f t="shared" si="158"/>
        <v>3623333.3333333335</v>
      </c>
      <c r="U914" s="7">
        <f t="shared" si="159"/>
        <v>9810000</v>
      </c>
      <c r="V914" s="7">
        <f t="shared" si="160"/>
        <v>0</v>
      </c>
      <c r="W914" s="7">
        <f t="shared" si="161"/>
        <v>0</v>
      </c>
      <c r="X914" s="7">
        <f t="shared" si="162"/>
        <v>0</v>
      </c>
    </row>
    <row r="915" spans="1:24">
      <c r="A915">
        <v>914</v>
      </c>
      <c r="B915" s="96" t="s">
        <v>2689</v>
      </c>
      <c r="C915" s="95">
        <v>41466</v>
      </c>
      <c r="D915" s="82">
        <v>11160000</v>
      </c>
      <c r="E915" s="82">
        <v>11050000</v>
      </c>
      <c r="F915" s="82">
        <v>11160000</v>
      </c>
      <c r="G915" s="82">
        <v>11050000</v>
      </c>
      <c r="I915" s="97">
        <v>0</v>
      </c>
      <c r="J915" s="97">
        <v>0</v>
      </c>
      <c r="K915" s="97">
        <v>0</v>
      </c>
      <c r="M915" s="7">
        <f t="shared" si="155"/>
        <v>0</v>
      </c>
      <c r="N915" s="7">
        <f t="shared" si="164"/>
        <v>0</v>
      </c>
      <c r="O915" s="7">
        <f t="shared" si="163"/>
        <v>180000</v>
      </c>
      <c r="P915" s="99">
        <f t="shared" si="156"/>
        <v>1.655933762649494E-2</v>
      </c>
      <c r="Q915" s="99">
        <f t="shared" si="165"/>
        <v>-4.3254057241165281E-2</v>
      </c>
      <c r="S915" s="7">
        <f t="shared" si="157"/>
        <v>12155000.000000002</v>
      </c>
      <c r="T915" s="7">
        <f t="shared" si="158"/>
        <v>3683333.3333333335</v>
      </c>
      <c r="U915" s="7">
        <f t="shared" si="159"/>
        <v>9810000</v>
      </c>
      <c r="V915" s="7">
        <f t="shared" si="160"/>
        <v>0</v>
      </c>
      <c r="W915" s="7">
        <f t="shared" si="161"/>
        <v>0</v>
      </c>
      <c r="X915" s="7">
        <f t="shared" si="162"/>
        <v>0</v>
      </c>
    </row>
    <row r="916" spans="1:24">
      <c r="A916">
        <v>915</v>
      </c>
      <c r="B916" s="96" t="s">
        <v>2688</v>
      </c>
      <c r="C916" s="95">
        <v>41468</v>
      </c>
      <c r="D916" s="82">
        <v>11040000</v>
      </c>
      <c r="E916" s="82">
        <v>10870000</v>
      </c>
      <c r="F916" s="82">
        <v>11040000</v>
      </c>
      <c r="G916" s="82">
        <v>10870000</v>
      </c>
      <c r="I916" s="98">
        <v>0</v>
      </c>
      <c r="J916" s="98">
        <v>0</v>
      </c>
      <c r="K916" s="98">
        <v>0</v>
      </c>
      <c r="M916" s="7">
        <f t="shared" si="155"/>
        <v>0</v>
      </c>
      <c r="N916" s="7">
        <f t="shared" si="164"/>
        <v>0</v>
      </c>
      <c r="O916" s="7">
        <f t="shared" si="163"/>
        <v>-180000</v>
      </c>
      <c r="P916" s="99">
        <f t="shared" si="156"/>
        <v>-1.6289592760180997E-2</v>
      </c>
      <c r="Q916" s="99">
        <f t="shared" si="165"/>
        <v>1.1157393061385999E-2</v>
      </c>
      <c r="S916" s="7">
        <f t="shared" si="157"/>
        <v>11957000.000000002</v>
      </c>
      <c r="T916" s="7">
        <f t="shared" si="158"/>
        <v>3623333.3333333335</v>
      </c>
      <c r="U916" s="7">
        <f t="shared" si="159"/>
        <v>9900000</v>
      </c>
      <c r="V916" s="7">
        <f t="shared" si="160"/>
        <v>0</v>
      </c>
      <c r="W916" s="7">
        <f t="shared" si="161"/>
        <v>0</v>
      </c>
      <c r="X916" s="7">
        <f t="shared" si="162"/>
        <v>0</v>
      </c>
    </row>
    <row r="917" spans="1:24">
      <c r="A917">
        <v>916</v>
      </c>
      <c r="B917" s="96" t="s">
        <v>2687</v>
      </c>
      <c r="C917" s="95">
        <v>41469</v>
      </c>
      <c r="D917" s="82">
        <v>10850000</v>
      </c>
      <c r="E917" s="82">
        <v>10810000</v>
      </c>
      <c r="F917" s="82">
        <v>10940000</v>
      </c>
      <c r="G917" s="82">
        <v>10935000</v>
      </c>
      <c r="I917" s="82">
        <f>G917*1.1</f>
        <v>12028500.000000002</v>
      </c>
      <c r="J917" s="82">
        <f>G917/3</f>
        <v>3645000</v>
      </c>
      <c r="K917" s="7">
        <f>G1185</f>
        <v>9860000</v>
      </c>
      <c r="L917" s="7">
        <f>K917-I917</f>
        <v>-2168500.0000000019</v>
      </c>
      <c r="M917" s="7">
        <f t="shared" si="155"/>
        <v>455625</v>
      </c>
      <c r="N917" s="7">
        <f t="shared" si="164"/>
        <v>-1712875.0000000019</v>
      </c>
      <c r="O917" s="7">
        <f t="shared" si="163"/>
        <v>65000</v>
      </c>
      <c r="P917" s="99">
        <f t="shared" si="156"/>
        <v>5.9797608095676176E-3</v>
      </c>
      <c r="Q917" s="99">
        <f t="shared" si="165"/>
        <v>-1.4281330531365904E-2</v>
      </c>
      <c r="R917">
        <v>1</v>
      </c>
      <c r="S917" s="7">
        <f t="shared" si="157"/>
        <v>12028500.000000002</v>
      </c>
      <c r="T917" s="7">
        <f t="shared" si="158"/>
        <v>3645000</v>
      </c>
      <c r="U917" s="7">
        <f t="shared" si="159"/>
        <v>9860000</v>
      </c>
      <c r="V917" s="7">
        <f t="shared" si="160"/>
        <v>-2168500.0000000019</v>
      </c>
      <c r="W917" s="7">
        <f t="shared" si="161"/>
        <v>455625</v>
      </c>
      <c r="X917" s="7">
        <f t="shared" si="162"/>
        <v>-1712875.0000000019</v>
      </c>
    </row>
    <row r="918" spans="1:24">
      <c r="A918">
        <v>917</v>
      </c>
      <c r="B918" s="96" t="s">
        <v>2686</v>
      </c>
      <c r="C918" s="95">
        <v>41470</v>
      </c>
      <c r="D918" s="82">
        <v>10930000</v>
      </c>
      <c r="E918" s="82">
        <v>10840000</v>
      </c>
      <c r="F918" s="82">
        <v>10930000</v>
      </c>
      <c r="G918" s="82">
        <v>10850000</v>
      </c>
      <c r="I918" s="97">
        <v>0</v>
      </c>
      <c r="J918" s="97">
        <v>0</v>
      </c>
      <c r="K918" s="97">
        <v>0</v>
      </c>
      <c r="M918" s="7">
        <f t="shared" si="155"/>
        <v>0</v>
      </c>
      <c r="N918" s="7">
        <f t="shared" si="164"/>
        <v>0</v>
      </c>
      <c r="O918" s="7">
        <f t="shared" si="163"/>
        <v>-85000</v>
      </c>
      <c r="P918" s="99">
        <f t="shared" si="156"/>
        <v>-7.7732053040695014E-3</v>
      </c>
      <c r="Q918" s="99">
        <f t="shared" si="165"/>
        <v>-2.8618598396586677E-3</v>
      </c>
      <c r="S918" s="7">
        <f t="shared" si="157"/>
        <v>11935000.000000002</v>
      </c>
      <c r="T918" s="7">
        <f t="shared" si="158"/>
        <v>3616666.6666666665</v>
      </c>
      <c r="U918" s="7">
        <f t="shared" si="159"/>
        <v>9860000</v>
      </c>
      <c r="V918" s="7">
        <f t="shared" si="160"/>
        <v>0</v>
      </c>
      <c r="W918" s="7">
        <f t="shared" si="161"/>
        <v>0</v>
      </c>
      <c r="X918" s="7">
        <f t="shared" si="162"/>
        <v>0</v>
      </c>
    </row>
    <row r="919" spans="1:24">
      <c r="A919">
        <v>918</v>
      </c>
      <c r="B919" s="96" t="s">
        <v>2685</v>
      </c>
      <c r="C919" s="95">
        <v>41471</v>
      </c>
      <c r="D919" s="82">
        <v>10810000</v>
      </c>
      <c r="E919" s="82">
        <v>10800000</v>
      </c>
      <c r="F919" s="82">
        <v>10890000</v>
      </c>
      <c r="G919" s="82">
        <v>10860000</v>
      </c>
      <c r="I919" s="97">
        <v>0</v>
      </c>
      <c r="J919" s="97">
        <v>0</v>
      </c>
      <c r="K919" s="97">
        <v>0</v>
      </c>
      <c r="M919" s="7">
        <f t="shared" si="155"/>
        <v>0</v>
      </c>
      <c r="N919" s="7">
        <f t="shared" si="164"/>
        <v>0</v>
      </c>
      <c r="O919" s="7">
        <f t="shared" si="163"/>
        <v>10000</v>
      </c>
      <c r="P919" s="99">
        <f t="shared" si="156"/>
        <v>9.2165898617511521E-4</v>
      </c>
      <c r="Q919" s="99">
        <f t="shared" si="165"/>
        <v>-1.063506347009845E-3</v>
      </c>
      <c r="S919" s="7">
        <f t="shared" si="157"/>
        <v>11946000.000000002</v>
      </c>
      <c r="T919" s="7">
        <f t="shared" si="158"/>
        <v>3620000</v>
      </c>
      <c r="U919" s="7">
        <f t="shared" si="159"/>
        <v>9920000</v>
      </c>
      <c r="V919" s="7">
        <f t="shared" si="160"/>
        <v>0</v>
      </c>
      <c r="W919" s="7">
        <f t="shared" si="161"/>
        <v>0</v>
      </c>
      <c r="X919" s="7">
        <f t="shared" si="162"/>
        <v>0</v>
      </c>
    </row>
    <row r="920" spans="1:24">
      <c r="A920">
        <v>919</v>
      </c>
      <c r="B920" s="96" t="s">
        <v>2684</v>
      </c>
      <c r="C920" s="95">
        <v>41472</v>
      </c>
      <c r="D920" s="82">
        <v>10810000</v>
      </c>
      <c r="E920" s="82">
        <v>10680000</v>
      </c>
      <c r="F920" s="82">
        <v>10810000</v>
      </c>
      <c r="G920" s="82">
        <v>10715000</v>
      </c>
      <c r="I920" s="97">
        <v>0</v>
      </c>
      <c r="J920" s="97">
        <v>0</v>
      </c>
      <c r="K920" s="97">
        <v>0</v>
      </c>
      <c r="M920" s="7">
        <f t="shared" si="155"/>
        <v>0</v>
      </c>
      <c r="N920" s="7">
        <f t="shared" si="164"/>
        <v>0</v>
      </c>
      <c r="O920" s="7">
        <f t="shared" si="163"/>
        <v>-145000</v>
      </c>
      <c r="P920" s="99">
        <f t="shared" si="156"/>
        <v>-1.3351749539594844E-2</v>
      </c>
      <c r="Q920" s="99">
        <f t="shared" si="165"/>
        <v>-6.0204064201282558E-4</v>
      </c>
      <c r="S920" s="7">
        <f t="shared" si="157"/>
        <v>11786500.000000002</v>
      </c>
      <c r="T920" s="7">
        <f t="shared" si="158"/>
        <v>3571666.6666666665</v>
      </c>
      <c r="U920" s="7">
        <f t="shared" si="159"/>
        <v>9845000</v>
      </c>
      <c r="V920" s="7">
        <f t="shared" si="160"/>
        <v>0</v>
      </c>
      <c r="W920" s="7">
        <f t="shared" si="161"/>
        <v>0</v>
      </c>
      <c r="X920" s="7">
        <f t="shared" si="162"/>
        <v>0</v>
      </c>
    </row>
    <row r="921" spans="1:24">
      <c r="A921">
        <v>920</v>
      </c>
      <c r="B921" s="96" t="s">
        <v>2683</v>
      </c>
      <c r="C921" s="95">
        <v>41473</v>
      </c>
      <c r="D921" s="82">
        <v>10580000</v>
      </c>
      <c r="E921" s="82">
        <v>10490000</v>
      </c>
      <c r="F921" s="82">
        <v>10580000</v>
      </c>
      <c r="G921" s="82">
        <v>10530000</v>
      </c>
      <c r="I921" s="98">
        <v>0</v>
      </c>
      <c r="J921" s="98">
        <v>0</v>
      </c>
      <c r="K921" s="98">
        <v>0</v>
      </c>
      <c r="M921" s="7">
        <f t="shared" si="155"/>
        <v>0</v>
      </c>
      <c r="N921" s="7">
        <f t="shared" si="164"/>
        <v>0</v>
      </c>
      <c r="O921" s="7">
        <f t="shared" si="163"/>
        <v>-185000</v>
      </c>
      <c r="P921" s="99">
        <f t="shared" si="156"/>
        <v>-1.726551563229118E-2</v>
      </c>
      <c r="Q921" s="99">
        <f t="shared" si="165"/>
        <v>-3.0513127808102607E-2</v>
      </c>
      <c r="S921" s="7">
        <f t="shared" si="157"/>
        <v>11583000.000000002</v>
      </c>
      <c r="T921" s="7">
        <f t="shared" si="158"/>
        <v>3510000</v>
      </c>
      <c r="U921" s="7">
        <f t="shared" si="159"/>
        <v>9900000</v>
      </c>
      <c r="V921" s="7">
        <f t="shared" si="160"/>
        <v>0</v>
      </c>
      <c r="W921" s="7">
        <f t="shared" si="161"/>
        <v>0</v>
      </c>
      <c r="X921" s="7">
        <f t="shared" si="162"/>
        <v>0</v>
      </c>
    </row>
    <row r="922" spans="1:24">
      <c r="A922">
        <v>921</v>
      </c>
      <c r="B922" s="96" t="s">
        <v>2682</v>
      </c>
      <c r="C922" s="95">
        <v>41475</v>
      </c>
      <c r="D922" s="82">
        <v>10310000</v>
      </c>
      <c r="E922" s="82">
        <v>10120000</v>
      </c>
      <c r="F922" s="82">
        <v>10370000</v>
      </c>
      <c r="G922" s="82">
        <v>10120000</v>
      </c>
      <c r="I922" s="82">
        <f>G922*1.1</f>
        <v>11132000</v>
      </c>
      <c r="J922" s="82">
        <f>G922/3</f>
        <v>3373333.3333333335</v>
      </c>
      <c r="K922" s="7">
        <f>G1190</f>
        <v>9930000</v>
      </c>
      <c r="L922" s="7">
        <f>K922-I922</f>
        <v>-1202000</v>
      </c>
      <c r="M922" s="7">
        <f t="shared" si="155"/>
        <v>421666.66666666674</v>
      </c>
      <c r="N922" s="7">
        <f t="shared" si="164"/>
        <v>-780333.33333333326</v>
      </c>
      <c r="O922" s="7">
        <f t="shared" si="163"/>
        <v>-410000</v>
      </c>
      <c r="P922" s="99">
        <f t="shared" si="156"/>
        <v>-3.8936372269705602E-2</v>
      </c>
      <c r="Q922" s="99">
        <f t="shared" si="165"/>
        <v>-3.1489050680212793E-2</v>
      </c>
      <c r="R922">
        <v>1</v>
      </c>
      <c r="S922" s="7">
        <f t="shared" si="157"/>
        <v>11132000</v>
      </c>
      <c r="T922" s="7">
        <f t="shared" si="158"/>
        <v>3373333.3333333335</v>
      </c>
      <c r="U922" s="7">
        <f t="shared" si="159"/>
        <v>9930000</v>
      </c>
      <c r="V922" s="7">
        <f t="shared" si="160"/>
        <v>-1202000</v>
      </c>
      <c r="W922" s="7">
        <f t="shared" si="161"/>
        <v>421666.66666666674</v>
      </c>
      <c r="X922" s="7">
        <f t="shared" si="162"/>
        <v>-780333.33333333326</v>
      </c>
    </row>
    <row r="923" spans="1:24">
      <c r="A923">
        <v>922</v>
      </c>
      <c r="B923" s="96" t="s">
        <v>2681</v>
      </c>
      <c r="C923" s="95">
        <v>41476</v>
      </c>
      <c r="D923" s="82">
        <v>9980000</v>
      </c>
      <c r="E923" s="82">
        <v>9980000</v>
      </c>
      <c r="F923" s="82">
        <v>10230000</v>
      </c>
      <c r="G923" s="82">
        <v>10230000</v>
      </c>
      <c r="I923" s="97">
        <v>0</v>
      </c>
      <c r="J923" s="97">
        <v>0</v>
      </c>
      <c r="K923" s="97">
        <v>0</v>
      </c>
      <c r="M923" s="7">
        <f t="shared" si="155"/>
        <v>0</v>
      </c>
      <c r="N923" s="7">
        <f t="shared" si="164"/>
        <v>0</v>
      </c>
      <c r="O923" s="7">
        <f t="shared" si="163"/>
        <v>110000</v>
      </c>
      <c r="P923" s="99">
        <f t="shared" si="156"/>
        <v>1.0869565217391304E-2</v>
      </c>
      <c r="Q923" s="99">
        <f t="shared" si="165"/>
        <v>-7.6405183759486017E-2</v>
      </c>
      <c r="S923" s="7">
        <f t="shared" si="157"/>
        <v>11253000</v>
      </c>
      <c r="T923" s="7">
        <f t="shared" si="158"/>
        <v>3410000</v>
      </c>
      <c r="U923" s="7">
        <f t="shared" si="159"/>
        <v>9885000</v>
      </c>
      <c r="V923" s="7">
        <f t="shared" si="160"/>
        <v>0</v>
      </c>
      <c r="W923" s="7">
        <f t="shared" si="161"/>
        <v>0</v>
      </c>
      <c r="X923" s="7">
        <f t="shared" si="162"/>
        <v>0</v>
      </c>
    </row>
    <row r="924" spans="1:24">
      <c r="A924">
        <v>923</v>
      </c>
      <c r="B924" s="96" t="s">
        <v>2680</v>
      </c>
      <c r="C924" s="95">
        <v>41478</v>
      </c>
      <c r="D924" s="82">
        <v>10300000</v>
      </c>
      <c r="E924" s="82">
        <v>10220000</v>
      </c>
      <c r="F924" s="82">
        <v>10350000</v>
      </c>
      <c r="G924" s="82">
        <v>10270000</v>
      </c>
      <c r="I924" s="97">
        <v>0</v>
      </c>
      <c r="J924" s="97">
        <v>0</v>
      </c>
      <c r="K924" s="97">
        <v>0</v>
      </c>
      <c r="M924" s="7">
        <f t="shared" si="155"/>
        <v>0</v>
      </c>
      <c r="N924" s="7">
        <f t="shared" si="164"/>
        <v>0</v>
      </c>
      <c r="O924" s="7">
        <f t="shared" si="163"/>
        <v>40000</v>
      </c>
      <c r="P924" s="99">
        <f t="shared" si="156"/>
        <v>3.9100684261974585E-3</v>
      </c>
      <c r="Q924" s="99">
        <f t="shared" si="165"/>
        <v>-5.7762413238025202E-2</v>
      </c>
      <c r="S924" s="7">
        <f t="shared" si="157"/>
        <v>11297000</v>
      </c>
      <c r="T924" s="7">
        <f t="shared" si="158"/>
        <v>3423333.3333333335</v>
      </c>
      <c r="U924" s="7">
        <f t="shared" si="159"/>
        <v>9875000</v>
      </c>
      <c r="V924" s="7">
        <f t="shared" si="160"/>
        <v>0</v>
      </c>
      <c r="W924" s="7">
        <f t="shared" si="161"/>
        <v>0</v>
      </c>
      <c r="X924" s="7">
        <f t="shared" si="162"/>
        <v>0</v>
      </c>
    </row>
    <row r="925" spans="1:24">
      <c r="A925">
        <v>924</v>
      </c>
      <c r="B925" s="96" t="s">
        <v>2679</v>
      </c>
      <c r="C925" s="95">
        <v>41477</v>
      </c>
      <c r="D925" s="82">
        <v>10340000</v>
      </c>
      <c r="E925" s="82">
        <v>10280000</v>
      </c>
      <c r="F925" s="82">
        <v>10400000</v>
      </c>
      <c r="G925" s="82">
        <v>10400000</v>
      </c>
      <c r="I925" s="97">
        <v>0</v>
      </c>
      <c r="J925" s="97">
        <v>0</v>
      </c>
      <c r="K925" s="97">
        <v>0</v>
      </c>
      <c r="M925" s="7">
        <f t="shared" si="155"/>
        <v>0</v>
      </c>
      <c r="N925" s="7">
        <f t="shared" si="164"/>
        <v>0</v>
      </c>
      <c r="O925" s="7">
        <f t="shared" si="163"/>
        <v>130000</v>
      </c>
      <c r="P925" s="99">
        <f t="shared" si="156"/>
        <v>1.2658227848101266E-2</v>
      </c>
      <c r="Q925" s="99">
        <f t="shared" si="165"/>
        <v>-5.477400379800286E-2</v>
      </c>
      <c r="S925" s="7">
        <f t="shared" si="157"/>
        <v>11440000</v>
      </c>
      <c r="T925" s="7">
        <f t="shared" si="158"/>
        <v>3466666.6666666665</v>
      </c>
      <c r="U925" s="7">
        <f t="shared" si="159"/>
        <v>9880000</v>
      </c>
      <c r="V925" s="7">
        <f t="shared" si="160"/>
        <v>0</v>
      </c>
      <c r="W925" s="7">
        <f t="shared" si="161"/>
        <v>0</v>
      </c>
      <c r="X925" s="7">
        <f t="shared" si="162"/>
        <v>0</v>
      </c>
    </row>
    <row r="926" spans="1:24">
      <c r="A926">
        <v>925</v>
      </c>
      <c r="B926" s="96" t="s">
        <v>2678</v>
      </c>
      <c r="C926" s="95">
        <v>41479</v>
      </c>
      <c r="D926" s="82">
        <v>10240000</v>
      </c>
      <c r="E926" s="82">
        <v>10240000</v>
      </c>
      <c r="F926" s="82">
        <v>10430000</v>
      </c>
      <c r="G926" s="82">
        <v>10370000</v>
      </c>
      <c r="I926" s="98">
        <v>0</v>
      </c>
      <c r="J926" s="98">
        <v>0</v>
      </c>
      <c r="K926" s="98">
        <v>0</v>
      </c>
      <c r="M926" s="7">
        <f t="shared" si="155"/>
        <v>0</v>
      </c>
      <c r="N926" s="7">
        <f t="shared" si="164"/>
        <v>0</v>
      </c>
      <c r="O926" s="7">
        <f t="shared" si="163"/>
        <v>-30000</v>
      </c>
      <c r="P926" s="99">
        <f t="shared" si="156"/>
        <v>-2.8846153846153848E-3</v>
      </c>
      <c r="Q926" s="99">
        <f t="shared" si="165"/>
        <v>-2.8764026410306759E-2</v>
      </c>
      <c r="S926" s="7">
        <f t="shared" si="157"/>
        <v>11407000</v>
      </c>
      <c r="T926" s="7">
        <f t="shared" si="158"/>
        <v>3456666.6666666665</v>
      </c>
      <c r="U926" s="7">
        <f t="shared" si="159"/>
        <v>9875000</v>
      </c>
      <c r="V926" s="7">
        <f t="shared" si="160"/>
        <v>0</v>
      </c>
      <c r="W926" s="7">
        <f t="shared" si="161"/>
        <v>0</v>
      </c>
      <c r="X926" s="7">
        <f t="shared" si="162"/>
        <v>0</v>
      </c>
    </row>
    <row r="927" spans="1:24">
      <c r="A927">
        <v>926</v>
      </c>
      <c r="B927" s="96" t="s">
        <v>2677</v>
      </c>
      <c r="C927" s="95">
        <v>41480</v>
      </c>
      <c r="D927" s="82">
        <v>10300000</v>
      </c>
      <c r="E927" s="82">
        <v>10290000</v>
      </c>
      <c r="F927" s="82">
        <v>10370000</v>
      </c>
      <c r="G927" s="82">
        <v>10290000</v>
      </c>
      <c r="I927" s="82">
        <f>G927*1.1</f>
        <v>11319000</v>
      </c>
      <c r="J927" s="82">
        <f>G927/3</f>
        <v>3430000</v>
      </c>
      <c r="K927" s="7">
        <f>G1195</f>
        <v>9870000</v>
      </c>
      <c r="L927" s="7">
        <f>K927-I927</f>
        <v>-1449000</v>
      </c>
      <c r="M927" s="7">
        <f t="shared" si="155"/>
        <v>428750</v>
      </c>
      <c r="N927" s="7">
        <f t="shared" si="164"/>
        <v>-1020250</v>
      </c>
      <c r="O927" s="7">
        <f t="shared" si="163"/>
        <v>-80000</v>
      </c>
      <c r="P927" s="99">
        <f t="shared" si="156"/>
        <v>-7.7145612343297977E-3</v>
      </c>
      <c r="Q927" s="99">
        <f t="shared" si="165"/>
        <v>-1.4383126162630959E-2</v>
      </c>
      <c r="R927">
        <v>1</v>
      </c>
      <c r="S927" s="7">
        <f t="shared" si="157"/>
        <v>11319000</v>
      </c>
      <c r="T927" s="7">
        <f t="shared" si="158"/>
        <v>3430000</v>
      </c>
      <c r="U927" s="7">
        <f t="shared" si="159"/>
        <v>9870000</v>
      </c>
      <c r="V927" s="7">
        <f t="shared" si="160"/>
        <v>-1449000</v>
      </c>
      <c r="W927" s="7">
        <f t="shared" si="161"/>
        <v>428750</v>
      </c>
      <c r="X927" s="7">
        <f t="shared" si="162"/>
        <v>-1020250</v>
      </c>
    </row>
    <row r="928" spans="1:24">
      <c r="A928">
        <v>927</v>
      </c>
      <c r="B928" s="96" t="s">
        <v>2676</v>
      </c>
      <c r="C928" s="95">
        <v>41482</v>
      </c>
      <c r="D928" s="82">
        <v>10340000</v>
      </c>
      <c r="E928" s="82">
        <v>10340000</v>
      </c>
      <c r="F928" s="82">
        <v>10510000</v>
      </c>
      <c r="G928" s="82">
        <v>10510000</v>
      </c>
      <c r="I928" s="97">
        <v>0</v>
      </c>
      <c r="J928" s="97">
        <v>0</v>
      </c>
      <c r="K928" s="97">
        <v>0</v>
      </c>
      <c r="M928" s="7">
        <f t="shared" si="155"/>
        <v>0</v>
      </c>
      <c r="N928" s="7">
        <f t="shared" si="164"/>
        <v>0</v>
      </c>
      <c r="O928" s="7">
        <f t="shared" si="163"/>
        <v>220000</v>
      </c>
      <c r="P928" s="99">
        <f t="shared" si="156"/>
        <v>2.1379980563654033E-2</v>
      </c>
      <c r="Q928" s="99">
        <f t="shared" si="165"/>
        <v>1.6838684872744848E-2</v>
      </c>
      <c r="S928" s="7">
        <f t="shared" si="157"/>
        <v>11561000.000000002</v>
      </c>
      <c r="T928" s="7">
        <f t="shared" si="158"/>
        <v>3503333.3333333335</v>
      </c>
      <c r="U928" s="7">
        <f t="shared" si="159"/>
        <v>9760000</v>
      </c>
      <c r="V928" s="7">
        <f t="shared" si="160"/>
        <v>0</v>
      </c>
      <c r="W928" s="7">
        <f t="shared" si="161"/>
        <v>0</v>
      </c>
      <c r="X928" s="7">
        <f t="shared" si="162"/>
        <v>0</v>
      </c>
    </row>
    <row r="929" spans="1:24">
      <c r="A929">
        <v>928</v>
      </c>
      <c r="B929" s="96" t="s">
        <v>2675</v>
      </c>
      <c r="C929" s="95">
        <v>41483</v>
      </c>
      <c r="D929" s="82">
        <v>10660000</v>
      </c>
      <c r="E929" s="82">
        <v>10530000</v>
      </c>
      <c r="F929" s="82">
        <v>10660000</v>
      </c>
      <c r="G929" s="82">
        <v>10580000</v>
      </c>
      <c r="I929" s="97">
        <v>0</v>
      </c>
      <c r="J929" s="97">
        <v>0</v>
      </c>
      <c r="K929" s="97">
        <v>0</v>
      </c>
      <c r="M929" s="7">
        <f t="shared" si="155"/>
        <v>0</v>
      </c>
      <c r="N929" s="7">
        <f t="shared" si="164"/>
        <v>0</v>
      </c>
      <c r="O929" s="7">
        <f t="shared" si="163"/>
        <v>70000</v>
      </c>
      <c r="P929" s="99">
        <f t="shared" si="156"/>
        <v>6.6603235014272124E-3</v>
      </c>
      <c r="Q929" s="99">
        <f t="shared" si="165"/>
        <v>2.7349100219007577E-2</v>
      </c>
      <c r="S929" s="7">
        <f t="shared" si="157"/>
        <v>11638000.000000002</v>
      </c>
      <c r="T929" s="7">
        <f t="shared" si="158"/>
        <v>3526666.6666666665</v>
      </c>
      <c r="U929" s="7">
        <f t="shared" si="159"/>
        <v>9680000</v>
      </c>
      <c r="V929" s="7">
        <f t="shared" si="160"/>
        <v>0</v>
      </c>
      <c r="W929" s="7">
        <f t="shared" si="161"/>
        <v>0</v>
      </c>
      <c r="X929" s="7">
        <f t="shared" si="162"/>
        <v>0</v>
      </c>
    </row>
    <row r="930" spans="1:24">
      <c r="A930">
        <v>929</v>
      </c>
      <c r="B930" s="96" t="s">
        <v>2674</v>
      </c>
      <c r="C930" s="95">
        <v>41484</v>
      </c>
      <c r="D930" s="82">
        <v>10510000</v>
      </c>
      <c r="E930" s="82">
        <v>10490000</v>
      </c>
      <c r="F930" s="82">
        <v>10590000</v>
      </c>
      <c r="G930" s="82">
        <v>10580000</v>
      </c>
      <c r="I930" s="97">
        <v>0</v>
      </c>
      <c r="J930" s="97">
        <v>0</v>
      </c>
      <c r="K930" s="97">
        <v>0</v>
      </c>
      <c r="M930" s="7">
        <f t="shared" si="155"/>
        <v>0</v>
      </c>
      <c r="N930" s="7">
        <f t="shared" si="164"/>
        <v>0</v>
      </c>
      <c r="O930" s="7">
        <f t="shared" si="163"/>
        <v>0</v>
      </c>
      <c r="P930" s="99">
        <f t="shared" si="156"/>
        <v>0</v>
      </c>
      <c r="Q930" s="99">
        <f t="shared" si="165"/>
        <v>3.0099355294237327E-2</v>
      </c>
      <c r="S930" s="7">
        <f t="shared" si="157"/>
        <v>11638000.000000002</v>
      </c>
      <c r="T930" s="7">
        <f t="shared" si="158"/>
        <v>3526666.6666666665</v>
      </c>
      <c r="U930" s="7">
        <f t="shared" si="159"/>
        <v>9620000</v>
      </c>
      <c r="V930" s="7">
        <f t="shared" si="160"/>
        <v>0</v>
      </c>
      <c r="W930" s="7">
        <f t="shared" si="161"/>
        <v>0</v>
      </c>
      <c r="X930" s="7">
        <f t="shared" si="162"/>
        <v>0</v>
      </c>
    </row>
    <row r="931" spans="1:24">
      <c r="A931">
        <v>930</v>
      </c>
      <c r="B931" s="96" t="s">
        <v>2673</v>
      </c>
      <c r="C931" s="95">
        <v>41486</v>
      </c>
      <c r="D931" s="82">
        <v>10600000</v>
      </c>
      <c r="E931" s="82">
        <v>10560000</v>
      </c>
      <c r="F931" s="82">
        <v>10600000</v>
      </c>
      <c r="G931" s="82">
        <v>10560000</v>
      </c>
      <c r="I931" s="98">
        <v>0</v>
      </c>
      <c r="J931" s="98">
        <v>0</v>
      </c>
      <c r="K931" s="98">
        <v>0</v>
      </c>
      <c r="M931" s="7">
        <f t="shared" si="155"/>
        <v>0</v>
      </c>
      <c r="N931" s="7">
        <f t="shared" si="164"/>
        <v>0</v>
      </c>
      <c r="O931" s="7">
        <f t="shared" si="163"/>
        <v>-20000</v>
      </c>
      <c r="P931" s="99">
        <f t="shared" si="156"/>
        <v>-1.890359168241966E-3</v>
      </c>
      <c r="Q931" s="99">
        <f t="shared" si="165"/>
        <v>1.7441127446136063E-2</v>
      </c>
      <c r="S931" s="7">
        <f t="shared" si="157"/>
        <v>11616000.000000002</v>
      </c>
      <c r="T931" s="7">
        <f t="shared" si="158"/>
        <v>3520000</v>
      </c>
      <c r="U931" s="7">
        <f t="shared" si="159"/>
        <v>9580000</v>
      </c>
      <c r="V931" s="7">
        <f t="shared" si="160"/>
        <v>0</v>
      </c>
      <c r="W931" s="7">
        <f t="shared" si="161"/>
        <v>0</v>
      </c>
      <c r="X931" s="7">
        <f t="shared" si="162"/>
        <v>0</v>
      </c>
    </row>
    <row r="932" spans="1:24">
      <c r="A932">
        <v>931</v>
      </c>
      <c r="B932" s="96" t="s">
        <v>2672</v>
      </c>
      <c r="C932" s="95">
        <v>41487</v>
      </c>
      <c r="D932" s="82">
        <v>10550000</v>
      </c>
      <c r="E932" s="82">
        <v>10550000</v>
      </c>
      <c r="F932" s="82">
        <v>10610000</v>
      </c>
      <c r="G932" s="82">
        <v>10610000</v>
      </c>
      <c r="I932" s="82">
        <f>G932*1.1</f>
        <v>11671000.000000002</v>
      </c>
      <c r="J932" s="82">
        <f>G932/3</f>
        <v>3536666.6666666665</v>
      </c>
      <c r="K932" s="7">
        <f>G1200</f>
        <v>9580000</v>
      </c>
      <c r="L932" s="7">
        <f>K932-I932</f>
        <v>-2091000.0000000019</v>
      </c>
      <c r="M932" s="7">
        <f t="shared" si="155"/>
        <v>442083.33333333326</v>
      </c>
      <c r="N932" s="7">
        <f t="shared" si="164"/>
        <v>-1648916.6666666686</v>
      </c>
      <c r="O932" s="7">
        <f t="shared" si="163"/>
        <v>50000</v>
      </c>
      <c r="P932" s="99">
        <f t="shared" si="156"/>
        <v>4.734848484848485E-3</v>
      </c>
      <c r="Q932" s="99">
        <f t="shared" si="165"/>
        <v>1.8435383662509481E-2</v>
      </c>
      <c r="R932">
        <v>1</v>
      </c>
      <c r="S932" s="7">
        <f t="shared" si="157"/>
        <v>11671000.000000002</v>
      </c>
      <c r="T932" s="7">
        <f t="shared" si="158"/>
        <v>3536666.6666666665</v>
      </c>
      <c r="U932" s="7">
        <f t="shared" si="159"/>
        <v>9580000</v>
      </c>
      <c r="V932" s="7">
        <f t="shared" si="160"/>
        <v>-2091000.0000000019</v>
      </c>
      <c r="W932" s="7">
        <f t="shared" si="161"/>
        <v>442083.33333333326</v>
      </c>
      <c r="X932" s="7">
        <f t="shared" si="162"/>
        <v>-1648916.6666666686</v>
      </c>
    </row>
    <row r="933" spans="1:24">
      <c r="A933">
        <v>932</v>
      </c>
      <c r="B933" s="96" t="s">
        <v>2671</v>
      </c>
      <c r="C933" s="95">
        <v>41489</v>
      </c>
      <c r="D933" s="82">
        <v>10640000</v>
      </c>
      <c r="E933" s="82">
        <v>10620000</v>
      </c>
      <c r="F933" s="82">
        <v>11000000</v>
      </c>
      <c r="G933" s="82">
        <v>10900000</v>
      </c>
      <c r="I933" s="97">
        <v>0</v>
      </c>
      <c r="J933" s="97">
        <v>0</v>
      </c>
      <c r="K933" s="97">
        <v>0</v>
      </c>
      <c r="M933" s="7">
        <f t="shared" si="155"/>
        <v>0</v>
      </c>
      <c r="N933" s="7">
        <f t="shared" si="164"/>
        <v>0</v>
      </c>
      <c r="O933" s="7">
        <f t="shared" si="163"/>
        <v>290000</v>
      </c>
      <c r="P933" s="99">
        <f t="shared" si="156"/>
        <v>2.7332704995287466E-2</v>
      </c>
      <c r="Q933" s="99">
        <f t="shared" si="165"/>
        <v>3.0884793381687762E-2</v>
      </c>
      <c r="S933" s="7">
        <f t="shared" si="157"/>
        <v>11990000.000000002</v>
      </c>
      <c r="T933" s="7">
        <f t="shared" si="158"/>
        <v>3633333.3333333335</v>
      </c>
      <c r="U933" s="7">
        <f t="shared" si="159"/>
        <v>9570000</v>
      </c>
      <c r="V933" s="7">
        <f t="shared" si="160"/>
        <v>0</v>
      </c>
      <c r="W933" s="7">
        <f t="shared" si="161"/>
        <v>0</v>
      </c>
      <c r="X933" s="7">
        <f t="shared" si="162"/>
        <v>0</v>
      </c>
    </row>
    <row r="934" spans="1:24">
      <c r="A934">
        <v>933</v>
      </c>
      <c r="B934" s="96" t="s">
        <v>2670</v>
      </c>
      <c r="C934" s="95">
        <v>41490</v>
      </c>
      <c r="D934" s="82">
        <v>10890000</v>
      </c>
      <c r="E934" s="82">
        <v>10780000</v>
      </c>
      <c r="F934" s="82">
        <v>10950000</v>
      </c>
      <c r="G934" s="82">
        <v>10780000</v>
      </c>
      <c r="I934" s="97">
        <v>0</v>
      </c>
      <c r="J934" s="97">
        <v>0</v>
      </c>
      <c r="K934" s="97">
        <v>0</v>
      </c>
      <c r="M934" s="7">
        <f t="shared" si="155"/>
        <v>0</v>
      </c>
      <c r="N934" s="7">
        <f t="shared" si="164"/>
        <v>0</v>
      </c>
      <c r="O934" s="7">
        <f t="shared" si="163"/>
        <v>-120000</v>
      </c>
      <c r="P934" s="99">
        <f t="shared" si="156"/>
        <v>-1.1009174311926606E-2</v>
      </c>
      <c r="Q934" s="99">
        <f t="shared" si="165"/>
        <v>3.6837517813321202E-2</v>
      </c>
      <c r="S934" s="7">
        <f t="shared" si="157"/>
        <v>11858000.000000002</v>
      </c>
      <c r="T934" s="7">
        <f t="shared" si="158"/>
        <v>3593333.3333333335</v>
      </c>
      <c r="U934" s="7">
        <f t="shared" si="159"/>
        <v>9570000</v>
      </c>
      <c r="V934" s="7">
        <f t="shared" si="160"/>
        <v>0</v>
      </c>
      <c r="W934" s="7">
        <f t="shared" si="161"/>
        <v>0</v>
      </c>
      <c r="X934" s="7">
        <f t="shared" si="162"/>
        <v>0</v>
      </c>
    </row>
    <row r="935" spans="1:24">
      <c r="A935">
        <v>934</v>
      </c>
      <c r="B935" s="96" t="s">
        <v>2669</v>
      </c>
      <c r="C935" s="95">
        <v>41491</v>
      </c>
      <c r="D935" s="82">
        <v>10710000</v>
      </c>
      <c r="E935" s="82">
        <v>10670000</v>
      </c>
      <c r="F935" s="82">
        <v>10760000</v>
      </c>
      <c r="G935" s="82">
        <v>10680000</v>
      </c>
      <c r="I935" s="97">
        <v>0</v>
      </c>
      <c r="J935" s="97">
        <v>0</v>
      </c>
      <c r="K935" s="97">
        <v>0</v>
      </c>
      <c r="M935" s="7">
        <f t="shared" si="155"/>
        <v>0</v>
      </c>
      <c r="N935" s="7">
        <f t="shared" si="164"/>
        <v>0</v>
      </c>
      <c r="O935" s="7">
        <f t="shared" si="163"/>
        <v>-100000</v>
      </c>
      <c r="P935" s="99">
        <f t="shared" si="156"/>
        <v>-9.2764378478664197E-3</v>
      </c>
      <c r="Q935" s="99">
        <f t="shared" si="165"/>
        <v>1.9168019999967381E-2</v>
      </c>
      <c r="S935" s="7">
        <f t="shared" si="157"/>
        <v>11748000.000000002</v>
      </c>
      <c r="T935" s="7">
        <f t="shared" si="158"/>
        <v>3560000</v>
      </c>
      <c r="U935" s="7">
        <f t="shared" si="159"/>
        <v>9515000</v>
      </c>
      <c r="V935" s="7">
        <f t="shared" si="160"/>
        <v>0</v>
      </c>
      <c r="W935" s="7">
        <f t="shared" si="161"/>
        <v>0</v>
      </c>
      <c r="X935" s="7">
        <f t="shared" si="162"/>
        <v>0</v>
      </c>
    </row>
    <row r="936" spans="1:24">
      <c r="A936">
        <v>935</v>
      </c>
      <c r="B936" s="96" t="s">
        <v>2668</v>
      </c>
      <c r="C936" s="95">
        <v>41492</v>
      </c>
      <c r="D936" s="82">
        <v>10620000</v>
      </c>
      <c r="E936" s="82">
        <v>10570000</v>
      </c>
      <c r="F936" s="82">
        <v>10620000</v>
      </c>
      <c r="G936" s="82">
        <v>10570000</v>
      </c>
      <c r="I936" s="98">
        <v>0</v>
      </c>
      <c r="J936" s="98">
        <v>0</v>
      </c>
      <c r="K936" s="98">
        <v>0</v>
      </c>
      <c r="M936" s="7">
        <f t="shared" si="155"/>
        <v>0</v>
      </c>
      <c r="N936" s="7">
        <f t="shared" si="164"/>
        <v>0</v>
      </c>
      <c r="O936" s="7">
        <f t="shared" si="163"/>
        <v>-110000</v>
      </c>
      <c r="P936" s="99">
        <f t="shared" si="156"/>
        <v>-1.0299625468164793E-2</v>
      </c>
      <c r="Q936" s="99">
        <f t="shared" si="165"/>
        <v>9.8915821521009615E-3</v>
      </c>
      <c r="S936" s="7">
        <f t="shared" si="157"/>
        <v>11627000.000000002</v>
      </c>
      <c r="T936" s="7">
        <f t="shared" si="158"/>
        <v>3523333.3333333335</v>
      </c>
      <c r="U936" s="7">
        <f t="shared" si="159"/>
        <v>9470000</v>
      </c>
      <c r="V936" s="7">
        <f t="shared" si="160"/>
        <v>0</v>
      </c>
      <c r="W936" s="7">
        <f t="shared" si="161"/>
        <v>0</v>
      </c>
      <c r="X936" s="7">
        <f t="shared" si="162"/>
        <v>0</v>
      </c>
    </row>
    <row r="937" spans="1:24">
      <c r="A937">
        <v>936</v>
      </c>
      <c r="B937" s="96" t="s">
        <v>2667</v>
      </c>
      <c r="C937" s="95">
        <v>41493</v>
      </c>
      <c r="D937" s="82">
        <v>10640000</v>
      </c>
      <c r="E937" s="82">
        <v>10600000</v>
      </c>
      <c r="F937" s="82">
        <v>10670000</v>
      </c>
      <c r="G937" s="82">
        <v>10650000</v>
      </c>
      <c r="I937" s="82">
        <f>G937*1.1</f>
        <v>11715000.000000002</v>
      </c>
      <c r="J937" s="82">
        <f>G937/3</f>
        <v>3550000</v>
      </c>
      <c r="K937" s="7">
        <f>G1205</f>
        <v>9445000</v>
      </c>
      <c r="L937" s="7">
        <f>K937-I937</f>
        <v>-2270000.0000000019</v>
      </c>
      <c r="M937" s="7">
        <f t="shared" si="155"/>
        <v>443750</v>
      </c>
      <c r="N937" s="7">
        <f t="shared" si="164"/>
        <v>-1826250.0000000019</v>
      </c>
      <c r="O937" s="7">
        <f t="shared" si="163"/>
        <v>80000</v>
      </c>
      <c r="P937" s="99">
        <f t="shared" si="156"/>
        <v>7.5685903500473037E-3</v>
      </c>
      <c r="Q937" s="99">
        <f t="shared" si="165"/>
        <v>1.4823158521781316E-3</v>
      </c>
      <c r="R937">
        <v>1</v>
      </c>
      <c r="S937" s="7">
        <f t="shared" si="157"/>
        <v>11715000.000000002</v>
      </c>
      <c r="T937" s="7">
        <f t="shared" si="158"/>
        <v>3550000</v>
      </c>
      <c r="U937" s="7">
        <f t="shared" si="159"/>
        <v>9445000</v>
      </c>
      <c r="V937" s="7">
        <f t="shared" si="160"/>
        <v>-2270000.0000000019</v>
      </c>
      <c r="W937" s="7">
        <f t="shared" si="161"/>
        <v>443750</v>
      </c>
      <c r="X937" s="7">
        <f t="shared" si="162"/>
        <v>-1826250.0000000019</v>
      </c>
    </row>
    <row r="938" spans="1:24">
      <c r="A938">
        <v>937</v>
      </c>
      <c r="B938" s="96" t="s">
        <v>2666</v>
      </c>
      <c r="C938" s="95">
        <v>41494</v>
      </c>
      <c r="D938" s="82">
        <v>10730000</v>
      </c>
      <c r="E938" s="82">
        <v>10680000</v>
      </c>
      <c r="F938" s="82">
        <v>10730000</v>
      </c>
      <c r="G938" s="82">
        <v>10680000</v>
      </c>
      <c r="I938" s="97">
        <v>0</v>
      </c>
      <c r="J938" s="97">
        <v>0</v>
      </c>
      <c r="K938" s="97">
        <v>0</v>
      </c>
      <c r="M938" s="7">
        <f t="shared" si="155"/>
        <v>0</v>
      </c>
      <c r="N938" s="7">
        <f t="shared" si="164"/>
        <v>0</v>
      </c>
      <c r="O938" s="7">
        <f t="shared" si="163"/>
        <v>30000</v>
      </c>
      <c r="P938" s="99">
        <f t="shared" si="156"/>
        <v>2.8169014084507044E-3</v>
      </c>
      <c r="Q938" s="99">
        <f t="shared" si="165"/>
        <v>4.3160577173769511E-3</v>
      </c>
      <c r="S938" s="7">
        <f t="shared" si="157"/>
        <v>11748000.000000002</v>
      </c>
      <c r="T938" s="7">
        <f t="shared" si="158"/>
        <v>3560000</v>
      </c>
      <c r="U938" s="7">
        <f t="shared" si="159"/>
        <v>9410000</v>
      </c>
      <c r="V938" s="7">
        <f t="shared" si="160"/>
        <v>0</v>
      </c>
      <c r="W938" s="7">
        <f t="shared" si="161"/>
        <v>0</v>
      </c>
      <c r="X938" s="7">
        <f t="shared" si="162"/>
        <v>0</v>
      </c>
    </row>
    <row r="939" spans="1:24">
      <c r="A939">
        <v>938</v>
      </c>
      <c r="B939" s="96" t="s">
        <v>2665</v>
      </c>
      <c r="C939" s="95">
        <v>41496</v>
      </c>
      <c r="D939" s="82">
        <v>10750000</v>
      </c>
      <c r="E939" s="82">
        <v>10750000</v>
      </c>
      <c r="F939" s="82">
        <v>10750000</v>
      </c>
      <c r="G939" s="82">
        <v>10750000</v>
      </c>
      <c r="I939" s="97">
        <v>0</v>
      </c>
      <c r="J939" s="97">
        <v>0</v>
      </c>
      <c r="K939" s="97">
        <v>0</v>
      </c>
      <c r="M939" s="7">
        <f t="shared" si="155"/>
        <v>0</v>
      </c>
      <c r="N939" s="7">
        <f t="shared" si="164"/>
        <v>0</v>
      </c>
      <c r="O939" s="7">
        <f t="shared" si="163"/>
        <v>70000</v>
      </c>
      <c r="P939" s="99">
        <f t="shared" si="156"/>
        <v>6.5543071161048693E-3</v>
      </c>
      <c r="Q939" s="99">
        <f t="shared" si="165"/>
        <v>-2.0199745869459811E-2</v>
      </c>
      <c r="S939" s="7">
        <f t="shared" si="157"/>
        <v>11825000.000000002</v>
      </c>
      <c r="T939" s="7">
        <f t="shared" si="158"/>
        <v>3583333.3333333335</v>
      </c>
      <c r="U939" s="7">
        <f t="shared" si="159"/>
        <v>9518000</v>
      </c>
      <c r="V939" s="7">
        <f t="shared" si="160"/>
        <v>0</v>
      </c>
      <c r="W939" s="7">
        <f t="shared" si="161"/>
        <v>0</v>
      </c>
      <c r="X939" s="7">
        <f t="shared" si="162"/>
        <v>0</v>
      </c>
    </row>
    <row r="940" spans="1:24">
      <c r="A940">
        <v>939</v>
      </c>
      <c r="B940" s="96" t="s">
        <v>2664</v>
      </c>
      <c r="C940" s="95">
        <v>41497</v>
      </c>
      <c r="D940" s="82">
        <v>10760000</v>
      </c>
      <c r="E940" s="82">
        <v>10730000</v>
      </c>
      <c r="F940" s="82">
        <v>10760000</v>
      </c>
      <c r="G940" s="82">
        <v>10750000</v>
      </c>
      <c r="I940" s="97">
        <v>0</v>
      </c>
      <c r="J940" s="97">
        <v>0</v>
      </c>
      <c r="K940" s="97">
        <v>0</v>
      </c>
      <c r="M940" s="7">
        <f t="shared" si="155"/>
        <v>0</v>
      </c>
      <c r="N940" s="7">
        <f t="shared" si="164"/>
        <v>0</v>
      </c>
      <c r="O940" s="7">
        <f t="shared" si="163"/>
        <v>0</v>
      </c>
      <c r="P940" s="99">
        <f t="shared" si="156"/>
        <v>0</v>
      </c>
      <c r="Q940" s="99">
        <f t="shared" si="165"/>
        <v>-2.6362644414283359E-3</v>
      </c>
      <c r="S940" s="7">
        <f t="shared" si="157"/>
        <v>11825000.000000002</v>
      </c>
      <c r="T940" s="7">
        <f t="shared" si="158"/>
        <v>3583333.3333333335</v>
      </c>
      <c r="U940" s="7">
        <f t="shared" si="159"/>
        <v>9600000</v>
      </c>
      <c r="V940" s="7">
        <f t="shared" si="160"/>
        <v>0</v>
      </c>
      <c r="W940" s="7">
        <f t="shared" si="161"/>
        <v>0</v>
      </c>
      <c r="X940" s="7">
        <f t="shared" si="162"/>
        <v>0</v>
      </c>
    </row>
    <row r="941" spans="1:24">
      <c r="A941">
        <v>940</v>
      </c>
      <c r="B941" s="96" t="s">
        <v>2663</v>
      </c>
      <c r="C941" s="95">
        <v>41498</v>
      </c>
      <c r="D941" s="82">
        <v>10830000</v>
      </c>
      <c r="E941" s="82">
        <v>10810000</v>
      </c>
      <c r="F941" s="82">
        <v>10880000</v>
      </c>
      <c r="G941" s="82">
        <v>10840000</v>
      </c>
      <c r="I941" s="98">
        <v>0</v>
      </c>
      <c r="J941" s="98">
        <v>0</v>
      </c>
      <c r="K941" s="98">
        <v>0</v>
      </c>
      <c r="M941" s="7">
        <f t="shared" si="155"/>
        <v>0</v>
      </c>
      <c r="N941" s="7">
        <f t="shared" si="164"/>
        <v>0</v>
      </c>
      <c r="O941" s="7">
        <f t="shared" si="163"/>
        <v>90000</v>
      </c>
      <c r="P941" s="99">
        <f t="shared" si="156"/>
        <v>8.3720930232558145E-3</v>
      </c>
      <c r="Q941" s="99">
        <f t="shared" si="165"/>
        <v>6.6401734064380838E-3</v>
      </c>
      <c r="S941" s="7">
        <f t="shared" si="157"/>
        <v>11924000.000000002</v>
      </c>
      <c r="T941" s="7">
        <f t="shared" si="158"/>
        <v>3613333.3333333335</v>
      </c>
      <c r="U941" s="7">
        <f t="shared" si="159"/>
        <v>9594000</v>
      </c>
      <c r="V941" s="7">
        <f t="shared" si="160"/>
        <v>0</v>
      </c>
      <c r="W941" s="7">
        <f t="shared" si="161"/>
        <v>0</v>
      </c>
      <c r="X941" s="7">
        <f t="shared" si="162"/>
        <v>0</v>
      </c>
    </row>
    <row r="942" spans="1:24">
      <c r="A942">
        <v>941</v>
      </c>
      <c r="B942" s="96" t="s">
        <v>2662</v>
      </c>
      <c r="C942" s="95">
        <v>41499</v>
      </c>
      <c r="D942" s="82">
        <v>10740000</v>
      </c>
      <c r="E942" s="82">
        <v>10630000</v>
      </c>
      <c r="F942" s="82">
        <v>10750000</v>
      </c>
      <c r="G942" s="82">
        <v>10630000</v>
      </c>
      <c r="I942" s="82">
        <f>G942*1.1</f>
        <v>11693000.000000002</v>
      </c>
      <c r="J942" s="82">
        <f>G942/3</f>
        <v>3543333.3333333335</v>
      </c>
      <c r="K942" s="7">
        <f>G1210</f>
        <v>9610000</v>
      </c>
      <c r="L942" s="7">
        <f>K942-I942</f>
        <v>-2083000.0000000019</v>
      </c>
      <c r="M942" s="7">
        <f t="shared" si="155"/>
        <v>442916.66666666674</v>
      </c>
      <c r="N942" s="7">
        <f t="shared" si="164"/>
        <v>-1640083.3333333351</v>
      </c>
      <c r="O942" s="7">
        <f t="shared" si="163"/>
        <v>-210000</v>
      </c>
      <c r="P942" s="99">
        <f t="shared" si="156"/>
        <v>-1.9372693726937271E-2</v>
      </c>
      <c r="Q942" s="99">
        <f t="shared" si="165"/>
        <v>2.531189189785869E-2</v>
      </c>
      <c r="R942">
        <v>1</v>
      </c>
      <c r="S942" s="7">
        <f t="shared" si="157"/>
        <v>11693000.000000002</v>
      </c>
      <c r="T942" s="7">
        <f t="shared" si="158"/>
        <v>3543333.3333333335</v>
      </c>
      <c r="U942" s="7">
        <f t="shared" si="159"/>
        <v>9610000</v>
      </c>
      <c r="V942" s="7">
        <f t="shared" si="160"/>
        <v>-2083000.0000000019</v>
      </c>
      <c r="W942" s="7">
        <f t="shared" si="161"/>
        <v>442916.66666666674</v>
      </c>
      <c r="X942" s="7">
        <f t="shared" si="162"/>
        <v>-1640083.3333333351</v>
      </c>
    </row>
    <row r="943" spans="1:24">
      <c r="A943">
        <v>942</v>
      </c>
      <c r="B943" s="96" t="s">
        <v>2661</v>
      </c>
      <c r="C943" s="95">
        <v>41500</v>
      </c>
      <c r="D943" s="82">
        <v>10550000</v>
      </c>
      <c r="E943" s="82">
        <v>10550000</v>
      </c>
      <c r="F943" s="82">
        <v>10720000</v>
      </c>
      <c r="G943" s="82">
        <v>10720000</v>
      </c>
      <c r="I943" s="97">
        <v>0</v>
      </c>
      <c r="J943" s="97">
        <v>0</v>
      </c>
      <c r="K943" s="97">
        <v>0</v>
      </c>
      <c r="M943" s="7">
        <f t="shared" si="155"/>
        <v>0</v>
      </c>
      <c r="N943" s="7">
        <f t="shared" si="164"/>
        <v>0</v>
      </c>
      <c r="O943" s="7">
        <f t="shared" si="163"/>
        <v>90000</v>
      </c>
      <c r="P943" s="99">
        <f t="shared" si="156"/>
        <v>8.4666039510818431E-3</v>
      </c>
      <c r="Q943" s="99">
        <f t="shared" si="165"/>
        <v>-1.6293921791258811E-3</v>
      </c>
      <c r="S943" s="7">
        <f t="shared" si="157"/>
        <v>11792000.000000002</v>
      </c>
      <c r="T943" s="7">
        <f t="shared" si="158"/>
        <v>3573333.3333333335</v>
      </c>
      <c r="U943" s="7">
        <f t="shared" si="159"/>
        <v>9512000</v>
      </c>
      <c r="V943" s="7">
        <f t="shared" si="160"/>
        <v>0</v>
      </c>
      <c r="W943" s="7">
        <f t="shared" si="161"/>
        <v>0</v>
      </c>
      <c r="X943" s="7">
        <f t="shared" si="162"/>
        <v>0</v>
      </c>
    </row>
    <row r="944" spans="1:24">
      <c r="A944">
        <v>943</v>
      </c>
      <c r="B944" s="96" t="s">
        <v>2660</v>
      </c>
      <c r="C944" s="95">
        <v>41501</v>
      </c>
      <c r="D944" s="82">
        <v>10745000</v>
      </c>
      <c r="E944" s="82">
        <v>10630000</v>
      </c>
      <c r="F944" s="82">
        <v>10750000</v>
      </c>
      <c r="G944" s="82">
        <v>10630000</v>
      </c>
      <c r="I944" s="97">
        <v>0</v>
      </c>
      <c r="J944" s="97">
        <v>0</v>
      </c>
      <c r="K944" s="97">
        <v>0</v>
      </c>
      <c r="M944" s="7">
        <f t="shared" si="155"/>
        <v>0</v>
      </c>
      <c r="N944" s="7">
        <f t="shared" si="164"/>
        <v>0</v>
      </c>
      <c r="O944" s="7">
        <f t="shared" si="163"/>
        <v>-90000</v>
      </c>
      <c r="P944" s="99">
        <f t="shared" si="156"/>
        <v>-8.3955223880597014E-3</v>
      </c>
      <c r="Q944" s="99">
        <f t="shared" si="165"/>
        <v>4.0203103635052563E-3</v>
      </c>
      <c r="S944" s="7">
        <f t="shared" si="157"/>
        <v>11693000.000000002</v>
      </c>
      <c r="T944" s="7">
        <f t="shared" si="158"/>
        <v>3543333.3333333335</v>
      </c>
      <c r="U944" s="7">
        <f t="shared" si="159"/>
        <v>9480000</v>
      </c>
      <c r="V944" s="7">
        <f t="shared" si="160"/>
        <v>0</v>
      </c>
      <c r="W944" s="7">
        <f t="shared" si="161"/>
        <v>0</v>
      </c>
      <c r="X944" s="7">
        <f t="shared" si="162"/>
        <v>0</v>
      </c>
    </row>
    <row r="945" spans="1:24">
      <c r="A945">
        <v>944</v>
      </c>
      <c r="B945" s="96" t="s">
        <v>2659</v>
      </c>
      <c r="C945" s="95">
        <v>41503</v>
      </c>
      <c r="D945" s="82">
        <v>10775000</v>
      </c>
      <c r="E945" s="82">
        <v>10610000</v>
      </c>
      <c r="F945" s="82">
        <v>10775000</v>
      </c>
      <c r="G945" s="82">
        <v>10620000</v>
      </c>
      <c r="I945" s="97">
        <v>0</v>
      </c>
      <c r="J945" s="97">
        <v>0</v>
      </c>
      <c r="K945" s="97">
        <v>0</v>
      </c>
      <c r="M945" s="7">
        <f t="shared" si="155"/>
        <v>0</v>
      </c>
      <c r="N945" s="7">
        <f t="shared" si="164"/>
        <v>0</v>
      </c>
      <c r="O945" s="7">
        <f t="shared" si="163"/>
        <v>-10000</v>
      </c>
      <c r="P945" s="99">
        <f t="shared" si="156"/>
        <v>-9.4073377234242712E-4</v>
      </c>
      <c r="Q945" s="99">
        <f t="shared" si="165"/>
        <v>-1.0929519140659314E-2</v>
      </c>
      <c r="S945" s="7">
        <f t="shared" si="157"/>
        <v>11682000.000000002</v>
      </c>
      <c r="T945" s="7">
        <f t="shared" si="158"/>
        <v>3540000</v>
      </c>
      <c r="U945" s="7">
        <f t="shared" si="159"/>
        <v>9490000</v>
      </c>
      <c r="V945" s="7">
        <f t="shared" si="160"/>
        <v>0</v>
      </c>
      <c r="W945" s="7">
        <f t="shared" si="161"/>
        <v>0</v>
      </c>
      <c r="X945" s="7">
        <f t="shared" si="162"/>
        <v>0</v>
      </c>
    </row>
    <row r="946" spans="1:24">
      <c r="A946">
        <v>945</v>
      </c>
      <c r="B946" s="96" t="s">
        <v>2658</v>
      </c>
      <c r="C946" s="95">
        <v>41504</v>
      </c>
      <c r="D946" s="82">
        <v>10530000</v>
      </c>
      <c r="E946" s="82">
        <v>10530000</v>
      </c>
      <c r="F946" s="82">
        <v>10700000</v>
      </c>
      <c r="G946" s="82">
        <v>10670000</v>
      </c>
      <c r="I946" s="98">
        <v>0</v>
      </c>
      <c r="J946" s="98">
        <v>0</v>
      </c>
      <c r="K946" s="98">
        <v>0</v>
      </c>
      <c r="M946" s="7">
        <f t="shared" si="155"/>
        <v>0</v>
      </c>
      <c r="N946" s="7">
        <f t="shared" si="164"/>
        <v>0</v>
      </c>
      <c r="O946" s="7">
        <f t="shared" si="163"/>
        <v>50000</v>
      </c>
      <c r="P946" s="99">
        <f t="shared" si="156"/>
        <v>4.7080979284369112E-3</v>
      </c>
      <c r="Q946" s="99">
        <f t="shared" si="165"/>
        <v>-1.1870252913001741E-2</v>
      </c>
      <c r="S946" s="7">
        <f t="shared" si="157"/>
        <v>11737000.000000002</v>
      </c>
      <c r="T946" s="7">
        <f t="shared" si="158"/>
        <v>3556666.6666666665</v>
      </c>
      <c r="U946" s="7">
        <f t="shared" si="159"/>
        <v>9530000</v>
      </c>
      <c r="V946" s="7">
        <f t="shared" si="160"/>
        <v>0</v>
      </c>
      <c r="W946" s="7">
        <f t="shared" si="161"/>
        <v>0</v>
      </c>
      <c r="X946" s="7">
        <f t="shared" si="162"/>
        <v>0</v>
      </c>
    </row>
    <row r="947" spans="1:24">
      <c r="A947">
        <v>946</v>
      </c>
      <c r="B947" s="96" t="s">
        <v>2657</v>
      </c>
      <c r="C947" s="95">
        <v>41505</v>
      </c>
      <c r="D947" s="82">
        <v>10650000</v>
      </c>
      <c r="E947" s="82">
        <v>10470000</v>
      </c>
      <c r="F947" s="82">
        <v>10650000</v>
      </c>
      <c r="G947" s="82">
        <v>10470000</v>
      </c>
      <c r="I947" s="82">
        <f>G947*1.1</f>
        <v>11517000</v>
      </c>
      <c r="J947" s="82">
        <f>G947/3</f>
        <v>3490000</v>
      </c>
      <c r="K947" s="7">
        <f>G1215</f>
        <v>9790000</v>
      </c>
      <c r="L947" s="7">
        <f>K947-I947</f>
        <v>-1727000</v>
      </c>
      <c r="M947" s="7">
        <f t="shared" si="155"/>
        <v>436250</v>
      </c>
      <c r="N947" s="7">
        <f t="shared" si="164"/>
        <v>-1290750</v>
      </c>
      <c r="O947" s="7">
        <f t="shared" si="163"/>
        <v>-200000</v>
      </c>
      <c r="P947" s="99">
        <f t="shared" si="156"/>
        <v>-1.874414245548266E-2</v>
      </c>
      <c r="Q947" s="99">
        <f t="shared" si="165"/>
        <v>-1.5534248007820644E-2</v>
      </c>
      <c r="R947">
        <v>1</v>
      </c>
      <c r="S947" s="7">
        <f t="shared" si="157"/>
        <v>11517000</v>
      </c>
      <c r="T947" s="7">
        <f t="shared" si="158"/>
        <v>3490000</v>
      </c>
      <c r="U947" s="7">
        <f t="shared" si="159"/>
        <v>9790000</v>
      </c>
      <c r="V947" s="7">
        <f t="shared" si="160"/>
        <v>-1727000</v>
      </c>
      <c r="W947" s="7">
        <f t="shared" si="161"/>
        <v>436250</v>
      </c>
      <c r="X947" s="7">
        <f t="shared" si="162"/>
        <v>-1290750</v>
      </c>
    </row>
    <row r="948" spans="1:24">
      <c r="A948">
        <v>947</v>
      </c>
      <c r="B948" s="96" t="s">
        <v>2656</v>
      </c>
      <c r="C948" s="95">
        <v>41506</v>
      </c>
      <c r="D948" s="82">
        <v>10410000</v>
      </c>
      <c r="E948" s="82">
        <v>10180000</v>
      </c>
      <c r="F948" s="82">
        <v>10410000</v>
      </c>
      <c r="G948" s="82">
        <v>10230000</v>
      </c>
      <c r="I948" s="97">
        <v>0</v>
      </c>
      <c r="J948" s="97">
        <v>0</v>
      </c>
      <c r="K948" s="97">
        <v>0</v>
      </c>
      <c r="M948" s="7">
        <f t="shared" si="155"/>
        <v>0</v>
      </c>
      <c r="N948" s="7">
        <f t="shared" si="164"/>
        <v>0</v>
      </c>
      <c r="O948" s="7">
        <f t="shared" si="163"/>
        <v>-240000</v>
      </c>
      <c r="P948" s="99">
        <f t="shared" si="156"/>
        <v>-2.2922636103151862E-2</v>
      </c>
      <c r="Q948" s="99">
        <f t="shared" si="165"/>
        <v>-1.4905696736366034E-2</v>
      </c>
      <c r="S948" s="7">
        <f t="shared" si="157"/>
        <v>11253000</v>
      </c>
      <c r="T948" s="7">
        <f t="shared" si="158"/>
        <v>3410000</v>
      </c>
      <c r="U948" s="7">
        <f t="shared" si="159"/>
        <v>9730000</v>
      </c>
      <c r="V948" s="7">
        <f t="shared" si="160"/>
        <v>0</v>
      </c>
      <c r="W948" s="7">
        <f t="shared" si="161"/>
        <v>0</v>
      </c>
      <c r="X948" s="7">
        <f t="shared" si="162"/>
        <v>0</v>
      </c>
    </row>
    <row r="949" spans="1:24">
      <c r="A949">
        <v>948</v>
      </c>
      <c r="B949" s="96" t="s">
        <v>2655</v>
      </c>
      <c r="C949" s="95">
        <v>41507</v>
      </c>
      <c r="D949" s="82">
        <v>10200000</v>
      </c>
      <c r="E949" s="82">
        <v>10100000</v>
      </c>
      <c r="F949" s="82">
        <v>10220000</v>
      </c>
      <c r="G949" s="82">
        <v>10200000</v>
      </c>
      <c r="I949" s="97">
        <v>0</v>
      </c>
      <c r="J949" s="97">
        <v>0</v>
      </c>
      <c r="K949" s="97">
        <v>0</v>
      </c>
      <c r="M949" s="7">
        <f t="shared" si="155"/>
        <v>0</v>
      </c>
      <c r="N949" s="7">
        <f t="shared" si="164"/>
        <v>0</v>
      </c>
      <c r="O949" s="7">
        <f t="shared" si="163"/>
        <v>-30000</v>
      </c>
      <c r="P949" s="99">
        <f t="shared" si="156"/>
        <v>-2.9325513196480938E-3</v>
      </c>
      <c r="Q949" s="99">
        <f t="shared" si="165"/>
        <v>-4.629493679059974E-2</v>
      </c>
      <c r="S949" s="7">
        <f t="shared" si="157"/>
        <v>11220000</v>
      </c>
      <c r="T949" s="7">
        <f t="shared" si="158"/>
        <v>3400000</v>
      </c>
      <c r="U949" s="7">
        <f t="shared" si="159"/>
        <v>9673000</v>
      </c>
      <c r="V949" s="7">
        <f t="shared" si="160"/>
        <v>0</v>
      </c>
      <c r="W949" s="7">
        <f t="shared" si="161"/>
        <v>0</v>
      </c>
      <c r="X949" s="7">
        <f t="shared" si="162"/>
        <v>0</v>
      </c>
    </row>
    <row r="950" spans="1:24">
      <c r="A950">
        <v>949</v>
      </c>
      <c r="B950" s="96" t="s">
        <v>2654</v>
      </c>
      <c r="C950" s="95">
        <v>41508</v>
      </c>
      <c r="D950" s="82">
        <v>10270000</v>
      </c>
      <c r="E950" s="82">
        <v>10260000</v>
      </c>
      <c r="F950" s="82">
        <v>10360000</v>
      </c>
      <c r="G950" s="82">
        <v>10330000</v>
      </c>
      <c r="I950" s="97">
        <v>0</v>
      </c>
      <c r="J950" s="97">
        <v>0</v>
      </c>
      <c r="K950" s="97">
        <v>0</v>
      </c>
      <c r="M950" s="7">
        <f t="shared" si="155"/>
        <v>0</v>
      </c>
      <c r="N950" s="7">
        <f t="shared" si="164"/>
        <v>0</v>
      </c>
      <c r="O950" s="7">
        <f t="shared" si="163"/>
        <v>130000</v>
      </c>
      <c r="P950" s="99">
        <f t="shared" si="156"/>
        <v>1.2745098039215686E-2</v>
      </c>
      <c r="Q950" s="99">
        <f t="shared" si="165"/>
        <v>-4.0831965722188127E-2</v>
      </c>
      <c r="S950" s="7">
        <f t="shared" si="157"/>
        <v>11363000</v>
      </c>
      <c r="T950" s="7">
        <f t="shared" si="158"/>
        <v>3443333.3333333335</v>
      </c>
      <c r="U950" s="7">
        <f t="shared" si="159"/>
        <v>9692000</v>
      </c>
      <c r="V950" s="7">
        <f t="shared" si="160"/>
        <v>0</v>
      </c>
      <c r="W950" s="7">
        <f t="shared" si="161"/>
        <v>0</v>
      </c>
      <c r="X950" s="7">
        <f t="shared" si="162"/>
        <v>0</v>
      </c>
    </row>
    <row r="951" spans="1:24">
      <c r="A951">
        <v>950</v>
      </c>
      <c r="B951" s="96" t="s">
        <v>2653</v>
      </c>
      <c r="C951" s="95">
        <v>41510</v>
      </c>
      <c r="D951" s="82">
        <v>10420000</v>
      </c>
      <c r="E951" s="82">
        <v>10350000</v>
      </c>
      <c r="F951" s="82">
        <v>10440000</v>
      </c>
      <c r="G951" s="82">
        <v>10380000</v>
      </c>
      <c r="I951" s="98">
        <v>0</v>
      </c>
      <c r="J951" s="98">
        <v>0</v>
      </c>
      <c r="K951" s="98">
        <v>0</v>
      </c>
      <c r="M951" s="7">
        <f t="shared" si="155"/>
        <v>0</v>
      </c>
      <c r="N951" s="7">
        <f t="shared" si="164"/>
        <v>0</v>
      </c>
      <c r="O951" s="7">
        <f t="shared" si="163"/>
        <v>50000</v>
      </c>
      <c r="P951" s="99">
        <f t="shared" si="156"/>
        <v>4.8402710551790898E-3</v>
      </c>
      <c r="Q951" s="99">
        <f t="shared" si="165"/>
        <v>-2.7146133910630015E-2</v>
      </c>
      <c r="S951" s="7">
        <f t="shared" si="157"/>
        <v>11418000</v>
      </c>
      <c r="T951" s="7">
        <f t="shared" si="158"/>
        <v>3460000</v>
      </c>
      <c r="U951" s="7">
        <f t="shared" si="159"/>
        <v>9673000</v>
      </c>
      <c r="V951" s="7">
        <f t="shared" si="160"/>
        <v>0</v>
      </c>
      <c r="W951" s="7">
        <f t="shared" si="161"/>
        <v>0</v>
      </c>
      <c r="X951" s="7">
        <f t="shared" si="162"/>
        <v>0</v>
      </c>
    </row>
    <row r="952" spans="1:24">
      <c r="A952">
        <v>951</v>
      </c>
      <c r="B952" s="96" t="s">
        <v>2652</v>
      </c>
      <c r="C952" s="95">
        <v>41511</v>
      </c>
      <c r="D952" s="82">
        <v>10360000</v>
      </c>
      <c r="E952" s="82">
        <v>10325000</v>
      </c>
      <c r="F952" s="82">
        <v>10475000</v>
      </c>
      <c r="G952" s="82">
        <v>10420000</v>
      </c>
      <c r="I952" s="82">
        <f>G952*1.1</f>
        <v>11462000</v>
      </c>
      <c r="J952" s="82">
        <f>G952/3</f>
        <v>3473333.3333333335</v>
      </c>
      <c r="K952" s="7">
        <f>G1220</f>
        <v>9655000</v>
      </c>
      <c r="L952" s="7">
        <f>K952-I952</f>
        <v>-1807000</v>
      </c>
      <c r="M952" s="7">
        <f t="shared" si="155"/>
        <v>434166.66666666674</v>
      </c>
      <c r="N952" s="7">
        <f t="shared" si="164"/>
        <v>-1372833.3333333333</v>
      </c>
      <c r="O952" s="7">
        <f t="shared" si="163"/>
        <v>40000</v>
      </c>
      <c r="P952" s="99">
        <f t="shared" si="156"/>
        <v>3.8535645472061657E-3</v>
      </c>
      <c r="Q952" s="99">
        <f t="shared" si="165"/>
        <v>-2.7013960783887833E-2</v>
      </c>
      <c r="R952">
        <v>1</v>
      </c>
      <c r="S952" s="7">
        <f t="shared" si="157"/>
        <v>11462000</v>
      </c>
      <c r="T952" s="7">
        <f t="shared" si="158"/>
        <v>3473333.3333333335</v>
      </c>
      <c r="U952" s="7">
        <f t="shared" si="159"/>
        <v>9655000</v>
      </c>
      <c r="V952" s="7">
        <f t="shared" si="160"/>
        <v>-1807000</v>
      </c>
      <c r="W952" s="7">
        <f t="shared" si="161"/>
        <v>434166.66666666674</v>
      </c>
      <c r="X952" s="7">
        <f t="shared" si="162"/>
        <v>-1372833.3333333333</v>
      </c>
    </row>
    <row r="953" spans="1:24">
      <c r="A953">
        <v>952</v>
      </c>
      <c r="B953" s="96" t="s">
        <v>2651</v>
      </c>
      <c r="C953" s="95">
        <v>41512</v>
      </c>
      <c r="D953" s="82">
        <v>10410000</v>
      </c>
      <c r="E953" s="82">
        <v>10365000</v>
      </c>
      <c r="F953" s="82">
        <v>10430000</v>
      </c>
      <c r="G953" s="82">
        <v>10390000</v>
      </c>
      <c r="I953" s="97">
        <v>0</v>
      </c>
      <c r="J953" s="97">
        <v>0</v>
      </c>
      <c r="K953" s="97">
        <v>0</v>
      </c>
      <c r="M953" s="7">
        <f t="shared" si="155"/>
        <v>0</v>
      </c>
      <c r="N953" s="7">
        <f t="shared" si="164"/>
        <v>0</v>
      </c>
      <c r="O953" s="7">
        <f t="shared" si="163"/>
        <v>-30000</v>
      </c>
      <c r="P953" s="99">
        <f t="shared" si="156"/>
        <v>-2.8790786948176585E-3</v>
      </c>
      <c r="Q953" s="99">
        <f t="shared" si="165"/>
        <v>-4.4162537811990137E-3</v>
      </c>
      <c r="S953" s="7">
        <f t="shared" si="157"/>
        <v>11429000</v>
      </c>
      <c r="T953" s="7">
        <f t="shared" si="158"/>
        <v>3463333.3333333335</v>
      </c>
      <c r="U953" s="7">
        <f t="shared" si="159"/>
        <v>9575000</v>
      </c>
      <c r="V953" s="7">
        <f t="shared" si="160"/>
        <v>0</v>
      </c>
      <c r="W953" s="7">
        <f t="shared" si="161"/>
        <v>0</v>
      </c>
      <c r="X953" s="7">
        <f t="shared" si="162"/>
        <v>0</v>
      </c>
    </row>
    <row r="954" spans="1:24">
      <c r="A954">
        <v>953</v>
      </c>
      <c r="B954" s="96" t="s">
        <v>2650</v>
      </c>
      <c r="C954" s="95">
        <v>41513</v>
      </c>
      <c r="D954" s="82">
        <v>10400000</v>
      </c>
      <c r="E954" s="82">
        <v>10400000</v>
      </c>
      <c r="F954" s="82">
        <v>10750000</v>
      </c>
      <c r="G954" s="82">
        <v>10750000</v>
      </c>
      <c r="I954" s="97">
        <v>0</v>
      </c>
      <c r="J954" s="97">
        <v>0</v>
      </c>
      <c r="K954" s="97">
        <v>0</v>
      </c>
      <c r="M954" s="7">
        <f t="shared" si="155"/>
        <v>0</v>
      </c>
      <c r="N954" s="7">
        <f t="shared" si="164"/>
        <v>0</v>
      </c>
      <c r="O954" s="7">
        <f t="shared" si="163"/>
        <v>360000</v>
      </c>
      <c r="P954" s="99">
        <f t="shared" si="156"/>
        <v>3.4648700673724733E-2</v>
      </c>
      <c r="Q954" s="99">
        <f t="shared" si="165"/>
        <v>1.562730362713519E-2</v>
      </c>
      <c r="S954" s="7">
        <f t="shared" si="157"/>
        <v>11825000.000000002</v>
      </c>
      <c r="T954" s="7">
        <f t="shared" si="158"/>
        <v>3583333.3333333335</v>
      </c>
      <c r="U954" s="7">
        <f t="shared" si="159"/>
        <v>9523000</v>
      </c>
      <c r="V954" s="7">
        <f t="shared" si="160"/>
        <v>0</v>
      </c>
      <c r="W954" s="7">
        <f t="shared" si="161"/>
        <v>0</v>
      </c>
      <c r="X954" s="7">
        <f t="shared" si="162"/>
        <v>0</v>
      </c>
    </row>
    <row r="955" spans="1:24">
      <c r="A955">
        <v>954</v>
      </c>
      <c r="B955" s="96" t="s">
        <v>2649</v>
      </c>
      <c r="C955" s="95">
        <v>41514</v>
      </c>
      <c r="D955" s="82">
        <v>10950000</v>
      </c>
      <c r="E955" s="82">
        <v>10950000</v>
      </c>
      <c r="F955" s="82">
        <v>11180000</v>
      </c>
      <c r="G955" s="82">
        <v>10950000</v>
      </c>
      <c r="I955" s="97">
        <v>0</v>
      </c>
      <c r="J955" s="97">
        <v>0</v>
      </c>
      <c r="K955" s="97">
        <v>0</v>
      </c>
      <c r="M955" s="7">
        <f t="shared" si="155"/>
        <v>0</v>
      </c>
      <c r="N955" s="7">
        <f t="shared" si="164"/>
        <v>0</v>
      </c>
      <c r="O955" s="7">
        <f t="shared" si="163"/>
        <v>200000</v>
      </c>
      <c r="P955" s="99">
        <f t="shared" si="156"/>
        <v>1.8604651162790697E-2</v>
      </c>
      <c r="Q955" s="99">
        <f t="shared" si="165"/>
        <v>5.3208555620508018E-2</v>
      </c>
      <c r="S955" s="7">
        <f t="shared" si="157"/>
        <v>12045000.000000002</v>
      </c>
      <c r="T955" s="7">
        <f t="shared" si="158"/>
        <v>3650000</v>
      </c>
      <c r="U955" s="7">
        <f t="shared" si="159"/>
        <v>9495000</v>
      </c>
      <c r="V955" s="7">
        <f t="shared" si="160"/>
        <v>0</v>
      </c>
      <c r="W955" s="7">
        <f t="shared" si="161"/>
        <v>0</v>
      </c>
      <c r="X955" s="7">
        <f t="shared" si="162"/>
        <v>0</v>
      </c>
    </row>
    <row r="956" spans="1:24">
      <c r="A956">
        <v>955</v>
      </c>
      <c r="B956" s="96" t="s">
        <v>2648</v>
      </c>
      <c r="C956" s="95">
        <v>41515</v>
      </c>
      <c r="D956" s="82">
        <v>10840000</v>
      </c>
      <c r="E956" s="82">
        <v>10740000</v>
      </c>
      <c r="F956" s="82">
        <v>10910000</v>
      </c>
      <c r="G956" s="82">
        <v>10870000</v>
      </c>
      <c r="I956" s="98">
        <v>0</v>
      </c>
      <c r="J956" s="98">
        <v>0</v>
      </c>
      <c r="K956" s="98">
        <v>0</v>
      </c>
      <c r="M956" s="7">
        <f t="shared" si="155"/>
        <v>0</v>
      </c>
      <c r="N956" s="7">
        <f t="shared" si="164"/>
        <v>0</v>
      </c>
      <c r="O956" s="7">
        <f t="shared" si="163"/>
        <v>-80000</v>
      </c>
      <c r="P956" s="99">
        <f t="shared" si="156"/>
        <v>-7.3059360730593605E-3</v>
      </c>
      <c r="Q956" s="99">
        <f t="shared" si="165"/>
        <v>5.9068108744083025E-2</v>
      </c>
      <c r="S956" s="7">
        <f t="shared" si="157"/>
        <v>11957000.000000002</v>
      </c>
      <c r="T956" s="7">
        <f t="shared" si="158"/>
        <v>3623333.3333333335</v>
      </c>
      <c r="U956" s="7">
        <f t="shared" si="159"/>
        <v>9570000</v>
      </c>
      <c r="V956" s="7">
        <f t="shared" si="160"/>
        <v>0</v>
      </c>
      <c r="W956" s="7">
        <f t="shared" si="161"/>
        <v>0</v>
      </c>
      <c r="X956" s="7">
        <f t="shared" si="162"/>
        <v>0</v>
      </c>
    </row>
    <row r="957" spans="1:24">
      <c r="A957">
        <v>956</v>
      </c>
      <c r="B957" s="96" t="s">
        <v>2647</v>
      </c>
      <c r="C957" s="95">
        <v>41517</v>
      </c>
      <c r="D957" s="82">
        <v>10730000</v>
      </c>
      <c r="E957" s="82">
        <v>10730000</v>
      </c>
      <c r="F957" s="82">
        <v>11010000</v>
      </c>
      <c r="G957" s="82">
        <v>10950000</v>
      </c>
      <c r="I957" s="82">
        <f>G957*1.1</f>
        <v>12045000.000000002</v>
      </c>
      <c r="J957" s="82">
        <f>G957/3</f>
        <v>3650000</v>
      </c>
      <c r="K957" s="7">
        <f>G1225</f>
        <v>9564000</v>
      </c>
      <c r="L957" s="7">
        <f>K957-I957</f>
        <v>-2481000.0000000019</v>
      </c>
      <c r="M957" s="7">
        <f t="shared" si="155"/>
        <v>456250</v>
      </c>
      <c r="N957" s="7">
        <f t="shared" si="164"/>
        <v>-2024750.0000000019</v>
      </c>
      <c r="O957" s="7">
        <f t="shared" si="163"/>
        <v>80000</v>
      </c>
      <c r="P957" s="99">
        <f t="shared" si="156"/>
        <v>7.3597056117755289E-3</v>
      </c>
      <c r="Q957" s="99">
        <f t="shared" si="165"/>
        <v>4.6921901615844572E-2</v>
      </c>
      <c r="R957">
        <v>1</v>
      </c>
      <c r="S957" s="7">
        <f t="shared" si="157"/>
        <v>12045000.000000002</v>
      </c>
      <c r="T957" s="7">
        <f t="shared" si="158"/>
        <v>3650000</v>
      </c>
      <c r="U957" s="7">
        <f t="shared" si="159"/>
        <v>9564000</v>
      </c>
      <c r="V957" s="7">
        <f t="shared" si="160"/>
        <v>-2481000.0000000019</v>
      </c>
      <c r="W957" s="7">
        <f t="shared" si="161"/>
        <v>456250</v>
      </c>
      <c r="X957" s="7">
        <f t="shared" si="162"/>
        <v>-2024750.0000000019</v>
      </c>
    </row>
    <row r="958" spans="1:24">
      <c r="A958">
        <v>957</v>
      </c>
      <c r="B958" s="96" t="s">
        <v>2646</v>
      </c>
      <c r="C958" s="95">
        <v>41518</v>
      </c>
      <c r="D958" s="82">
        <v>10820000</v>
      </c>
      <c r="E958" s="82">
        <v>10820000</v>
      </c>
      <c r="F958" s="82">
        <v>10920000</v>
      </c>
      <c r="G958" s="82">
        <v>10880000</v>
      </c>
      <c r="I958" s="97">
        <v>0</v>
      </c>
      <c r="J958" s="97">
        <v>0</v>
      </c>
      <c r="K958" s="97">
        <v>0</v>
      </c>
      <c r="M958" s="7">
        <f t="shared" si="155"/>
        <v>0</v>
      </c>
      <c r="N958" s="7">
        <f t="shared" si="164"/>
        <v>0</v>
      </c>
      <c r="O958" s="7">
        <f t="shared" si="163"/>
        <v>-70000</v>
      </c>
      <c r="P958" s="99">
        <f t="shared" si="156"/>
        <v>-6.392694063926941E-3</v>
      </c>
      <c r="Q958" s="99">
        <f t="shared" si="165"/>
        <v>5.042804268041394E-2</v>
      </c>
      <c r="S958" s="7">
        <f t="shared" si="157"/>
        <v>11968000.000000002</v>
      </c>
      <c r="T958" s="7">
        <f t="shared" si="158"/>
        <v>3626666.6666666665</v>
      </c>
      <c r="U958" s="7">
        <f t="shared" si="159"/>
        <v>9645000</v>
      </c>
      <c r="V958" s="7">
        <f t="shared" si="160"/>
        <v>0</v>
      </c>
      <c r="W958" s="7">
        <f t="shared" si="161"/>
        <v>0</v>
      </c>
      <c r="X958" s="7">
        <f t="shared" si="162"/>
        <v>0</v>
      </c>
    </row>
    <row r="959" spans="1:24">
      <c r="A959">
        <v>958</v>
      </c>
      <c r="B959" s="96" t="s">
        <v>2645</v>
      </c>
      <c r="C959" s="95">
        <v>41520</v>
      </c>
      <c r="D959" s="82">
        <v>10865000</v>
      </c>
      <c r="E959" s="82">
        <v>10865000</v>
      </c>
      <c r="F959" s="82">
        <v>11035000</v>
      </c>
      <c r="G959" s="82">
        <v>11035000</v>
      </c>
      <c r="I959" s="97">
        <v>0</v>
      </c>
      <c r="J959" s="97">
        <v>0</v>
      </c>
      <c r="K959" s="97">
        <v>0</v>
      </c>
      <c r="M959" s="7">
        <f t="shared" si="155"/>
        <v>0</v>
      </c>
      <c r="N959" s="7">
        <f t="shared" si="164"/>
        <v>0</v>
      </c>
      <c r="O959" s="7">
        <f t="shared" si="163"/>
        <v>155000</v>
      </c>
      <c r="P959" s="99">
        <f t="shared" si="156"/>
        <v>1.4246323529411764E-2</v>
      </c>
      <c r="Q959" s="99">
        <f t="shared" si="165"/>
        <v>4.6914427311304657E-2</v>
      </c>
      <c r="S959" s="7">
        <f t="shared" si="157"/>
        <v>12138500.000000002</v>
      </c>
      <c r="T959" s="7">
        <f t="shared" si="158"/>
        <v>3678333.3333333335</v>
      </c>
      <c r="U959" s="7">
        <f t="shared" si="159"/>
        <v>9647000</v>
      </c>
      <c r="V959" s="7">
        <f t="shared" si="160"/>
        <v>0</v>
      </c>
      <c r="W959" s="7">
        <f t="shared" si="161"/>
        <v>0</v>
      </c>
      <c r="X959" s="7">
        <f t="shared" si="162"/>
        <v>0</v>
      </c>
    </row>
    <row r="960" spans="1:24">
      <c r="A960">
        <v>959</v>
      </c>
      <c r="B960" s="96" t="s">
        <v>2644</v>
      </c>
      <c r="C960" s="95">
        <v>41521</v>
      </c>
      <c r="D960" s="82">
        <v>11210000</v>
      </c>
      <c r="E960" s="82">
        <v>11210000</v>
      </c>
      <c r="F960" s="82">
        <v>11455000</v>
      </c>
      <c r="G960" s="82">
        <v>11280000</v>
      </c>
      <c r="I960" s="97">
        <v>0</v>
      </c>
      <c r="J960" s="97">
        <v>0</v>
      </c>
      <c r="K960" s="97">
        <v>0</v>
      </c>
      <c r="M960" s="7">
        <f t="shared" si="155"/>
        <v>0</v>
      </c>
      <c r="N960" s="7">
        <f t="shared" si="164"/>
        <v>0</v>
      </c>
      <c r="O960" s="7">
        <f t="shared" si="163"/>
        <v>245000</v>
      </c>
      <c r="P960" s="99">
        <f t="shared" si="156"/>
        <v>2.2202084277299503E-2</v>
      </c>
      <c r="Q960" s="99">
        <f t="shared" si="165"/>
        <v>2.6512050166991694E-2</v>
      </c>
      <c r="S960" s="7">
        <f t="shared" si="157"/>
        <v>12408000.000000002</v>
      </c>
      <c r="T960" s="7">
        <f t="shared" si="158"/>
        <v>3760000</v>
      </c>
      <c r="U960" s="7">
        <f t="shared" si="159"/>
        <v>9680000</v>
      </c>
      <c r="V960" s="7">
        <f t="shared" si="160"/>
        <v>0</v>
      </c>
      <c r="W960" s="7">
        <f t="shared" si="161"/>
        <v>0</v>
      </c>
      <c r="X960" s="7">
        <f t="shared" si="162"/>
        <v>0</v>
      </c>
    </row>
    <row r="961" spans="1:24">
      <c r="A961">
        <v>960</v>
      </c>
      <c r="B961" s="96" t="s">
        <v>2643</v>
      </c>
      <c r="C961" s="95">
        <v>41522</v>
      </c>
      <c r="D961" s="82">
        <v>11350000</v>
      </c>
      <c r="E961" s="82">
        <v>11320000</v>
      </c>
      <c r="F961" s="82">
        <v>11470000</v>
      </c>
      <c r="G961" s="82">
        <v>11470000</v>
      </c>
      <c r="I961" s="98">
        <v>0</v>
      </c>
      <c r="J961" s="98">
        <v>0</v>
      </c>
      <c r="K961" s="98">
        <v>0</v>
      </c>
      <c r="M961" s="7">
        <f t="shared" si="155"/>
        <v>0</v>
      </c>
      <c r="N961" s="7">
        <f t="shared" si="164"/>
        <v>0</v>
      </c>
      <c r="O961" s="7">
        <f t="shared" si="163"/>
        <v>190000</v>
      </c>
      <c r="P961" s="99">
        <f t="shared" si="156"/>
        <v>1.6843971631205674E-2</v>
      </c>
      <c r="Q961" s="99">
        <f t="shared" si="165"/>
        <v>3.0109483281500496E-2</v>
      </c>
      <c r="S961" s="7">
        <f t="shared" si="157"/>
        <v>12617000.000000002</v>
      </c>
      <c r="T961" s="7">
        <f t="shared" si="158"/>
        <v>3823333.3333333335</v>
      </c>
      <c r="U961" s="7">
        <f t="shared" si="159"/>
        <v>9590000</v>
      </c>
      <c r="V961" s="7">
        <f t="shared" si="160"/>
        <v>0</v>
      </c>
      <c r="W961" s="7">
        <f t="shared" si="161"/>
        <v>0</v>
      </c>
      <c r="X961" s="7">
        <f t="shared" si="162"/>
        <v>0</v>
      </c>
    </row>
    <row r="962" spans="1:24">
      <c r="A962">
        <v>961</v>
      </c>
      <c r="B962" s="96" t="s">
        <v>2642</v>
      </c>
      <c r="C962" s="95">
        <v>41524</v>
      </c>
      <c r="D962" s="82">
        <v>11250000</v>
      </c>
      <c r="E962" s="82">
        <v>11050000</v>
      </c>
      <c r="F962" s="82">
        <v>11250000</v>
      </c>
      <c r="G962" s="82">
        <v>11125000</v>
      </c>
      <c r="I962" s="82">
        <f>G962*1.1</f>
        <v>12237500.000000002</v>
      </c>
      <c r="J962" s="82">
        <f>G962/3</f>
        <v>3708333.3333333335</v>
      </c>
      <c r="K962" s="7">
        <f>G1230</f>
        <v>9522000</v>
      </c>
      <c r="L962" s="7">
        <f>K962-I962</f>
        <v>-2715500.0000000019</v>
      </c>
      <c r="M962" s="7">
        <f t="shared" ref="M962:M1025" si="166">J962*$AI$6/200</f>
        <v>463541.66666666674</v>
      </c>
      <c r="N962" s="7">
        <f t="shared" si="164"/>
        <v>-2251958.3333333349</v>
      </c>
      <c r="O962" s="7">
        <f t="shared" si="163"/>
        <v>-345000</v>
      </c>
      <c r="P962" s="99">
        <f t="shared" si="156"/>
        <v>-3.007846556233653E-2</v>
      </c>
      <c r="Q962" s="99">
        <f t="shared" si="165"/>
        <v>5.4259390985765529E-2</v>
      </c>
      <c r="R962">
        <v>1</v>
      </c>
      <c r="S962" s="7">
        <f t="shared" si="157"/>
        <v>12237500.000000002</v>
      </c>
      <c r="T962" s="7">
        <f t="shared" si="158"/>
        <v>3708333.3333333335</v>
      </c>
      <c r="U962" s="7">
        <f t="shared" si="159"/>
        <v>9522000</v>
      </c>
      <c r="V962" s="7">
        <f t="shared" si="160"/>
        <v>-2715500.0000000019</v>
      </c>
      <c r="W962" s="7">
        <f t="shared" si="161"/>
        <v>463541.66666666674</v>
      </c>
      <c r="X962" s="7">
        <f t="shared" si="162"/>
        <v>-2251958.3333333349</v>
      </c>
    </row>
    <row r="963" spans="1:24">
      <c r="A963">
        <v>962</v>
      </c>
      <c r="B963" s="96" t="s">
        <v>2641</v>
      </c>
      <c r="C963" s="95">
        <v>41525</v>
      </c>
      <c r="D963" s="82">
        <v>11120000</v>
      </c>
      <c r="E963" s="82">
        <v>11120000</v>
      </c>
      <c r="F963" s="82">
        <v>11240000</v>
      </c>
      <c r="G963" s="82">
        <v>11200000</v>
      </c>
      <c r="I963" s="97">
        <v>0</v>
      </c>
      <c r="J963" s="97">
        <v>0</v>
      </c>
      <c r="K963" s="97">
        <v>0</v>
      </c>
      <c r="M963" s="7">
        <f t="shared" si="166"/>
        <v>0</v>
      </c>
      <c r="N963" s="7">
        <f t="shared" si="164"/>
        <v>0</v>
      </c>
      <c r="O963" s="7">
        <f t="shared" si="163"/>
        <v>75000</v>
      </c>
      <c r="P963" s="99">
        <f t="shared" ref="P963:P1026" si="167">O963/G962</f>
        <v>6.7415730337078653E-3</v>
      </c>
      <c r="Q963" s="99">
        <f t="shared" si="165"/>
        <v>1.6821219811653472E-2</v>
      </c>
      <c r="S963" s="7">
        <f t="shared" ref="S963:S1026" si="168">G963*1.1</f>
        <v>12320000.000000002</v>
      </c>
      <c r="T963" s="7">
        <f t="shared" ref="T963:T1026" si="169">G963/3</f>
        <v>3733333.3333333335</v>
      </c>
      <c r="U963" s="7">
        <f t="shared" ref="U963:U1026" si="170">G1231</f>
        <v>9515000</v>
      </c>
      <c r="V963" s="7">
        <f t="shared" ref="V963:V1026" si="171">(U963-S963)*R963</f>
        <v>0</v>
      </c>
      <c r="W963" s="7">
        <f t="shared" ref="W963:W1026" si="172">(T963*$AI$6/200)*R963</f>
        <v>0</v>
      </c>
      <c r="X963" s="7">
        <f t="shared" ref="X963:X1026" si="173">V963+W963</f>
        <v>0</v>
      </c>
    </row>
    <row r="964" spans="1:24">
      <c r="A964">
        <v>963</v>
      </c>
      <c r="B964" s="96" t="s">
        <v>2640</v>
      </c>
      <c r="C964" s="95">
        <v>41526</v>
      </c>
      <c r="D964" s="82">
        <v>11230000</v>
      </c>
      <c r="E964" s="82">
        <v>11050000</v>
      </c>
      <c r="F964" s="82">
        <v>11260000</v>
      </c>
      <c r="G964" s="82">
        <v>11080000</v>
      </c>
      <c r="I964" s="97">
        <v>0</v>
      </c>
      <c r="J964" s="97">
        <v>0</v>
      </c>
      <c r="K964" s="97">
        <v>0</v>
      </c>
      <c r="M964" s="7">
        <f t="shared" si="166"/>
        <v>0</v>
      </c>
      <c r="N964" s="7">
        <f t="shared" si="164"/>
        <v>0</v>
      </c>
      <c r="O964" s="7">
        <f t="shared" ref="O964:O1027" si="174">G964-G963</f>
        <v>-120000</v>
      </c>
      <c r="P964" s="99">
        <f t="shared" si="167"/>
        <v>-1.0714285714285714E-2</v>
      </c>
      <c r="Q964" s="99">
        <f t="shared" si="165"/>
        <v>2.9955486909288273E-2</v>
      </c>
      <c r="S964" s="7">
        <f t="shared" si="168"/>
        <v>12188000.000000002</v>
      </c>
      <c r="T964" s="7">
        <f t="shared" si="169"/>
        <v>3693333.3333333335</v>
      </c>
      <c r="U964" s="7">
        <f t="shared" si="170"/>
        <v>9540000</v>
      </c>
      <c r="V964" s="7">
        <f t="shared" si="171"/>
        <v>0</v>
      </c>
      <c r="W964" s="7">
        <f t="shared" si="172"/>
        <v>0</v>
      </c>
      <c r="X964" s="7">
        <f t="shared" si="173"/>
        <v>0</v>
      </c>
    </row>
    <row r="965" spans="1:24">
      <c r="A965">
        <v>964</v>
      </c>
      <c r="B965" s="96" t="s">
        <v>2639</v>
      </c>
      <c r="C965" s="95">
        <v>41527</v>
      </c>
      <c r="D965" s="82">
        <v>10910000</v>
      </c>
      <c r="E965" s="82">
        <v>10620000</v>
      </c>
      <c r="F965" s="82">
        <v>10910000</v>
      </c>
      <c r="G965" s="82">
        <v>10630000</v>
      </c>
      <c r="I965" s="97">
        <v>0</v>
      </c>
      <c r="J965" s="97">
        <v>0</v>
      </c>
      <c r="K965" s="97">
        <v>0</v>
      </c>
      <c r="M965" s="7">
        <f t="shared" si="166"/>
        <v>0</v>
      </c>
      <c r="N965" s="7">
        <f t="shared" si="164"/>
        <v>0</v>
      </c>
      <c r="O965" s="7">
        <f t="shared" si="174"/>
        <v>-450000</v>
      </c>
      <c r="P965" s="99">
        <f t="shared" si="167"/>
        <v>-4.0613718411552348E-2</v>
      </c>
      <c r="Q965" s="99">
        <f t="shared" si="165"/>
        <v>4.994877665590796E-3</v>
      </c>
      <c r="S965" s="7">
        <f t="shared" si="168"/>
        <v>11693000.000000002</v>
      </c>
      <c r="T965" s="7">
        <f t="shared" si="169"/>
        <v>3543333.3333333335</v>
      </c>
      <c r="U965" s="7">
        <f t="shared" si="170"/>
        <v>9525000</v>
      </c>
      <c r="V965" s="7">
        <f t="shared" si="171"/>
        <v>0</v>
      </c>
      <c r="W965" s="7">
        <f t="shared" si="172"/>
        <v>0</v>
      </c>
      <c r="X965" s="7">
        <f t="shared" si="173"/>
        <v>0</v>
      </c>
    </row>
    <row r="966" spans="1:24">
      <c r="A966">
        <v>965</v>
      </c>
      <c r="B966" s="96" t="s">
        <v>2638</v>
      </c>
      <c r="C966" s="95">
        <v>41528</v>
      </c>
      <c r="D966" s="82">
        <v>10650000</v>
      </c>
      <c r="E966" s="82">
        <v>10480000</v>
      </c>
      <c r="F966" s="82">
        <v>10690000</v>
      </c>
      <c r="G966" s="82">
        <v>10490000</v>
      </c>
      <c r="I966" s="98">
        <v>0</v>
      </c>
      <c r="J966" s="98">
        <v>0</v>
      </c>
      <c r="K966" s="98">
        <v>0</v>
      </c>
      <c r="M966" s="7">
        <f t="shared" si="166"/>
        <v>0</v>
      </c>
      <c r="N966" s="7">
        <f t="shared" si="164"/>
        <v>0</v>
      </c>
      <c r="O966" s="7">
        <f t="shared" si="174"/>
        <v>-140000</v>
      </c>
      <c r="P966" s="99">
        <f t="shared" si="167"/>
        <v>-1.317027281279398E-2</v>
      </c>
      <c r="Q966" s="99">
        <f t="shared" si="165"/>
        <v>-5.7820925023261055E-2</v>
      </c>
      <c r="S966" s="7">
        <f t="shared" si="168"/>
        <v>11539000</v>
      </c>
      <c r="T966" s="7">
        <f t="shared" si="169"/>
        <v>3496666.6666666665</v>
      </c>
      <c r="U966" s="7">
        <f t="shared" si="170"/>
        <v>9550000</v>
      </c>
      <c r="V966" s="7">
        <f t="shared" si="171"/>
        <v>0</v>
      </c>
      <c r="W966" s="7">
        <f t="shared" si="172"/>
        <v>0</v>
      </c>
      <c r="X966" s="7">
        <f t="shared" si="173"/>
        <v>0</v>
      </c>
    </row>
    <row r="967" spans="1:24">
      <c r="A967">
        <v>966</v>
      </c>
      <c r="B967" s="96" t="s">
        <v>2637</v>
      </c>
      <c r="C967" s="95">
        <v>41529</v>
      </c>
      <c r="D967" s="82">
        <v>10400000</v>
      </c>
      <c r="E967" s="82">
        <v>10300000</v>
      </c>
      <c r="F967" s="82">
        <v>10400000</v>
      </c>
      <c r="G967" s="82">
        <v>10350000</v>
      </c>
      <c r="I967" s="82">
        <f>G967*1.1</f>
        <v>11385000</v>
      </c>
      <c r="J967" s="82">
        <f>G967/3</f>
        <v>3450000</v>
      </c>
      <c r="K967" s="7">
        <f>G1235</f>
        <v>9525000</v>
      </c>
      <c r="L967" s="7">
        <f>K967-I967</f>
        <v>-1860000</v>
      </c>
      <c r="M967" s="7">
        <f t="shared" si="166"/>
        <v>431250</v>
      </c>
      <c r="N967" s="7">
        <f t="shared" si="164"/>
        <v>-1428750</v>
      </c>
      <c r="O967" s="7">
        <f t="shared" si="174"/>
        <v>-140000</v>
      </c>
      <c r="P967" s="99">
        <f t="shared" si="167"/>
        <v>-1.334604385128694E-2</v>
      </c>
      <c r="Q967" s="99">
        <f t="shared" si="165"/>
        <v>-8.7835169467260721E-2</v>
      </c>
      <c r="R967">
        <v>1</v>
      </c>
      <c r="S967" s="7">
        <f t="shared" si="168"/>
        <v>11385000</v>
      </c>
      <c r="T967" s="7">
        <f t="shared" si="169"/>
        <v>3450000</v>
      </c>
      <c r="U967" s="7">
        <f t="shared" si="170"/>
        <v>9525000</v>
      </c>
      <c r="V967" s="7">
        <f t="shared" si="171"/>
        <v>-1860000</v>
      </c>
      <c r="W967" s="7">
        <f t="shared" si="172"/>
        <v>431250</v>
      </c>
      <c r="X967" s="7">
        <f t="shared" si="173"/>
        <v>-1428750</v>
      </c>
    </row>
    <row r="968" spans="1:24">
      <c r="A968">
        <v>967</v>
      </c>
      <c r="B968" s="96" t="s">
        <v>2636</v>
      </c>
      <c r="C968" s="95">
        <v>41531</v>
      </c>
      <c r="D968" s="82">
        <v>10170000</v>
      </c>
      <c r="E968" s="82">
        <v>10060000</v>
      </c>
      <c r="F968" s="82">
        <v>10255000</v>
      </c>
      <c r="G968" s="82">
        <v>10090000</v>
      </c>
      <c r="I968" s="97">
        <v>0</v>
      </c>
      <c r="J968" s="97">
        <v>0</v>
      </c>
      <c r="K968" s="97">
        <v>0</v>
      </c>
      <c r="M968" s="7">
        <f t="shared" si="166"/>
        <v>0</v>
      </c>
      <c r="N968" s="7">
        <f t="shared" ref="N968:N1031" si="175">L968+M968</f>
        <v>0</v>
      </c>
      <c r="O968" s="7">
        <f t="shared" si="174"/>
        <v>-260000</v>
      </c>
      <c r="P968" s="99">
        <f t="shared" si="167"/>
        <v>-2.5120772946859903E-2</v>
      </c>
      <c r="Q968" s="99">
        <f t="shared" ref="Q968:Q1031" si="176">SUM(P963:P967)</f>
        <v>-7.1102747756211115E-2</v>
      </c>
      <c r="S968" s="7">
        <f t="shared" si="168"/>
        <v>11099000</v>
      </c>
      <c r="T968" s="7">
        <f t="shared" si="169"/>
        <v>3363333.3333333335</v>
      </c>
      <c r="U968" s="7">
        <f t="shared" si="170"/>
        <v>9505000</v>
      </c>
      <c r="V968" s="7">
        <f t="shared" si="171"/>
        <v>0</v>
      </c>
      <c r="W968" s="7">
        <f t="shared" si="172"/>
        <v>0</v>
      </c>
      <c r="X968" s="7">
        <f t="shared" si="173"/>
        <v>0</v>
      </c>
    </row>
    <row r="969" spans="1:24">
      <c r="A969">
        <v>968</v>
      </c>
      <c r="B969" s="96" t="s">
        <v>2635</v>
      </c>
      <c r="C969" s="95">
        <v>41532</v>
      </c>
      <c r="D969" s="82">
        <v>10130000</v>
      </c>
      <c r="E969" s="82">
        <v>10075000</v>
      </c>
      <c r="F969" s="82">
        <v>10180000</v>
      </c>
      <c r="G969" s="82">
        <v>10110000</v>
      </c>
      <c r="I969" s="97">
        <v>0</v>
      </c>
      <c r="J969" s="97">
        <v>0</v>
      </c>
      <c r="K969" s="97">
        <v>0</v>
      </c>
      <c r="M969" s="7">
        <f t="shared" si="166"/>
        <v>0</v>
      </c>
      <c r="N969" s="7">
        <f t="shared" si="175"/>
        <v>0</v>
      </c>
      <c r="O969" s="7">
        <f t="shared" si="174"/>
        <v>20000</v>
      </c>
      <c r="P969" s="99">
        <f t="shared" si="167"/>
        <v>1.9821605550049554E-3</v>
      </c>
      <c r="Q969" s="99">
        <f t="shared" si="176"/>
        <v>-0.1029650937367789</v>
      </c>
      <c r="S969" s="7">
        <f t="shared" si="168"/>
        <v>11121000</v>
      </c>
      <c r="T969" s="7">
        <f t="shared" si="169"/>
        <v>3370000</v>
      </c>
      <c r="U969" s="7">
        <f t="shared" si="170"/>
        <v>9510000</v>
      </c>
      <c r="V969" s="7">
        <f t="shared" si="171"/>
        <v>0</v>
      </c>
      <c r="W969" s="7">
        <f t="shared" si="172"/>
        <v>0</v>
      </c>
      <c r="X969" s="7">
        <f t="shared" si="173"/>
        <v>0</v>
      </c>
    </row>
    <row r="970" spans="1:24">
      <c r="A970">
        <v>969</v>
      </c>
      <c r="B970" s="96" t="s">
        <v>2634</v>
      </c>
      <c r="C970" s="95">
        <v>41533</v>
      </c>
      <c r="D970" s="82">
        <v>9880000</v>
      </c>
      <c r="E970" s="82">
        <v>9630000</v>
      </c>
      <c r="F970" s="82">
        <v>9880000</v>
      </c>
      <c r="G970" s="82">
        <v>9640000</v>
      </c>
      <c r="I970" s="97">
        <v>0</v>
      </c>
      <c r="J970" s="97">
        <v>0</v>
      </c>
      <c r="K970" s="97">
        <v>0</v>
      </c>
      <c r="M970" s="7">
        <f t="shared" si="166"/>
        <v>0</v>
      </c>
      <c r="N970" s="7">
        <f t="shared" si="175"/>
        <v>0</v>
      </c>
      <c r="O970" s="7">
        <f t="shared" si="174"/>
        <v>-470000</v>
      </c>
      <c r="P970" s="99">
        <f t="shared" si="167"/>
        <v>-4.6488625123639958E-2</v>
      </c>
      <c r="Q970" s="99">
        <f t="shared" si="176"/>
        <v>-9.0268647467488208E-2</v>
      </c>
      <c r="S970" s="7">
        <f t="shared" si="168"/>
        <v>10604000</v>
      </c>
      <c r="T970" s="7">
        <f t="shared" si="169"/>
        <v>3213333.3333333335</v>
      </c>
      <c r="U970" s="7">
        <f t="shared" si="170"/>
        <v>9535000</v>
      </c>
      <c r="V970" s="7">
        <f t="shared" si="171"/>
        <v>0</v>
      </c>
      <c r="W970" s="7">
        <f t="shared" si="172"/>
        <v>0</v>
      </c>
      <c r="X970" s="7">
        <f t="shared" si="173"/>
        <v>0</v>
      </c>
    </row>
    <row r="971" spans="1:24">
      <c r="A971">
        <v>970</v>
      </c>
      <c r="B971" s="96" t="s">
        <v>2633</v>
      </c>
      <c r="C971" s="95">
        <v>41534</v>
      </c>
      <c r="D971" s="82">
        <v>9500000</v>
      </c>
      <c r="E971" s="82">
        <v>9500000</v>
      </c>
      <c r="F971" s="82">
        <v>9830000</v>
      </c>
      <c r="G971" s="82">
        <v>9600000</v>
      </c>
      <c r="I971" s="98">
        <v>0</v>
      </c>
      <c r="J971" s="98">
        <v>0</v>
      </c>
      <c r="K971" s="98">
        <v>0</v>
      </c>
      <c r="M971" s="7">
        <f t="shared" si="166"/>
        <v>0</v>
      </c>
      <c r="N971" s="7">
        <f t="shared" si="175"/>
        <v>0</v>
      </c>
      <c r="O971" s="7">
        <f t="shared" si="174"/>
        <v>-40000</v>
      </c>
      <c r="P971" s="99">
        <f t="shared" si="167"/>
        <v>-4.1493775933609959E-3</v>
      </c>
      <c r="Q971" s="99">
        <f t="shared" si="176"/>
        <v>-9.6143554179575819E-2</v>
      </c>
      <c r="S971" s="7">
        <f t="shared" si="168"/>
        <v>10560000</v>
      </c>
      <c r="T971" s="7">
        <f t="shared" si="169"/>
        <v>3200000</v>
      </c>
      <c r="U971" s="7">
        <f t="shared" si="170"/>
        <v>9530000</v>
      </c>
      <c r="V971" s="7">
        <f t="shared" si="171"/>
        <v>0</v>
      </c>
      <c r="W971" s="7">
        <f t="shared" si="172"/>
        <v>0</v>
      </c>
      <c r="X971" s="7">
        <f t="shared" si="173"/>
        <v>0</v>
      </c>
    </row>
    <row r="972" spans="1:24">
      <c r="A972">
        <v>971</v>
      </c>
      <c r="B972" s="96" t="s">
        <v>2632</v>
      </c>
      <c r="C972" s="95">
        <v>41535</v>
      </c>
      <c r="D972" s="82">
        <v>9690000</v>
      </c>
      <c r="E972" s="82">
        <v>9610000</v>
      </c>
      <c r="F972" s="82">
        <v>9740000</v>
      </c>
      <c r="G972" s="82">
        <v>9660000</v>
      </c>
      <c r="I972" s="82">
        <f>G972*1.1</f>
        <v>10626000</v>
      </c>
      <c r="J972" s="82">
        <f>G972/3</f>
        <v>3220000</v>
      </c>
      <c r="K972" s="7">
        <f>G1240</f>
        <v>9502000</v>
      </c>
      <c r="L972" s="7">
        <f>K972-I972</f>
        <v>-1124000</v>
      </c>
      <c r="M972" s="7">
        <f t="shared" si="166"/>
        <v>402500</v>
      </c>
      <c r="N972" s="7">
        <f t="shared" si="175"/>
        <v>-721500</v>
      </c>
      <c r="O972" s="7">
        <f t="shared" si="174"/>
        <v>60000</v>
      </c>
      <c r="P972" s="99">
        <f t="shared" si="167"/>
        <v>6.2500000000000003E-3</v>
      </c>
      <c r="Q972" s="99">
        <f t="shared" si="176"/>
        <v>-8.7122658960142832E-2</v>
      </c>
      <c r="R972">
        <v>1</v>
      </c>
      <c r="S972" s="7">
        <f t="shared" si="168"/>
        <v>10626000</v>
      </c>
      <c r="T972" s="7">
        <f t="shared" si="169"/>
        <v>3220000</v>
      </c>
      <c r="U972" s="7">
        <f t="shared" si="170"/>
        <v>9502000</v>
      </c>
      <c r="V972" s="7">
        <f t="shared" si="171"/>
        <v>-1124000</v>
      </c>
      <c r="W972" s="7">
        <f t="shared" si="172"/>
        <v>402500</v>
      </c>
      <c r="X972" s="7">
        <f t="shared" si="173"/>
        <v>-721500</v>
      </c>
    </row>
    <row r="973" spans="1:24">
      <c r="A973">
        <v>972</v>
      </c>
      <c r="B973" s="96" t="s">
        <v>2631</v>
      </c>
      <c r="C973" s="95">
        <v>41536</v>
      </c>
      <c r="D973" s="82">
        <v>10010000</v>
      </c>
      <c r="E973" s="82">
        <v>9970000</v>
      </c>
      <c r="F973" s="82">
        <v>10080000</v>
      </c>
      <c r="G973" s="82">
        <v>10000000</v>
      </c>
      <c r="I973" s="97">
        <v>0</v>
      </c>
      <c r="J973" s="97">
        <v>0</v>
      </c>
      <c r="K973" s="97">
        <v>0</v>
      </c>
      <c r="M973" s="7">
        <f t="shared" si="166"/>
        <v>0</v>
      </c>
      <c r="N973" s="7">
        <f t="shared" si="175"/>
        <v>0</v>
      </c>
      <c r="O973" s="7">
        <f t="shared" si="174"/>
        <v>340000</v>
      </c>
      <c r="P973" s="99">
        <f t="shared" si="167"/>
        <v>3.5196687370600416E-2</v>
      </c>
      <c r="Q973" s="99">
        <f t="shared" si="176"/>
        <v>-6.7526615108855895E-2</v>
      </c>
      <c r="S973" s="7">
        <f t="shared" si="168"/>
        <v>11000000</v>
      </c>
      <c r="T973" s="7">
        <f t="shared" si="169"/>
        <v>3333333.3333333335</v>
      </c>
      <c r="U973" s="7">
        <f t="shared" si="170"/>
        <v>9502000</v>
      </c>
      <c r="V973" s="7">
        <f t="shared" si="171"/>
        <v>0</v>
      </c>
      <c r="W973" s="7">
        <f t="shared" si="172"/>
        <v>0</v>
      </c>
      <c r="X973" s="7">
        <f t="shared" si="173"/>
        <v>0</v>
      </c>
    </row>
    <row r="974" spans="1:24">
      <c r="A974">
        <v>973</v>
      </c>
      <c r="B974" s="96" t="s">
        <v>2630</v>
      </c>
      <c r="C974" s="95">
        <v>41538</v>
      </c>
      <c r="D974" s="82">
        <v>9500000</v>
      </c>
      <c r="E974" s="82">
        <v>9080000</v>
      </c>
      <c r="F974" s="82">
        <v>9520000</v>
      </c>
      <c r="G974" s="82">
        <v>9080000</v>
      </c>
      <c r="I974" s="97">
        <v>0</v>
      </c>
      <c r="J974" s="97">
        <v>0</v>
      </c>
      <c r="K974" s="97">
        <v>0</v>
      </c>
      <c r="M974" s="7">
        <f t="shared" si="166"/>
        <v>0</v>
      </c>
      <c r="N974" s="7">
        <f t="shared" si="175"/>
        <v>0</v>
      </c>
      <c r="O974" s="7">
        <f t="shared" si="174"/>
        <v>-920000</v>
      </c>
      <c r="P974" s="99">
        <f t="shared" si="167"/>
        <v>-9.1999999999999998E-2</v>
      </c>
      <c r="Q974" s="99">
        <f t="shared" si="176"/>
        <v>-7.2091547913955834E-3</v>
      </c>
      <c r="S974" s="7">
        <f t="shared" si="168"/>
        <v>9988000</v>
      </c>
      <c r="T974" s="7">
        <f t="shared" si="169"/>
        <v>3026666.6666666665</v>
      </c>
      <c r="U974" s="7">
        <f t="shared" si="170"/>
        <v>9505000</v>
      </c>
      <c r="V974" s="7">
        <f t="shared" si="171"/>
        <v>0</v>
      </c>
      <c r="W974" s="7">
        <f t="shared" si="172"/>
        <v>0</v>
      </c>
      <c r="X974" s="7">
        <f t="shared" si="173"/>
        <v>0</v>
      </c>
    </row>
    <row r="975" spans="1:24">
      <c r="A975">
        <v>974</v>
      </c>
      <c r="B975" s="96" t="s">
        <v>2629</v>
      </c>
      <c r="C975" s="95">
        <v>41540</v>
      </c>
      <c r="D975" s="82">
        <v>9270000</v>
      </c>
      <c r="E975" s="82">
        <v>9270000</v>
      </c>
      <c r="F975" s="82">
        <v>9385000</v>
      </c>
      <c r="G975" s="82">
        <v>9310000</v>
      </c>
      <c r="I975" s="97">
        <v>0</v>
      </c>
      <c r="J975" s="97">
        <v>0</v>
      </c>
      <c r="K975" s="97">
        <v>0</v>
      </c>
      <c r="M975" s="7">
        <f t="shared" si="166"/>
        <v>0</v>
      </c>
      <c r="N975" s="7">
        <f t="shared" si="175"/>
        <v>0</v>
      </c>
      <c r="O975" s="7">
        <f t="shared" si="174"/>
        <v>230000</v>
      </c>
      <c r="P975" s="99">
        <f t="shared" si="167"/>
        <v>2.5330396475770924E-2</v>
      </c>
      <c r="Q975" s="99">
        <f t="shared" si="176"/>
        <v>-0.10119131534640054</v>
      </c>
      <c r="S975" s="7">
        <f t="shared" si="168"/>
        <v>10241000</v>
      </c>
      <c r="T975" s="7">
        <f t="shared" si="169"/>
        <v>3103333.3333333335</v>
      </c>
      <c r="U975" s="7">
        <f t="shared" si="170"/>
        <v>9477000</v>
      </c>
      <c r="V975" s="7">
        <f t="shared" si="171"/>
        <v>0</v>
      </c>
      <c r="W975" s="7">
        <f t="shared" si="172"/>
        <v>0</v>
      </c>
      <c r="X975" s="7">
        <f t="shared" si="173"/>
        <v>0</v>
      </c>
    </row>
    <row r="976" spans="1:24">
      <c r="A976">
        <v>975</v>
      </c>
      <c r="B976" s="96" t="s">
        <v>2628</v>
      </c>
      <c r="C976" s="95">
        <v>41539</v>
      </c>
      <c r="D976" s="82">
        <v>9220000</v>
      </c>
      <c r="E976" s="82">
        <v>9170000</v>
      </c>
      <c r="F976" s="82">
        <v>9330000</v>
      </c>
      <c r="G976" s="82">
        <v>9310000</v>
      </c>
      <c r="I976" s="98">
        <v>0</v>
      </c>
      <c r="J976" s="98">
        <v>0</v>
      </c>
      <c r="K976" s="98">
        <v>0</v>
      </c>
      <c r="M976" s="7">
        <f t="shared" si="166"/>
        <v>0</v>
      </c>
      <c r="N976" s="7">
        <f t="shared" si="175"/>
        <v>0</v>
      </c>
      <c r="O976" s="7">
        <f t="shared" si="174"/>
        <v>0</v>
      </c>
      <c r="P976" s="99">
        <f t="shared" si="167"/>
        <v>0</v>
      </c>
      <c r="Q976" s="99">
        <f t="shared" si="176"/>
        <v>-2.9372293746989655E-2</v>
      </c>
      <c r="S976" s="7">
        <f t="shared" si="168"/>
        <v>10241000</v>
      </c>
      <c r="T976" s="7">
        <f t="shared" si="169"/>
        <v>3103333.3333333335</v>
      </c>
      <c r="U976" s="7">
        <f t="shared" si="170"/>
        <v>9518000</v>
      </c>
      <c r="V976" s="7">
        <f t="shared" si="171"/>
        <v>0</v>
      </c>
      <c r="W976" s="7">
        <f t="shared" si="172"/>
        <v>0</v>
      </c>
      <c r="X976" s="7">
        <f t="shared" si="173"/>
        <v>0</v>
      </c>
    </row>
    <row r="977" spans="1:24">
      <c r="A977">
        <v>976</v>
      </c>
      <c r="B977" s="96" t="s">
        <v>2627</v>
      </c>
      <c r="C977" s="95">
        <v>41541</v>
      </c>
      <c r="D977" s="82">
        <v>9180000</v>
      </c>
      <c r="E977" s="82">
        <v>9180000</v>
      </c>
      <c r="F977" s="82">
        <v>9270000</v>
      </c>
      <c r="G977" s="82">
        <v>9260000</v>
      </c>
      <c r="I977" s="82">
        <f>G977*1.1</f>
        <v>10186000</v>
      </c>
      <c r="J977" s="82">
        <f>G977/3</f>
        <v>3086666.6666666665</v>
      </c>
      <c r="K977" s="7">
        <f>G1245</f>
        <v>9515000</v>
      </c>
      <c r="L977" s="7">
        <f>K977-I977</f>
        <v>-671000</v>
      </c>
      <c r="M977" s="7">
        <f t="shared" si="166"/>
        <v>385833.33333333326</v>
      </c>
      <c r="N977" s="7">
        <f t="shared" si="175"/>
        <v>-285166.66666666674</v>
      </c>
      <c r="O977" s="7">
        <f t="shared" si="174"/>
        <v>-50000</v>
      </c>
      <c r="P977" s="99">
        <f t="shared" si="167"/>
        <v>-5.3705692803437165E-3</v>
      </c>
      <c r="Q977" s="99">
        <f t="shared" si="176"/>
        <v>-2.522291615362866E-2</v>
      </c>
      <c r="R977">
        <v>1</v>
      </c>
      <c r="S977" s="7">
        <f t="shared" si="168"/>
        <v>10186000</v>
      </c>
      <c r="T977" s="7">
        <f t="shared" si="169"/>
        <v>3086666.6666666665</v>
      </c>
      <c r="U977" s="7">
        <f t="shared" si="170"/>
        <v>9515000</v>
      </c>
      <c r="V977" s="7">
        <f t="shared" si="171"/>
        <v>-671000</v>
      </c>
      <c r="W977" s="7">
        <f t="shared" si="172"/>
        <v>385833.33333333326</v>
      </c>
      <c r="X977" s="7">
        <f t="shared" si="173"/>
        <v>-285166.66666666674</v>
      </c>
    </row>
    <row r="978" spans="1:24">
      <c r="A978">
        <v>977</v>
      </c>
      <c r="B978" s="96" t="s">
        <v>2626</v>
      </c>
      <c r="C978" s="95">
        <v>41542</v>
      </c>
      <c r="D978" s="82">
        <v>9670000</v>
      </c>
      <c r="E978" s="82">
        <v>9650000</v>
      </c>
      <c r="F978" s="82">
        <v>9830000</v>
      </c>
      <c r="G978" s="82">
        <v>9800000</v>
      </c>
      <c r="I978" s="97">
        <v>0</v>
      </c>
      <c r="J978" s="97">
        <v>0</v>
      </c>
      <c r="K978" s="97">
        <v>0</v>
      </c>
      <c r="M978" s="7">
        <f t="shared" si="166"/>
        <v>0</v>
      </c>
      <c r="N978" s="7">
        <f t="shared" si="175"/>
        <v>0</v>
      </c>
      <c r="O978" s="7">
        <f t="shared" si="174"/>
        <v>540000</v>
      </c>
      <c r="P978" s="99">
        <f t="shared" si="167"/>
        <v>5.8315334773218146E-2</v>
      </c>
      <c r="Q978" s="99">
        <f t="shared" si="176"/>
        <v>-3.6843485433972374E-2</v>
      </c>
      <c r="S978" s="7">
        <f t="shared" si="168"/>
        <v>10780000</v>
      </c>
      <c r="T978" s="7">
        <f t="shared" si="169"/>
        <v>3266666.6666666665</v>
      </c>
      <c r="U978" s="7">
        <f t="shared" si="170"/>
        <v>9480000</v>
      </c>
      <c r="V978" s="7">
        <f t="shared" si="171"/>
        <v>0</v>
      </c>
      <c r="W978" s="7">
        <f t="shared" si="172"/>
        <v>0</v>
      </c>
      <c r="X978" s="7">
        <f t="shared" si="173"/>
        <v>0</v>
      </c>
    </row>
    <row r="979" spans="1:24">
      <c r="A979">
        <v>978</v>
      </c>
      <c r="B979" s="96" t="s">
        <v>2625</v>
      </c>
      <c r="C979" s="95">
        <v>41543</v>
      </c>
      <c r="D979" s="82">
        <v>9790000</v>
      </c>
      <c r="E979" s="82">
        <v>9710000</v>
      </c>
      <c r="F979" s="82">
        <v>9790000</v>
      </c>
      <c r="G979" s="82">
        <v>9710000</v>
      </c>
      <c r="I979" s="97">
        <v>0</v>
      </c>
      <c r="J979" s="97">
        <v>0</v>
      </c>
      <c r="K979" s="97">
        <v>0</v>
      </c>
      <c r="M979" s="7">
        <f t="shared" si="166"/>
        <v>0</v>
      </c>
      <c r="N979" s="7">
        <f t="shared" si="175"/>
        <v>0</v>
      </c>
      <c r="O979" s="7">
        <f t="shared" si="174"/>
        <v>-90000</v>
      </c>
      <c r="P979" s="99">
        <f t="shared" si="167"/>
        <v>-9.1836734693877559E-3</v>
      </c>
      <c r="Q979" s="99">
        <f t="shared" si="176"/>
        <v>-1.3724838031354637E-2</v>
      </c>
      <c r="S979" s="7">
        <f t="shared" si="168"/>
        <v>10681000</v>
      </c>
      <c r="T979" s="7">
        <f t="shared" si="169"/>
        <v>3236666.6666666665</v>
      </c>
      <c r="U979" s="7">
        <f t="shared" si="170"/>
        <v>9522000</v>
      </c>
      <c r="V979" s="7">
        <f t="shared" si="171"/>
        <v>0</v>
      </c>
      <c r="W979" s="7">
        <f t="shared" si="172"/>
        <v>0</v>
      </c>
      <c r="X979" s="7">
        <f t="shared" si="173"/>
        <v>0</v>
      </c>
    </row>
    <row r="980" spans="1:24">
      <c r="A980">
        <v>979</v>
      </c>
      <c r="B980" s="96" t="s">
        <v>2624</v>
      </c>
      <c r="C980" s="95">
        <v>41545</v>
      </c>
      <c r="D980" s="82">
        <v>9480000</v>
      </c>
      <c r="E980" s="82">
        <v>9440000</v>
      </c>
      <c r="F980" s="82">
        <v>9700000</v>
      </c>
      <c r="G980" s="82">
        <v>9680000</v>
      </c>
      <c r="I980" s="97">
        <v>0</v>
      </c>
      <c r="J980" s="97">
        <v>0</v>
      </c>
      <c r="K980" s="97">
        <v>0</v>
      </c>
      <c r="M980" s="7">
        <f t="shared" si="166"/>
        <v>0</v>
      </c>
      <c r="N980" s="7">
        <f t="shared" si="175"/>
        <v>0</v>
      </c>
      <c r="O980" s="7">
        <f t="shared" si="174"/>
        <v>-30000</v>
      </c>
      <c r="P980" s="99">
        <f t="shared" si="167"/>
        <v>-3.089598352214212E-3</v>
      </c>
      <c r="Q980" s="99">
        <f t="shared" si="176"/>
        <v>6.90914884992576E-2</v>
      </c>
      <c r="S980" s="7">
        <f t="shared" si="168"/>
        <v>10648000</v>
      </c>
      <c r="T980" s="7">
        <f t="shared" si="169"/>
        <v>3226666.6666666665</v>
      </c>
      <c r="U980" s="7">
        <f t="shared" si="170"/>
        <v>9518000</v>
      </c>
      <c r="V980" s="7">
        <f t="shared" si="171"/>
        <v>0</v>
      </c>
      <c r="W980" s="7">
        <f t="shared" si="172"/>
        <v>0</v>
      </c>
      <c r="X980" s="7">
        <f t="shared" si="173"/>
        <v>0</v>
      </c>
    </row>
    <row r="981" spans="1:24">
      <c r="A981">
        <v>980</v>
      </c>
      <c r="B981" s="96" t="s">
        <v>2623</v>
      </c>
      <c r="C981" s="95">
        <v>41546</v>
      </c>
      <c r="D981" s="82">
        <v>9900000</v>
      </c>
      <c r="E981" s="82">
        <v>9860000</v>
      </c>
      <c r="F981" s="82">
        <v>9980000</v>
      </c>
      <c r="G981" s="82">
        <v>9900000</v>
      </c>
      <c r="I981" s="98">
        <v>0</v>
      </c>
      <c r="J981" s="98">
        <v>0</v>
      </c>
      <c r="K981" s="98">
        <v>0</v>
      </c>
      <c r="M981" s="7">
        <f t="shared" si="166"/>
        <v>0</v>
      </c>
      <c r="N981" s="7">
        <f t="shared" si="175"/>
        <v>0</v>
      </c>
      <c r="O981" s="7">
        <f t="shared" si="174"/>
        <v>220000</v>
      </c>
      <c r="P981" s="99">
        <f t="shared" si="167"/>
        <v>2.2727272727272728E-2</v>
      </c>
      <c r="Q981" s="99">
        <f t="shared" si="176"/>
        <v>4.0671493671272457E-2</v>
      </c>
      <c r="S981" s="7">
        <f t="shared" si="168"/>
        <v>10890000</v>
      </c>
      <c r="T981" s="7">
        <f t="shared" si="169"/>
        <v>3300000</v>
      </c>
      <c r="U981" s="7">
        <f t="shared" si="170"/>
        <v>9518000</v>
      </c>
      <c r="V981" s="7">
        <f t="shared" si="171"/>
        <v>0</v>
      </c>
      <c r="W981" s="7">
        <f t="shared" si="172"/>
        <v>0</v>
      </c>
      <c r="X981" s="7">
        <f t="shared" si="173"/>
        <v>0</v>
      </c>
    </row>
    <row r="982" spans="1:24">
      <c r="A982">
        <v>981</v>
      </c>
      <c r="B982" s="96" t="s">
        <v>2622</v>
      </c>
      <c r="C982" s="95">
        <v>41547</v>
      </c>
      <c r="D982" s="82">
        <v>9880000</v>
      </c>
      <c r="E982" s="82">
        <v>9650000</v>
      </c>
      <c r="F982" s="82">
        <v>9880000</v>
      </c>
      <c r="G982" s="82">
        <v>9660000</v>
      </c>
      <c r="I982" s="82">
        <f>G982*1.1</f>
        <v>10626000</v>
      </c>
      <c r="J982" s="82">
        <f>G982/3</f>
        <v>3220000</v>
      </c>
      <c r="K982" s="7">
        <f>G1250</f>
        <v>9546000</v>
      </c>
      <c r="L982" s="7">
        <f>K982-I982</f>
        <v>-1080000</v>
      </c>
      <c r="M982" s="7">
        <f t="shared" si="166"/>
        <v>402500</v>
      </c>
      <c r="N982" s="7">
        <f t="shared" si="175"/>
        <v>-677500</v>
      </c>
      <c r="O982" s="7">
        <f t="shared" si="174"/>
        <v>-240000</v>
      </c>
      <c r="P982" s="99">
        <f t="shared" si="167"/>
        <v>-2.4242424242424242E-2</v>
      </c>
      <c r="Q982" s="99">
        <f t="shared" si="176"/>
        <v>6.3398766398545192E-2</v>
      </c>
      <c r="R982">
        <v>1</v>
      </c>
      <c r="S982" s="7">
        <f t="shared" si="168"/>
        <v>10626000</v>
      </c>
      <c r="T982" s="7">
        <f t="shared" si="169"/>
        <v>3220000</v>
      </c>
      <c r="U982" s="7">
        <f t="shared" si="170"/>
        <v>9546000</v>
      </c>
      <c r="V982" s="7">
        <f t="shared" si="171"/>
        <v>-1080000</v>
      </c>
      <c r="W982" s="7">
        <f t="shared" si="172"/>
        <v>402500</v>
      </c>
      <c r="X982" s="7">
        <f t="shared" si="173"/>
        <v>-677500</v>
      </c>
    </row>
    <row r="983" spans="1:24">
      <c r="A983">
        <v>982</v>
      </c>
      <c r="B983" s="96" t="s">
        <v>2621</v>
      </c>
      <c r="C983" s="95">
        <v>41548</v>
      </c>
      <c r="D983" s="82">
        <v>9840000</v>
      </c>
      <c r="E983" s="82">
        <v>9700000</v>
      </c>
      <c r="F983" s="82">
        <v>9840000</v>
      </c>
      <c r="G983" s="82">
        <v>9700000</v>
      </c>
      <c r="I983" s="97">
        <v>0</v>
      </c>
      <c r="J983" s="97">
        <v>0</v>
      </c>
      <c r="K983" s="97">
        <v>0</v>
      </c>
      <c r="M983" s="7">
        <f t="shared" si="166"/>
        <v>0</v>
      </c>
      <c r="N983" s="7">
        <f t="shared" si="175"/>
        <v>0</v>
      </c>
      <c r="O983" s="7">
        <f t="shared" si="174"/>
        <v>40000</v>
      </c>
      <c r="P983" s="99">
        <f t="shared" si="167"/>
        <v>4.140786749482402E-3</v>
      </c>
      <c r="Q983" s="99">
        <f t="shared" si="176"/>
        <v>4.4526911436464658E-2</v>
      </c>
      <c r="S983" s="7">
        <f t="shared" si="168"/>
        <v>10670000</v>
      </c>
      <c r="T983" s="7">
        <f t="shared" si="169"/>
        <v>3233333.3333333335</v>
      </c>
      <c r="U983" s="7">
        <f t="shared" si="170"/>
        <v>9540000</v>
      </c>
      <c r="V983" s="7">
        <f t="shared" si="171"/>
        <v>0</v>
      </c>
      <c r="W983" s="7">
        <f t="shared" si="172"/>
        <v>0</v>
      </c>
      <c r="X983" s="7">
        <f t="shared" si="173"/>
        <v>0</v>
      </c>
    </row>
    <row r="984" spans="1:24">
      <c r="A984">
        <v>983</v>
      </c>
      <c r="B984" s="96" t="s">
        <v>2620</v>
      </c>
      <c r="C984" s="95">
        <v>41549</v>
      </c>
      <c r="D984" s="82">
        <v>9663000</v>
      </c>
      <c r="E984" s="82">
        <v>9613000</v>
      </c>
      <c r="F984" s="82">
        <v>9750000</v>
      </c>
      <c r="G984" s="82">
        <v>9750000</v>
      </c>
      <c r="I984" s="97">
        <v>0</v>
      </c>
      <c r="J984" s="97">
        <v>0</v>
      </c>
      <c r="K984" s="97">
        <v>0</v>
      </c>
      <c r="M984" s="7">
        <f t="shared" si="166"/>
        <v>0</v>
      </c>
      <c r="N984" s="7">
        <f t="shared" si="175"/>
        <v>0</v>
      </c>
      <c r="O984" s="7">
        <f t="shared" si="174"/>
        <v>50000</v>
      </c>
      <c r="P984" s="99">
        <f t="shared" si="167"/>
        <v>5.1546391752577319E-3</v>
      </c>
      <c r="Q984" s="99">
        <f t="shared" si="176"/>
        <v>-9.6476365872710801E-3</v>
      </c>
      <c r="S984" s="7">
        <f t="shared" si="168"/>
        <v>10725000</v>
      </c>
      <c r="T984" s="7">
        <f t="shared" si="169"/>
        <v>3250000</v>
      </c>
      <c r="U984" s="7">
        <f t="shared" si="170"/>
        <v>9545000</v>
      </c>
      <c r="V984" s="7">
        <f t="shared" si="171"/>
        <v>0</v>
      </c>
      <c r="W984" s="7">
        <f t="shared" si="172"/>
        <v>0</v>
      </c>
      <c r="X984" s="7">
        <f t="shared" si="173"/>
        <v>0</v>
      </c>
    </row>
    <row r="985" spans="1:24">
      <c r="A985">
        <v>984</v>
      </c>
      <c r="B985" s="96" t="s">
        <v>2619</v>
      </c>
      <c r="C985" s="95">
        <v>41550</v>
      </c>
      <c r="D985" s="82">
        <v>9710000</v>
      </c>
      <c r="E985" s="82">
        <v>9650000</v>
      </c>
      <c r="F985" s="82">
        <v>9710000</v>
      </c>
      <c r="G985" s="82">
        <v>9650000</v>
      </c>
      <c r="I985" s="97">
        <v>0</v>
      </c>
      <c r="J985" s="97">
        <v>0</v>
      </c>
      <c r="K985" s="97">
        <v>0</v>
      </c>
      <c r="M985" s="7">
        <f t="shared" si="166"/>
        <v>0</v>
      </c>
      <c r="N985" s="7">
        <f t="shared" si="175"/>
        <v>0</v>
      </c>
      <c r="O985" s="7">
        <f t="shared" si="174"/>
        <v>-100000</v>
      </c>
      <c r="P985" s="99">
        <f t="shared" si="167"/>
        <v>-1.0256410256410256E-2</v>
      </c>
      <c r="Q985" s="99">
        <f t="shared" si="176"/>
        <v>4.6906760573744077E-3</v>
      </c>
      <c r="S985" s="7">
        <f t="shared" si="168"/>
        <v>10615000</v>
      </c>
      <c r="T985" s="7">
        <f t="shared" si="169"/>
        <v>3216666.6666666665</v>
      </c>
      <c r="U985" s="7">
        <f t="shared" si="170"/>
        <v>9539000</v>
      </c>
      <c r="V985" s="7">
        <f t="shared" si="171"/>
        <v>0</v>
      </c>
      <c r="W985" s="7">
        <f t="shared" si="172"/>
        <v>0</v>
      </c>
      <c r="X985" s="7">
        <f t="shared" si="173"/>
        <v>0</v>
      </c>
    </row>
    <row r="986" spans="1:24">
      <c r="A986">
        <v>985</v>
      </c>
      <c r="B986" s="96" t="s">
        <v>2618</v>
      </c>
      <c r="C986" s="95">
        <v>41552</v>
      </c>
      <c r="D986" s="82">
        <v>9690000</v>
      </c>
      <c r="E986" s="82">
        <v>9660000</v>
      </c>
      <c r="F986" s="82">
        <v>9770000</v>
      </c>
      <c r="G986" s="82">
        <v>9770000</v>
      </c>
      <c r="I986" s="98">
        <v>0</v>
      </c>
      <c r="J986" s="98">
        <v>0</v>
      </c>
      <c r="K986" s="98">
        <v>0</v>
      </c>
      <c r="M986" s="7">
        <f t="shared" si="166"/>
        <v>0</v>
      </c>
      <c r="N986" s="7">
        <f t="shared" si="175"/>
        <v>0</v>
      </c>
      <c r="O986" s="7">
        <f t="shared" si="174"/>
        <v>120000</v>
      </c>
      <c r="P986" s="99">
        <f t="shared" si="167"/>
        <v>1.2435233160621761E-2</v>
      </c>
      <c r="Q986" s="99">
        <f t="shared" si="176"/>
        <v>-2.4761358468216371E-3</v>
      </c>
      <c r="S986" s="7">
        <f t="shared" si="168"/>
        <v>10747000</v>
      </c>
      <c r="T986" s="7">
        <f t="shared" si="169"/>
        <v>3256666.6666666665</v>
      </c>
      <c r="U986" s="7">
        <f t="shared" si="170"/>
        <v>9547000</v>
      </c>
      <c r="V986" s="7">
        <f t="shared" si="171"/>
        <v>0</v>
      </c>
      <c r="W986" s="7">
        <f t="shared" si="172"/>
        <v>0</v>
      </c>
      <c r="X986" s="7">
        <f t="shared" si="173"/>
        <v>0</v>
      </c>
    </row>
    <row r="987" spans="1:24">
      <c r="A987">
        <v>986</v>
      </c>
      <c r="B987" s="96" t="s">
        <v>2617</v>
      </c>
      <c r="C987" s="95">
        <v>41553</v>
      </c>
      <c r="D987" s="82">
        <v>9790000</v>
      </c>
      <c r="E987" s="82">
        <v>9740000</v>
      </c>
      <c r="F987" s="82">
        <v>9800000</v>
      </c>
      <c r="G987" s="82">
        <v>9760000</v>
      </c>
      <c r="I987" s="82">
        <f>G987*1.1</f>
        <v>10736000</v>
      </c>
      <c r="J987" s="82">
        <f>G987/3</f>
        <v>3253333.3333333335</v>
      </c>
      <c r="K987" s="7">
        <f>G1255</f>
        <v>9490000</v>
      </c>
      <c r="L987" s="7">
        <f>K987-I987</f>
        <v>-1246000</v>
      </c>
      <c r="M987" s="7">
        <f t="shared" si="166"/>
        <v>406666.66666666674</v>
      </c>
      <c r="N987" s="7">
        <f t="shared" si="175"/>
        <v>-839333.33333333326</v>
      </c>
      <c r="O987" s="7">
        <f t="shared" si="174"/>
        <v>-10000</v>
      </c>
      <c r="P987" s="99">
        <f t="shared" si="167"/>
        <v>-1.0235414534288639E-3</v>
      </c>
      <c r="Q987" s="99">
        <f t="shared" si="176"/>
        <v>-1.2768175413472605E-2</v>
      </c>
      <c r="R987">
        <v>1</v>
      </c>
      <c r="S987" s="7">
        <f t="shared" si="168"/>
        <v>10736000</v>
      </c>
      <c r="T987" s="7">
        <f t="shared" si="169"/>
        <v>3253333.3333333335</v>
      </c>
      <c r="U987" s="7">
        <f t="shared" si="170"/>
        <v>9490000</v>
      </c>
      <c r="V987" s="7">
        <f t="shared" si="171"/>
        <v>-1246000</v>
      </c>
      <c r="W987" s="7">
        <f t="shared" si="172"/>
        <v>406666.66666666674</v>
      </c>
      <c r="X987" s="7">
        <f t="shared" si="173"/>
        <v>-839333.33333333326</v>
      </c>
    </row>
    <row r="988" spans="1:24">
      <c r="A988">
        <v>987</v>
      </c>
      <c r="B988" s="96" t="s">
        <v>2616</v>
      </c>
      <c r="C988" s="95">
        <v>41554</v>
      </c>
      <c r="D988" s="82">
        <v>9740000</v>
      </c>
      <c r="E988" s="82">
        <v>9670000</v>
      </c>
      <c r="F988" s="82">
        <v>9740000</v>
      </c>
      <c r="G988" s="82">
        <v>9740000</v>
      </c>
      <c r="I988" s="97">
        <v>0</v>
      </c>
      <c r="J988" s="97">
        <v>0</v>
      </c>
      <c r="K988" s="97">
        <v>0</v>
      </c>
      <c r="M988" s="7">
        <f t="shared" si="166"/>
        <v>0</v>
      </c>
      <c r="N988" s="7">
        <f t="shared" si="175"/>
        <v>0</v>
      </c>
      <c r="O988" s="7">
        <f t="shared" si="174"/>
        <v>-20000</v>
      </c>
      <c r="P988" s="99">
        <f t="shared" si="167"/>
        <v>-2.0491803278688526E-3</v>
      </c>
      <c r="Q988" s="99">
        <f t="shared" si="176"/>
        <v>1.0450707375522776E-2</v>
      </c>
      <c r="S988" s="7">
        <f t="shared" si="168"/>
        <v>10714000</v>
      </c>
      <c r="T988" s="7">
        <f t="shared" si="169"/>
        <v>3246666.6666666665</v>
      </c>
      <c r="U988" s="7">
        <f t="shared" si="170"/>
        <v>9472000</v>
      </c>
      <c r="V988" s="7">
        <f t="shared" si="171"/>
        <v>0</v>
      </c>
      <c r="W988" s="7">
        <f t="shared" si="172"/>
        <v>0</v>
      </c>
      <c r="X988" s="7">
        <f t="shared" si="173"/>
        <v>0</v>
      </c>
    </row>
    <row r="989" spans="1:24">
      <c r="A989">
        <v>988</v>
      </c>
      <c r="B989" s="96" t="s">
        <v>2615</v>
      </c>
      <c r="C989" s="95">
        <v>41555</v>
      </c>
      <c r="D989" s="82">
        <v>9760000</v>
      </c>
      <c r="E989" s="82">
        <v>9700000</v>
      </c>
      <c r="F989" s="82">
        <v>9770000</v>
      </c>
      <c r="G989" s="82">
        <v>9760000</v>
      </c>
      <c r="I989" s="97">
        <v>0</v>
      </c>
      <c r="J989" s="97">
        <v>0</v>
      </c>
      <c r="K989" s="97">
        <v>0</v>
      </c>
      <c r="M989" s="7">
        <f t="shared" si="166"/>
        <v>0</v>
      </c>
      <c r="N989" s="7">
        <f t="shared" si="175"/>
        <v>0</v>
      </c>
      <c r="O989" s="7">
        <f t="shared" si="174"/>
        <v>20000</v>
      </c>
      <c r="P989" s="99">
        <f t="shared" si="167"/>
        <v>2.0533880903490761E-3</v>
      </c>
      <c r="Q989" s="99">
        <f t="shared" si="176"/>
        <v>4.2607402981715194E-3</v>
      </c>
      <c r="S989" s="7">
        <f t="shared" si="168"/>
        <v>10736000</v>
      </c>
      <c r="T989" s="7">
        <f t="shared" si="169"/>
        <v>3253333.3333333335</v>
      </c>
      <c r="U989" s="7">
        <f t="shared" si="170"/>
        <v>9447000</v>
      </c>
      <c r="V989" s="7">
        <f t="shared" si="171"/>
        <v>0</v>
      </c>
      <c r="W989" s="7">
        <f t="shared" si="172"/>
        <v>0</v>
      </c>
      <c r="X989" s="7">
        <f t="shared" si="173"/>
        <v>0</v>
      </c>
    </row>
    <row r="990" spans="1:24">
      <c r="A990">
        <v>989</v>
      </c>
      <c r="B990" s="96" t="s">
        <v>2614</v>
      </c>
      <c r="C990" s="95">
        <v>41556</v>
      </c>
      <c r="D990" s="82">
        <v>9620000</v>
      </c>
      <c r="E990" s="82">
        <v>9590000</v>
      </c>
      <c r="F990" s="82">
        <v>9660000</v>
      </c>
      <c r="G990" s="82">
        <v>9590000</v>
      </c>
      <c r="I990" s="97">
        <v>0</v>
      </c>
      <c r="J990" s="97">
        <v>0</v>
      </c>
      <c r="K990" s="97">
        <v>0</v>
      </c>
      <c r="M990" s="7">
        <f t="shared" si="166"/>
        <v>0</v>
      </c>
      <c r="N990" s="7">
        <f t="shared" si="175"/>
        <v>0</v>
      </c>
      <c r="O990" s="7">
        <f t="shared" si="174"/>
        <v>-170000</v>
      </c>
      <c r="P990" s="99">
        <f t="shared" si="167"/>
        <v>-1.7418032786885244E-2</v>
      </c>
      <c r="Q990" s="99">
        <f t="shared" si="176"/>
        <v>1.1594892132628643E-3</v>
      </c>
      <c r="S990" s="7">
        <f t="shared" si="168"/>
        <v>10549000</v>
      </c>
      <c r="T990" s="7">
        <f t="shared" si="169"/>
        <v>3196666.6666666665</v>
      </c>
      <c r="U990" s="7">
        <f t="shared" si="170"/>
        <v>9460000</v>
      </c>
      <c r="V990" s="7">
        <f t="shared" si="171"/>
        <v>0</v>
      </c>
      <c r="W990" s="7">
        <f t="shared" si="172"/>
        <v>0</v>
      </c>
      <c r="X990" s="7">
        <f t="shared" si="173"/>
        <v>0</v>
      </c>
    </row>
    <row r="991" spans="1:24">
      <c r="A991">
        <v>990</v>
      </c>
      <c r="B991" s="96" t="s">
        <v>2613</v>
      </c>
      <c r="C991" s="95">
        <v>41557</v>
      </c>
      <c r="D991" s="82">
        <v>9625000</v>
      </c>
      <c r="E991" s="82">
        <v>9560000</v>
      </c>
      <c r="F991" s="82">
        <v>9625000</v>
      </c>
      <c r="G991" s="82">
        <v>9560000</v>
      </c>
      <c r="I991" s="98">
        <v>0</v>
      </c>
      <c r="J991" s="98">
        <v>0</v>
      </c>
      <c r="K991" s="98">
        <v>0</v>
      </c>
      <c r="M991" s="7">
        <f t="shared" si="166"/>
        <v>0</v>
      </c>
      <c r="N991" s="7">
        <f t="shared" si="175"/>
        <v>0</v>
      </c>
      <c r="O991" s="7">
        <f t="shared" si="174"/>
        <v>-30000</v>
      </c>
      <c r="P991" s="99">
        <f t="shared" si="167"/>
        <v>-3.1282586027111575E-3</v>
      </c>
      <c r="Q991" s="99">
        <f t="shared" si="176"/>
        <v>-6.0021333172121244E-3</v>
      </c>
      <c r="S991" s="7">
        <f t="shared" si="168"/>
        <v>10516000</v>
      </c>
      <c r="T991" s="7">
        <f t="shared" si="169"/>
        <v>3186666.6666666665</v>
      </c>
      <c r="U991" s="7">
        <f t="shared" si="170"/>
        <v>9425000</v>
      </c>
      <c r="V991" s="7">
        <f t="shared" si="171"/>
        <v>0</v>
      </c>
      <c r="W991" s="7">
        <f t="shared" si="172"/>
        <v>0</v>
      </c>
      <c r="X991" s="7">
        <f t="shared" si="173"/>
        <v>0</v>
      </c>
    </row>
    <row r="992" spans="1:24">
      <c r="A992">
        <v>991</v>
      </c>
      <c r="B992" s="96" t="s">
        <v>2612</v>
      </c>
      <c r="C992" s="95">
        <v>41559</v>
      </c>
      <c r="D992" s="82">
        <v>9410000</v>
      </c>
      <c r="E992" s="82">
        <v>9300000</v>
      </c>
      <c r="F992" s="82">
        <v>9410000</v>
      </c>
      <c r="G992" s="82">
        <v>9320000</v>
      </c>
      <c r="I992" s="82">
        <f>G992*1.1</f>
        <v>10252000</v>
      </c>
      <c r="J992" s="82">
        <f>G992/3</f>
        <v>3106666.6666666665</v>
      </c>
      <c r="K992" s="7">
        <f>G1260</f>
        <v>9355000</v>
      </c>
      <c r="L992" s="7">
        <f>K992-I992</f>
        <v>-897000</v>
      </c>
      <c r="M992" s="7">
        <f t="shared" si="166"/>
        <v>388333.33333333326</v>
      </c>
      <c r="N992" s="7">
        <f t="shared" si="175"/>
        <v>-508666.66666666674</v>
      </c>
      <c r="O992" s="7">
        <f t="shared" si="174"/>
        <v>-240000</v>
      </c>
      <c r="P992" s="99">
        <f t="shared" si="167"/>
        <v>-2.5104602510460251E-2</v>
      </c>
      <c r="Q992" s="99">
        <f t="shared" si="176"/>
        <v>-2.1565625080545041E-2</v>
      </c>
      <c r="R992">
        <v>1</v>
      </c>
      <c r="S992" s="7">
        <f t="shared" si="168"/>
        <v>10252000</v>
      </c>
      <c r="T992" s="7">
        <f t="shared" si="169"/>
        <v>3106666.6666666665</v>
      </c>
      <c r="U992" s="7">
        <f t="shared" si="170"/>
        <v>9355000</v>
      </c>
      <c r="V992" s="7">
        <f t="shared" si="171"/>
        <v>-897000</v>
      </c>
      <c r="W992" s="7">
        <f t="shared" si="172"/>
        <v>388333.33333333326</v>
      </c>
      <c r="X992" s="7">
        <f t="shared" si="173"/>
        <v>-508666.66666666674</v>
      </c>
    </row>
    <row r="993" spans="1:24">
      <c r="A993">
        <v>992</v>
      </c>
      <c r="B993" s="96" t="s">
        <v>2611</v>
      </c>
      <c r="C993" s="95">
        <v>41561</v>
      </c>
      <c r="D993" s="82">
        <v>9300000</v>
      </c>
      <c r="E993" s="82">
        <v>9255000</v>
      </c>
      <c r="F993" s="82">
        <v>9400000</v>
      </c>
      <c r="G993" s="82">
        <v>9395000</v>
      </c>
      <c r="I993" s="97">
        <v>0</v>
      </c>
      <c r="J993" s="97">
        <v>0</v>
      </c>
      <c r="K993" s="97">
        <v>0</v>
      </c>
      <c r="M993" s="7">
        <f t="shared" si="166"/>
        <v>0</v>
      </c>
      <c r="N993" s="7">
        <f t="shared" si="175"/>
        <v>0</v>
      </c>
      <c r="O993" s="7">
        <f t="shared" si="174"/>
        <v>75000</v>
      </c>
      <c r="P993" s="99">
        <f t="shared" si="167"/>
        <v>8.0472103004291841E-3</v>
      </c>
      <c r="Q993" s="99">
        <f t="shared" si="176"/>
        <v>-4.5646686137576428E-2</v>
      </c>
      <c r="S993" s="7">
        <f t="shared" si="168"/>
        <v>10334500</v>
      </c>
      <c r="T993" s="7">
        <f t="shared" si="169"/>
        <v>3131666.6666666665</v>
      </c>
      <c r="U993" s="7">
        <f t="shared" si="170"/>
        <v>9370000</v>
      </c>
      <c r="V993" s="7">
        <f t="shared" si="171"/>
        <v>0</v>
      </c>
      <c r="W993" s="7">
        <f t="shared" si="172"/>
        <v>0</v>
      </c>
      <c r="X993" s="7">
        <f t="shared" si="173"/>
        <v>0</v>
      </c>
    </row>
    <row r="994" spans="1:24">
      <c r="A994">
        <v>993</v>
      </c>
      <c r="B994" s="96" t="s">
        <v>2610</v>
      </c>
      <c r="C994" s="95">
        <v>41562</v>
      </c>
      <c r="D994" s="82">
        <v>9390000</v>
      </c>
      <c r="E994" s="82">
        <v>9310000</v>
      </c>
      <c r="F994" s="82">
        <v>9400000</v>
      </c>
      <c r="G994" s="82">
        <v>9370000</v>
      </c>
      <c r="I994" s="97">
        <v>0</v>
      </c>
      <c r="J994" s="97">
        <v>0</v>
      </c>
      <c r="K994" s="97">
        <v>0</v>
      </c>
      <c r="M994" s="7">
        <f t="shared" si="166"/>
        <v>0</v>
      </c>
      <c r="N994" s="7">
        <f t="shared" si="175"/>
        <v>0</v>
      </c>
      <c r="O994" s="7">
        <f t="shared" si="174"/>
        <v>-25000</v>
      </c>
      <c r="P994" s="99">
        <f t="shared" si="167"/>
        <v>-2.6609898882384245E-3</v>
      </c>
      <c r="Q994" s="99">
        <f t="shared" si="176"/>
        <v>-3.5550295509278393E-2</v>
      </c>
      <c r="S994" s="7">
        <f t="shared" si="168"/>
        <v>10307000</v>
      </c>
      <c r="T994" s="7">
        <f t="shared" si="169"/>
        <v>3123333.3333333335</v>
      </c>
      <c r="U994" s="7">
        <f t="shared" si="170"/>
        <v>9415000</v>
      </c>
      <c r="V994" s="7">
        <f t="shared" si="171"/>
        <v>0</v>
      </c>
      <c r="W994" s="7">
        <f t="shared" si="172"/>
        <v>0</v>
      </c>
      <c r="X994" s="7">
        <f t="shared" si="173"/>
        <v>0</v>
      </c>
    </row>
    <row r="995" spans="1:24">
      <c r="A995">
        <v>994</v>
      </c>
      <c r="B995" s="96" t="s">
        <v>2609</v>
      </c>
      <c r="C995" s="95">
        <v>41564</v>
      </c>
      <c r="D995" s="82">
        <v>9390000</v>
      </c>
      <c r="E995" s="82">
        <v>9390000</v>
      </c>
      <c r="F995" s="82">
        <v>9550000</v>
      </c>
      <c r="G995" s="82">
        <v>9530000</v>
      </c>
      <c r="I995" s="97">
        <v>0</v>
      </c>
      <c r="J995" s="97">
        <v>0</v>
      </c>
      <c r="K995" s="97">
        <v>0</v>
      </c>
      <c r="M995" s="7">
        <f t="shared" si="166"/>
        <v>0</v>
      </c>
      <c r="N995" s="7">
        <f t="shared" si="175"/>
        <v>0</v>
      </c>
      <c r="O995" s="7">
        <f t="shared" si="174"/>
        <v>160000</v>
      </c>
      <c r="P995" s="99">
        <f t="shared" si="167"/>
        <v>1.7075773745997867E-2</v>
      </c>
      <c r="Q995" s="99">
        <f t="shared" si="176"/>
        <v>-4.0264673487865894E-2</v>
      </c>
      <c r="S995" s="7">
        <f t="shared" si="168"/>
        <v>10483000</v>
      </c>
      <c r="T995" s="7">
        <f t="shared" si="169"/>
        <v>3176666.6666666665</v>
      </c>
      <c r="U995" s="7">
        <f t="shared" si="170"/>
        <v>9420000</v>
      </c>
      <c r="V995" s="7">
        <f t="shared" si="171"/>
        <v>0</v>
      </c>
      <c r="W995" s="7">
        <f t="shared" si="172"/>
        <v>0</v>
      </c>
      <c r="X995" s="7">
        <f t="shared" si="173"/>
        <v>0</v>
      </c>
    </row>
    <row r="996" spans="1:24">
      <c r="A996">
        <v>995</v>
      </c>
      <c r="B996" s="96" t="s">
        <v>2608</v>
      </c>
      <c r="C996" s="95">
        <v>41566</v>
      </c>
      <c r="D996" s="82">
        <v>9570000</v>
      </c>
      <c r="E996" s="82">
        <v>9550000</v>
      </c>
      <c r="F996" s="82">
        <v>9580000</v>
      </c>
      <c r="G996" s="82">
        <v>9555000</v>
      </c>
      <c r="I996" s="98">
        <v>0</v>
      </c>
      <c r="J996" s="98">
        <v>0</v>
      </c>
      <c r="K996" s="98">
        <v>0</v>
      </c>
      <c r="M996" s="7">
        <f t="shared" si="166"/>
        <v>0</v>
      </c>
      <c r="N996" s="7">
        <f t="shared" si="175"/>
        <v>0</v>
      </c>
      <c r="O996" s="7">
        <f t="shared" si="174"/>
        <v>25000</v>
      </c>
      <c r="P996" s="99">
        <f t="shared" si="167"/>
        <v>2.6232948583420775E-3</v>
      </c>
      <c r="Q996" s="99">
        <f t="shared" si="176"/>
        <v>-5.7708669549827833E-3</v>
      </c>
      <c r="S996" s="7">
        <f t="shared" si="168"/>
        <v>10510500</v>
      </c>
      <c r="T996" s="7">
        <f t="shared" si="169"/>
        <v>3185000</v>
      </c>
      <c r="U996" s="7">
        <f t="shared" si="170"/>
        <v>9440000</v>
      </c>
      <c r="V996" s="7">
        <f t="shared" si="171"/>
        <v>0</v>
      </c>
      <c r="W996" s="7">
        <f t="shared" si="172"/>
        <v>0</v>
      </c>
      <c r="X996" s="7">
        <f t="shared" si="173"/>
        <v>0</v>
      </c>
    </row>
    <row r="997" spans="1:24">
      <c r="A997">
        <v>996</v>
      </c>
      <c r="B997" s="96" t="s">
        <v>2607</v>
      </c>
      <c r="C997" s="95">
        <v>41567</v>
      </c>
      <c r="D997" s="82">
        <v>9560000</v>
      </c>
      <c r="E997" s="82">
        <v>9540000</v>
      </c>
      <c r="F997" s="82">
        <v>9560000</v>
      </c>
      <c r="G997" s="82">
        <v>9560000</v>
      </c>
      <c r="I997" s="82">
        <f>G997*1.1</f>
        <v>10516000</v>
      </c>
      <c r="J997" s="82">
        <f>G997/3</f>
        <v>3186666.6666666665</v>
      </c>
      <c r="K997" s="7">
        <f>G1265</f>
        <v>9435000</v>
      </c>
      <c r="L997" s="7">
        <f>K997-I997</f>
        <v>-1081000</v>
      </c>
      <c r="M997" s="7">
        <f t="shared" si="166"/>
        <v>398333.33333333326</v>
      </c>
      <c r="N997" s="7">
        <f t="shared" si="175"/>
        <v>-682666.66666666674</v>
      </c>
      <c r="O997" s="7">
        <f t="shared" si="174"/>
        <v>5000</v>
      </c>
      <c r="P997" s="99">
        <f t="shared" si="167"/>
        <v>5.2328623757195189E-4</v>
      </c>
      <c r="Q997" s="99">
        <f t="shared" si="176"/>
        <v>-1.9313493929545237E-5</v>
      </c>
      <c r="R997">
        <v>1</v>
      </c>
      <c r="S997" s="7">
        <f t="shared" si="168"/>
        <v>10516000</v>
      </c>
      <c r="T997" s="7">
        <f t="shared" si="169"/>
        <v>3186666.6666666665</v>
      </c>
      <c r="U997" s="7">
        <f t="shared" si="170"/>
        <v>9435000</v>
      </c>
      <c r="V997" s="7">
        <f t="shared" si="171"/>
        <v>-1081000</v>
      </c>
      <c r="W997" s="7">
        <f t="shared" si="172"/>
        <v>398333.33333333326</v>
      </c>
      <c r="X997" s="7">
        <f t="shared" si="173"/>
        <v>-682666.66666666674</v>
      </c>
    </row>
    <row r="998" spans="1:24">
      <c r="A998">
        <v>997</v>
      </c>
      <c r="B998" s="96" t="s">
        <v>2606</v>
      </c>
      <c r="C998" s="95">
        <v>41568</v>
      </c>
      <c r="D998" s="82">
        <v>9580000</v>
      </c>
      <c r="E998" s="82">
        <v>9475000</v>
      </c>
      <c r="F998" s="82">
        <v>9580000</v>
      </c>
      <c r="G998" s="82">
        <v>9535000</v>
      </c>
      <c r="I998" s="97">
        <v>0</v>
      </c>
      <c r="J998" s="97">
        <v>0</v>
      </c>
      <c r="K998" s="97">
        <v>0</v>
      </c>
      <c r="M998" s="7">
        <f t="shared" si="166"/>
        <v>0</v>
      </c>
      <c r="N998" s="7">
        <f t="shared" si="175"/>
        <v>0</v>
      </c>
      <c r="O998" s="7">
        <f t="shared" si="174"/>
        <v>-25000</v>
      </c>
      <c r="P998" s="99">
        <f t="shared" si="167"/>
        <v>-2.615062761506276E-3</v>
      </c>
      <c r="Q998" s="99">
        <f t="shared" si="176"/>
        <v>2.5608575254102657E-2</v>
      </c>
      <c r="S998" s="7">
        <f t="shared" si="168"/>
        <v>10488500</v>
      </c>
      <c r="T998" s="7">
        <f t="shared" si="169"/>
        <v>3178333.3333333335</v>
      </c>
      <c r="U998" s="7">
        <f t="shared" si="170"/>
        <v>9485000</v>
      </c>
      <c r="V998" s="7">
        <f t="shared" si="171"/>
        <v>0</v>
      </c>
      <c r="W998" s="7">
        <f t="shared" si="172"/>
        <v>0</v>
      </c>
      <c r="X998" s="7">
        <f t="shared" si="173"/>
        <v>0</v>
      </c>
    </row>
    <row r="999" spans="1:24">
      <c r="A999">
        <v>998</v>
      </c>
      <c r="B999" s="96" t="s">
        <v>2605</v>
      </c>
      <c r="C999" s="95">
        <v>41569</v>
      </c>
      <c r="D999" s="82">
        <v>9510000</v>
      </c>
      <c r="E999" s="82">
        <v>9490000</v>
      </c>
      <c r="F999" s="82">
        <v>9590000</v>
      </c>
      <c r="G999" s="82">
        <v>9590000</v>
      </c>
      <c r="I999" s="97">
        <v>0</v>
      </c>
      <c r="J999" s="97">
        <v>0</v>
      </c>
      <c r="K999" s="97">
        <v>0</v>
      </c>
      <c r="M999" s="7">
        <f t="shared" si="166"/>
        <v>0</v>
      </c>
      <c r="N999" s="7">
        <f t="shared" si="175"/>
        <v>0</v>
      </c>
      <c r="O999" s="7">
        <f t="shared" si="174"/>
        <v>55000</v>
      </c>
      <c r="P999" s="99">
        <f t="shared" si="167"/>
        <v>5.7682223387519665E-3</v>
      </c>
      <c r="Q999" s="99">
        <f t="shared" si="176"/>
        <v>1.4946302192167197E-2</v>
      </c>
      <c r="S999" s="7">
        <f t="shared" si="168"/>
        <v>10549000</v>
      </c>
      <c r="T999" s="7">
        <f t="shared" si="169"/>
        <v>3196666.6666666665</v>
      </c>
      <c r="U999" s="7">
        <f t="shared" si="170"/>
        <v>9505000</v>
      </c>
      <c r="V999" s="7">
        <f t="shared" si="171"/>
        <v>0</v>
      </c>
      <c r="W999" s="7">
        <f t="shared" si="172"/>
        <v>0</v>
      </c>
      <c r="X999" s="7">
        <f t="shared" si="173"/>
        <v>0</v>
      </c>
    </row>
    <row r="1000" spans="1:24">
      <c r="A1000">
        <v>999</v>
      </c>
      <c r="B1000" s="96" t="s">
        <v>2604</v>
      </c>
      <c r="C1000" s="95">
        <v>41570</v>
      </c>
      <c r="D1000" s="82">
        <v>9570000</v>
      </c>
      <c r="E1000" s="82">
        <v>9520000</v>
      </c>
      <c r="F1000" s="82">
        <v>9580000</v>
      </c>
      <c r="G1000" s="82">
        <v>9560000</v>
      </c>
      <c r="I1000" s="97">
        <v>0</v>
      </c>
      <c r="J1000" s="97">
        <v>0</v>
      </c>
      <c r="K1000" s="97">
        <v>0</v>
      </c>
      <c r="M1000" s="7">
        <f t="shared" si="166"/>
        <v>0</v>
      </c>
      <c r="N1000" s="7">
        <f t="shared" si="175"/>
        <v>0</v>
      </c>
      <c r="O1000" s="7">
        <f t="shared" si="174"/>
        <v>-30000</v>
      </c>
      <c r="P1000" s="99">
        <f t="shared" si="167"/>
        <v>-3.1282586027111575E-3</v>
      </c>
      <c r="Q1000" s="99">
        <f t="shared" si="176"/>
        <v>2.3375514419157587E-2</v>
      </c>
      <c r="S1000" s="7">
        <f t="shared" si="168"/>
        <v>10516000</v>
      </c>
      <c r="T1000" s="7">
        <f t="shared" si="169"/>
        <v>3186666.6666666665</v>
      </c>
      <c r="U1000" s="7">
        <f t="shared" si="170"/>
        <v>9490000</v>
      </c>
      <c r="V1000" s="7">
        <f t="shared" si="171"/>
        <v>0</v>
      </c>
      <c r="W1000" s="7">
        <f t="shared" si="172"/>
        <v>0</v>
      </c>
      <c r="X1000" s="7">
        <f t="shared" si="173"/>
        <v>0</v>
      </c>
    </row>
    <row r="1001" spans="1:24">
      <c r="A1001">
        <v>1000</v>
      </c>
      <c r="B1001" s="96" t="s">
        <v>2603</v>
      </c>
      <c r="C1001" s="95">
        <v>41571</v>
      </c>
      <c r="D1001" s="82">
        <v>9590000</v>
      </c>
      <c r="E1001" s="82">
        <v>9570000</v>
      </c>
      <c r="F1001" s="82">
        <v>9610000</v>
      </c>
      <c r="G1001" s="82">
        <v>9610000</v>
      </c>
      <c r="I1001" s="98">
        <v>0</v>
      </c>
      <c r="J1001" s="98">
        <v>0</v>
      </c>
      <c r="K1001" s="98">
        <v>0</v>
      </c>
      <c r="M1001" s="7">
        <f t="shared" si="166"/>
        <v>0</v>
      </c>
      <c r="N1001" s="7">
        <f t="shared" si="175"/>
        <v>0</v>
      </c>
      <c r="O1001" s="7">
        <f t="shared" si="174"/>
        <v>50000</v>
      </c>
      <c r="P1001" s="99">
        <f t="shared" si="167"/>
        <v>5.2301255230125521E-3</v>
      </c>
      <c r="Q1001" s="99">
        <f t="shared" si="176"/>
        <v>3.1714820704485621E-3</v>
      </c>
      <c r="S1001" s="7">
        <f t="shared" si="168"/>
        <v>10571000</v>
      </c>
      <c r="T1001" s="7">
        <f t="shared" si="169"/>
        <v>3203333.3333333335</v>
      </c>
      <c r="U1001" s="7">
        <f t="shared" si="170"/>
        <v>9495000</v>
      </c>
      <c r="V1001" s="7">
        <f t="shared" si="171"/>
        <v>0</v>
      </c>
      <c r="W1001" s="7">
        <f t="shared" si="172"/>
        <v>0</v>
      </c>
      <c r="X1001" s="7">
        <f t="shared" si="173"/>
        <v>0</v>
      </c>
    </row>
    <row r="1002" spans="1:24">
      <c r="A1002">
        <v>1001</v>
      </c>
      <c r="B1002" s="96" t="s">
        <v>2602</v>
      </c>
      <c r="C1002" s="95">
        <v>41573</v>
      </c>
      <c r="D1002" s="82">
        <v>9650000</v>
      </c>
      <c r="E1002" s="82">
        <v>9650000</v>
      </c>
      <c r="F1002" s="82">
        <v>9710000</v>
      </c>
      <c r="G1002" s="82">
        <v>9700000</v>
      </c>
      <c r="I1002" s="82">
        <f>G1002*1.1</f>
        <v>10670000</v>
      </c>
      <c r="J1002" s="82">
        <f>G1002/3</f>
        <v>3233333.3333333335</v>
      </c>
      <c r="K1002" s="7">
        <f>G1270</f>
        <v>9460000</v>
      </c>
      <c r="L1002" s="7">
        <f>K1002-I1002</f>
        <v>-1210000</v>
      </c>
      <c r="M1002" s="7">
        <f t="shared" si="166"/>
        <v>404166.66666666674</v>
      </c>
      <c r="N1002" s="7">
        <f t="shared" si="175"/>
        <v>-805833.33333333326</v>
      </c>
      <c r="O1002" s="7">
        <f t="shared" si="174"/>
        <v>90000</v>
      </c>
      <c r="P1002" s="99">
        <f t="shared" si="167"/>
        <v>9.3652445369406864E-3</v>
      </c>
      <c r="Q1002" s="99">
        <f t="shared" si="176"/>
        <v>5.7783127351190375E-3</v>
      </c>
      <c r="R1002">
        <v>1</v>
      </c>
      <c r="S1002" s="7">
        <f t="shared" si="168"/>
        <v>10670000</v>
      </c>
      <c r="T1002" s="7">
        <f t="shared" si="169"/>
        <v>3233333.3333333335</v>
      </c>
      <c r="U1002" s="7">
        <f t="shared" si="170"/>
        <v>9460000</v>
      </c>
      <c r="V1002" s="7">
        <f t="shared" si="171"/>
        <v>-1210000</v>
      </c>
      <c r="W1002" s="7">
        <f t="shared" si="172"/>
        <v>404166.66666666674</v>
      </c>
      <c r="X1002" s="7">
        <f t="shared" si="173"/>
        <v>-805833.33333333326</v>
      </c>
    </row>
    <row r="1003" spans="1:24">
      <c r="A1003">
        <v>1002</v>
      </c>
      <c r="B1003" s="96" t="s">
        <v>2601</v>
      </c>
      <c r="C1003" s="95">
        <v>41574</v>
      </c>
      <c r="D1003" s="82">
        <v>9680000</v>
      </c>
      <c r="E1003" s="82">
        <v>9630000</v>
      </c>
      <c r="F1003" s="82">
        <v>9680000</v>
      </c>
      <c r="G1003" s="82">
        <v>9650000</v>
      </c>
      <c r="I1003" s="97">
        <v>0</v>
      </c>
      <c r="J1003" s="97">
        <v>0</v>
      </c>
      <c r="K1003" s="97">
        <v>0</v>
      </c>
      <c r="M1003" s="7">
        <f t="shared" si="166"/>
        <v>0</v>
      </c>
      <c r="N1003" s="7">
        <f t="shared" si="175"/>
        <v>0</v>
      </c>
      <c r="O1003" s="7">
        <f t="shared" si="174"/>
        <v>-50000</v>
      </c>
      <c r="P1003" s="99">
        <f t="shared" si="167"/>
        <v>-5.1546391752577319E-3</v>
      </c>
      <c r="Q1003" s="99">
        <f t="shared" si="176"/>
        <v>1.4620271034487771E-2</v>
      </c>
      <c r="S1003" s="7">
        <f t="shared" si="168"/>
        <v>10615000</v>
      </c>
      <c r="T1003" s="7">
        <f t="shared" si="169"/>
        <v>3216666.6666666665</v>
      </c>
      <c r="U1003" s="7">
        <f t="shared" si="170"/>
        <v>9465000</v>
      </c>
      <c r="V1003" s="7">
        <f t="shared" si="171"/>
        <v>0</v>
      </c>
      <c r="W1003" s="7">
        <f t="shared" si="172"/>
        <v>0</v>
      </c>
      <c r="X1003" s="7">
        <f t="shared" si="173"/>
        <v>0</v>
      </c>
    </row>
    <row r="1004" spans="1:24">
      <c r="A1004">
        <v>1003</v>
      </c>
      <c r="B1004" s="96" t="s">
        <v>2600</v>
      </c>
      <c r="C1004" s="95">
        <v>41575</v>
      </c>
      <c r="D1004" s="82">
        <v>9630000</v>
      </c>
      <c r="E1004" s="82">
        <v>9605000</v>
      </c>
      <c r="F1004" s="82">
        <v>9710000</v>
      </c>
      <c r="G1004" s="82">
        <v>9710000</v>
      </c>
      <c r="I1004" s="97">
        <v>0</v>
      </c>
      <c r="J1004" s="97">
        <v>0</v>
      </c>
      <c r="K1004" s="97">
        <v>0</v>
      </c>
      <c r="M1004" s="7">
        <f t="shared" si="166"/>
        <v>0</v>
      </c>
      <c r="N1004" s="7">
        <f t="shared" si="175"/>
        <v>0</v>
      </c>
      <c r="O1004" s="7">
        <f t="shared" si="174"/>
        <v>60000</v>
      </c>
      <c r="P1004" s="99">
        <f t="shared" si="167"/>
        <v>6.2176165803108805E-3</v>
      </c>
      <c r="Q1004" s="99">
        <f t="shared" si="176"/>
        <v>1.2080694620736316E-2</v>
      </c>
      <c r="S1004" s="7">
        <f t="shared" si="168"/>
        <v>10681000</v>
      </c>
      <c r="T1004" s="7">
        <f t="shared" si="169"/>
        <v>3236666.6666666665</v>
      </c>
      <c r="U1004" s="7">
        <f t="shared" si="170"/>
        <v>9470000</v>
      </c>
      <c r="V1004" s="7">
        <f t="shared" si="171"/>
        <v>0</v>
      </c>
      <c r="W1004" s="7">
        <f t="shared" si="172"/>
        <v>0</v>
      </c>
      <c r="X1004" s="7">
        <f t="shared" si="173"/>
        <v>0</v>
      </c>
    </row>
    <row r="1005" spans="1:24">
      <c r="A1005">
        <v>1004</v>
      </c>
      <c r="B1005" s="96" t="s">
        <v>2599</v>
      </c>
      <c r="C1005" s="95">
        <v>41576</v>
      </c>
      <c r="D1005" s="82">
        <v>9680000</v>
      </c>
      <c r="E1005" s="82">
        <v>9630000</v>
      </c>
      <c r="F1005" s="82">
        <v>9680000</v>
      </c>
      <c r="G1005" s="82">
        <v>9660000</v>
      </c>
      <c r="I1005" s="97">
        <v>0</v>
      </c>
      <c r="J1005" s="97">
        <v>0</v>
      </c>
      <c r="K1005" s="97">
        <v>0</v>
      </c>
      <c r="M1005" s="7">
        <f t="shared" si="166"/>
        <v>0</v>
      </c>
      <c r="N1005" s="7">
        <f t="shared" si="175"/>
        <v>0</v>
      </c>
      <c r="O1005" s="7">
        <f t="shared" si="174"/>
        <v>-50000</v>
      </c>
      <c r="P1005" s="99">
        <f t="shared" si="167"/>
        <v>-5.1493305870236872E-3</v>
      </c>
      <c r="Q1005" s="99">
        <f t="shared" si="176"/>
        <v>1.253008886229523E-2</v>
      </c>
      <c r="S1005" s="7">
        <f t="shared" si="168"/>
        <v>10626000</v>
      </c>
      <c r="T1005" s="7">
        <f t="shared" si="169"/>
        <v>3220000</v>
      </c>
      <c r="U1005" s="7">
        <f t="shared" si="170"/>
        <v>9425000</v>
      </c>
      <c r="V1005" s="7">
        <f t="shared" si="171"/>
        <v>0</v>
      </c>
      <c r="W1005" s="7">
        <f t="shared" si="172"/>
        <v>0</v>
      </c>
      <c r="X1005" s="7">
        <f t="shared" si="173"/>
        <v>0</v>
      </c>
    </row>
    <row r="1006" spans="1:24">
      <c r="A1006">
        <v>1005</v>
      </c>
      <c r="B1006" s="96" t="s">
        <v>2598</v>
      </c>
      <c r="C1006" s="95">
        <v>41577</v>
      </c>
      <c r="D1006" s="82">
        <v>9650000</v>
      </c>
      <c r="E1006" s="82">
        <v>9640000</v>
      </c>
      <c r="F1006" s="82">
        <v>9700000</v>
      </c>
      <c r="G1006" s="82">
        <v>9700000</v>
      </c>
      <c r="I1006" s="98">
        <v>0</v>
      </c>
      <c r="J1006" s="98">
        <v>0</v>
      </c>
      <c r="K1006" s="98">
        <v>0</v>
      </c>
      <c r="M1006" s="7">
        <f t="shared" si="166"/>
        <v>0</v>
      </c>
      <c r="N1006" s="7">
        <f t="shared" si="175"/>
        <v>0</v>
      </c>
      <c r="O1006" s="7">
        <f t="shared" si="174"/>
        <v>40000</v>
      </c>
      <c r="P1006" s="99">
        <f t="shared" si="167"/>
        <v>4.140786749482402E-3</v>
      </c>
      <c r="Q1006" s="99">
        <f t="shared" si="176"/>
        <v>1.05090168779827E-2</v>
      </c>
      <c r="S1006" s="7">
        <f t="shared" si="168"/>
        <v>10670000</v>
      </c>
      <c r="T1006" s="7">
        <f t="shared" si="169"/>
        <v>3233333.3333333335</v>
      </c>
      <c r="U1006" s="7">
        <f t="shared" si="170"/>
        <v>9441000</v>
      </c>
      <c r="V1006" s="7">
        <f t="shared" si="171"/>
        <v>0</v>
      </c>
      <c r="W1006" s="7">
        <f t="shared" si="172"/>
        <v>0</v>
      </c>
      <c r="X1006" s="7">
        <f t="shared" si="173"/>
        <v>0</v>
      </c>
    </row>
    <row r="1007" spans="1:24">
      <c r="A1007">
        <v>1006</v>
      </c>
      <c r="B1007" s="96" t="s">
        <v>2597</v>
      </c>
      <c r="C1007" s="95">
        <v>41578</v>
      </c>
      <c r="D1007" s="82">
        <v>9610000</v>
      </c>
      <c r="E1007" s="82">
        <v>9570000</v>
      </c>
      <c r="F1007" s="82">
        <v>9620000</v>
      </c>
      <c r="G1007" s="82">
        <v>9570000</v>
      </c>
      <c r="I1007" s="82">
        <f>G1007*1.1</f>
        <v>10527000</v>
      </c>
      <c r="J1007" s="82">
        <f>G1007/3</f>
        <v>3190000</v>
      </c>
      <c r="K1007" s="7">
        <f>G1275</f>
        <v>9438000</v>
      </c>
      <c r="L1007" s="7">
        <f>K1007-I1007</f>
        <v>-1089000</v>
      </c>
      <c r="M1007" s="7">
        <f t="shared" si="166"/>
        <v>398750</v>
      </c>
      <c r="N1007" s="7">
        <f t="shared" si="175"/>
        <v>-690250</v>
      </c>
      <c r="O1007" s="7">
        <f t="shared" si="174"/>
        <v>-130000</v>
      </c>
      <c r="P1007" s="99">
        <f t="shared" si="167"/>
        <v>-1.3402061855670102E-2</v>
      </c>
      <c r="Q1007" s="99">
        <f t="shared" si="176"/>
        <v>9.4196781044525498E-3</v>
      </c>
      <c r="R1007">
        <v>1</v>
      </c>
      <c r="S1007" s="7">
        <f t="shared" si="168"/>
        <v>10527000</v>
      </c>
      <c r="T1007" s="7">
        <f t="shared" si="169"/>
        <v>3190000</v>
      </c>
      <c r="U1007" s="7">
        <f t="shared" si="170"/>
        <v>9438000</v>
      </c>
      <c r="V1007" s="7">
        <f t="shared" si="171"/>
        <v>-1089000</v>
      </c>
      <c r="W1007" s="7">
        <f t="shared" si="172"/>
        <v>398750</v>
      </c>
      <c r="X1007" s="7">
        <f t="shared" si="173"/>
        <v>-690250</v>
      </c>
    </row>
    <row r="1008" spans="1:24">
      <c r="A1008">
        <v>1007</v>
      </c>
      <c r="B1008" s="96" t="s">
        <v>2596</v>
      </c>
      <c r="C1008" s="95">
        <v>41580</v>
      </c>
      <c r="D1008" s="82">
        <v>9510000</v>
      </c>
      <c r="E1008" s="82">
        <v>9480000</v>
      </c>
      <c r="F1008" s="82">
        <v>9520000</v>
      </c>
      <c r="G1008" s="82">
        <v>9480000</v>
      </c>
      <c r="I1008" s="97">
        <v>0</v>
      </c>
      <c r="J1008" s="97">
        <v>0</v>
      </c>
      <c r="K1008" s="97">
        <v>0</v>
      </c>
      <c r="M1008" s="7">
        <f t="shared" si="166"/>
        <v>0</v>
      </c>
      <c r="N1008" s="7">
        <f t="shared" si="175"/>
        <v>0</v>
      </c>
      <c r="O1008" s="7">
        <f t="shared" si="174"/>
        <v>-90000</v>
      </c>
      <c r="P1008" s="99">
        <f t="shared" si="167"/>
        <v>-9.4043887147335428E-3</v>
      </c>
      <c r="Q1008" s="99">
        <f t="shared" si="176"/>
        <v>-1.3347628288158239E-2</v>
      </c>
      <c r="S1008" s="7">
        <f t="shared" si="168"/>
        <v>10428000</v>
      </c>
      <c r="T1008" s="7">
        <f t="shared" si="169"/>
        <v>3160000</v>
      </c>
      <c r="U1008" s="7">
        <f t="shared" si="170"/>
        <v>9412000</v>
      </c>
      <c r="V1008" s="7">
        <f t="shared" si="171"/>
        <v>0</v>
      </c>
      <c r="W1008" s="7">
        <f t="shared" si="172"/>
        <v>0</v>
      </c>
      <c r="X1008" s="7">
        <f t="shared" si="173"/>
        <v>0</v>
      </c>
    </row>
    <row r="1009" spans="1:24">
      <c r="A1009">
        <v>1008</v>
      </c>
      <c r="B1009" s="96" t="s">
        <v>2595</v>
      </c>
      <c r="C1009" s="95">
        <v>41581</v>
      </c>
      <c r="D1009" s="82">
        <v>9490000</v>
      </c>
      <c r="E1009" s="82">
        <v>9490000</v>
      </c>
      <c r="F1009" s="82">
        <v>9570000</v>
      </c>
      <c r="G1009" s="82">
        <v>9550000</v>
      </c>
      <c r="I1009" s="97">
        <v>0</v>
      </c>
      <c r="J1009" s="97">
        <v>0</v>
      </c>
      <c r="K1009" s="97">
        <v>0</v>
      </c>
      <c r="M1009" s="7">
        <f t="shared" si="166"/>
        <v>0</v>
      </c>
      <c r="N1009" s="7">
        <f t="shared" si="175"/>
        <v>0</v>
      </c>
      <c r="O1009" s="7">
        <f t="shared" si="174"/>
        <v>70000</v>
      </c>
      <c r="P1009" s="99">
        <f t="shared" si="167"/>
        <v>7.3839662447257384E-3</v>
      </c>
      <c r="Q1009" s="99">
        <f t="shared" si="176"/>
        <v>-1.7597377827634049E-2</v>
      </c>
      <c r="S1009" s="7">
        <f t="shared" si="168"/>
        <v>10505000</v>
      </c>
      <c r="T1009" s="7">
        <f t="shared" si="169"/>
        <v>3183333.3333333335</v>
      </c>
      <c r="U1009" s="7">
        <f t="shared" si="170"/>
        <v>9403000</v>
      </c>
      <c r="V1009" s="7">
        <f t="shared" si="171"/>
        <v>0</v>
      </c>
      <c r="W1009" s="7">
        <f t="shared" si="172"/>
        <v>0</v>
      </c>
      <c r="X1009" s="7">
        <f t="shared" si="173"/>
        <v>0</v>
      </c>
    </row>
    <row r="1010" spans="1:24">
      <c r="A1010">
        <v>1009</v>
      </c>
      <c r="B1010" s="96" t="s">
        <v>2594</v>
      </c>
      <c r="C1010" s="95">
        <v>41582</v>
      </c>
      <c r="D1010" s="82">
        <v>9570000</v>
      </c>
      <c r="E1010" s="82">
        <v>9490000</v>
      </c>
      <c r="F1010" s="82">
        <v>9570000</v>
      </c>
      <c r="G1010" s="82">
        <v>9510000</v>
      </c>
      <c r="I1010" s="97">
        <v>0</v>
      </c>
      <c r="J1010" s="97">
        <v>0</v>
      </c>
      <c r="K1010" s="97">
        <v>0</v>
      </c>
      <c r="M1010" s="7">
        <f t="shared" si="166"/>
        <v>0</v>
      </c>
      <c r="N1010" s="7">
        <f t="shared" si="175"/>
        <v>0</v>
      </c>
      <c r="O1010" s="7">
        <f t="shared" si="174"/>
        <v>-40000</v>
      </c>
      <c r="P1010" s="99">
        <f t="shared" si="167"/>
        <v>-4.1884816753926706E-3</v>
      </c>
      <c r="Q1010" s="99">
        <f t="shared" si="176"/>
        <v>-1.6431028163219192E-2</v>
      </c>
      <c r="S1010" s="7">
        <f t="shared" si="168"/>
        <v>10461000</v>
      </c>
      <c r="T1010" s="7">
        <f t="shared" si="169"/>
        <v>3170000</v>
      </c>
      <c r="U1010" s="7">
        <f t="shared" si="170"/>
        <v>9390000</v>
      </c>
      <c r="V1010" s="7">
        <f t="shared" si="171"/>
        <v>0</v>
      </c>
      <c r="W1010" s="7">
        <f t="shared" si="172"/>
        <v>0</v>
      </c>
      <c r="X1010" s="7">
        <f t="shared" si="173"/>
        <v>0</v>
      </c>
    </row>
    <row r="1011" spans="1:24">
      <c r="A1011">
        <v>1010</v>
      </c>
      <c r="B1011" s="96" t="s">
        <v>2593</v>
      </c>
      <c r="C1011" s="95">
        <v>41583</v>
      </c>
      <c r="D1011" s="82">
        <v>9510000</v>
      </c>
      <c r="E1011" s="82">
        <v>9455000</v>
      </c>
      <c r="F1011" s="82">
        <v>9510000</v>
      </c>
      <c r="G1011" s="82">
        <v>9460000</v>
      </c>
      <c r="I1011" s="98">
        <v>0</v>
      </c>
      <c r="J1011" s="98">
        <v>0</v>
      </c>
      <c r="K1011" s="98">
        <v>0</v>
      </c>
      <c r="M1011" s="7">
        <f t="shared" si="166"/>
        <v>0</v>
      </c>
      <c r="N1011" s="7">
        <f t="shared" si="175"/>
        <v>0</v>
      </c>
      <c r="O1011" s="7">
        <f t="shared" si="174"/>
        <v>-50000</v>
      </c>
      <c r="P1011" s="99">
        <f t="shared" si="167"/>
        <v>-5.2576235541535229E-3</v>
      </c>
      <c r="Q1011" s="99">
        <f t="shared" si="176"/>
        <v>-1.5470179251588174E-2</v>
      </c>
      <c r="S1011" s="7">
        <f t="shared" si="168"/>
        <v>10406000</v>
      </c>
      <c r="T1011" s="7">
        <f t="shared" si="169"/>
        <v>3153333.3333333335</v>
      </c>
      <c r="U1011" s="7">
        <f t="shared" si="170"/>
        <v>9390000</v>
      </c>
      <c r="V1011" s="7">
        <f t="shared" si="171"/>
        <v>0</v>
      </c>
      <c r="W1011" s="7">
        <f t="shared" si="172"/>
        <v>0</v>
      </c>
      <c r="X1011" s="7">
        <f t="shared" si="173"/>
        <v>0</v>
      </c>
    </row>
    <row r="1012" spans="1:24">
      <c r="A1012">
        <v>1011</v>
      </c>
      <c r="B1012" s="96" t="s">
        <v>2592</v>
      </c>
      <c r="C1012" s="95">
        <v>41584</v>
      </c>
      <c r="D1012" s="82">
        <v>9460000</v>
      </c>
      <c r="E1012" s="82">
        <v>9450000</v>
      </c>
      <c r="F1012" s="82">
        <v>9490000</v>
      </c>
      <c r="G1012" s="82">
        <v>9490000</v>
      </c>
      <c r="I1012" s="82">
        <f>G1012*1.1</f>
        <v>10439000</v>
      </c>
      <c r="J1012" s="82">
        <f>G1012/3</f>
        <v>3163333.3333333335</v>
      </c>
      <c r="K1012" s="7">
        <f>G1280</f>
        <v>9245000</v>
      </c>
      <c r="L1012" s="7">
        <f>K1012-I1012</f>
        <v>-1194000</v>
      </c>
      <c r="M1012" s="7">
        <f t="shared" si="166"/>
        <v>395416.66666666674</v>
      </c>
      <c r="N1012" s="7">
        <f t="shared" si="175"/>
        <v>-798583.33333333326</v>
      </c>
      <c r="O1012" s="7">
        <f t="shared" si="174"/>
        <v>30000</v>
      </c>
      <c r="P1012" s="99">
        <f t="shared" si="167"/>
        <v>3.1712473572938688E-3</v>
      </c>
      <c r="Q1012" s="99">
        <f t="shared" si="176"/>
        <v>-2.4868589555224099E-2</v>
      </c>
      <c r="R1012">
        <v>1</v>
      </c>
      <c r="S1012" s="7">
        <f t="shared" si="168"/>
        <v>10439000</v>
      </c>
      <c r="T1012" s="7">
        <f t="shared" si="169"/>
        <v>3163333.3333333335</v>
      </c>
      <c r="U1012" s="7">
        <f t="shared" si="170"/>
        <v>9245000</v>
      </c>
      <c r="V1012" s="7">
        <f t="shared" si="171"/>
        <v>-1194000</v>
      </c>
      <c r="W1012" s="7">
        <f t="shared" si="172"/>
        <v>395416.66666666674</v>
      </c>
      <c r="X1012" s="7">
        <f t="shared" si="173"/>
        <v>-798583.33333333326</v>
      </c>
    </row>
    <row r="1013" spans="1:24">
      <c r="A1013">
        <v>1012</v>
      </c>
      <c r="B1013" s="96" t="s">
        <v>2591</v>
      </c>
      <c r="C1013" s="95">
        <v>41585</v>
      </c>
      <c r="D1013" s="82">
        <v>9480000</v>
      </c>
      <c r="E1013" s="82">
        <v>9440000</v>
      </c>
      <c r="F1013" s="82">
        <v>9480000</v>
      </c>
      <c r="G1013" s="82">
        <v>9440000</v>
      </c>
      <c r="I1013" s="97">
        <v>0</v>
      </c>
      <c r="J1013" s="97">
        <v>0</v>
      </c>
      <c r="K1013" s="97">
        <v>0</v>
      </c>
      <c r="M1013" s="7">
        <f t="shared" si="166"/>
        <v>0</v>
      </c>
      <c r="N1013" s="7">
        <f t="shared" si="175"/>
        <v>0</v>
      </c>
      <c r="O1013" s="7">
        <f t="shared" si="174"/>
        <v>-50000</v>
      </c>
      <c r="P1013" s="99">
        <f t="shared" si="167"/>
        <v>-5.268703898840885E-3</v>
      </c>
      <c r="Q1013" s="99">
        <f t="shared" si="176"/>
        <v>-8.2952803422601303E-3</v>
      </c>
      <c r="S1013" s="7">
        <f t="shared" si="168"/>
        <v>10384000</v>
      </c>
      <c r="T1013" s="7">
        <f t="shared" si="169"/>
        <v>3146666.6666666665</v>
      </c>
      <c r="U1013" s="7">
        <f t="shared" si="170"/>
        <v>9255000</v>
      </c>
      <c r="V1013" s="7">
        <f t="shared" si="171"/>
        <v>0</v>
      </c>
      <c r="W1013" s="7">
        <f t="shared" si="172"/>
        <v>0</v>
      </c>
      <c r="X1013" s="7">
        <f t="shared" si="173"/>
        <v>0</v>
      </c>
    </row>
    <row r="1014" spans="1:24">
      <c r="A1014">
        <v>1013</v>
      </c>
      <c r="B1014" s="96" t="s">
        <v>2590</v>
      </c>
      <c r="C1014" s="95">
        <v>41587</v>
      </c>
      <c r="D1014" s="82">
        <v>9240000</v>
      </c>
      <c r="E1014" s="82">
        <v>9170000</v>
      </c>
      <c r="F1014" s="82">
        <v>9280000</v>
      </c>
      <c r="G1014" s="82">
        <v>9195000</v>
      </c>
      <c r="I1014" s="97">
        <v>0</v>
      </c>
      <c r="J1014" s="97">
        <v>0</v>
      </c>
      <c r="K1014" s="97">
        <v>0</v>
      </c>
      <c r="M1014" s="7">
        <f t="shared" si="166"/>
        <v>0</v>
      </c>
      <c r="N1014" s="7">
        <f t="shared" si="175"/>
        <v>0</v>
      </c>
      <c r="O1014" s="7">
        <f t="shared" si="174"/>
        <v>-245000</v>
      </c>
      <c r="P1014" s="99">
        <f t="shared" si="167"/>
        <v>-2.5953389830508475E-2</v>
      </c>
      <c r="Q1014" s="99">
        <f t="shared" si="176"/>
        <v>-4.1595955263674707E-3</v>
      </c>
      <c r="S1014" s="7">
        <f t="shared" si="168"/>
        <v>10114500</v>
      </c>
      <c r="T1014" s="7">
        <f t="shared" si="169"/>
        <v>3065000</v>
      </c>
      <c r="U1014" s="7">
        <f t="shared" si="170"/>
        <v>9310000</v>
      </c>
      <c r="V1014" s="7">
        <f t="shared" si="171"/>
        <v>0</v>
      </c>
      <c r="W1014" s="7">
        <f t="shared" si="172"/>
        <v>0</v>
      </c>
      <c r="X1014" s="7">
        <f t="shared" si="173"/>
        <v>0</v>
      </c>
    </row>
    <row r="1015" spans="1:24">
      <c r="A1015">
        <v>1014</v>
      </c>
      <c r="B1015" s="96" t="s">
        <v>2589</v>
      </c>
      <c r="C1015" s="95">
        <v>41588</v>
      </c>
      <c r="D1015" s="82">
        <v>9260000</v>
      </c>
      <c r="E1015" s="82">
        <v>9240000</v>
      </c>
      <c r="F1015" s="82">
        <v>9320000</v>
      </c>
      <c r="G1015" s="82">
        <v>9310000</v>
      </c>
      <c r="I1015" s="97">
        <v>0</v>
      </c>
      <c r="J1015" s="97">
        <v>0</v>
      </c>
      <c r="K1015" s="97">
        <v>0</v>
      </c>
      <c r="M1015" s="7">
        <f t="shared" si="166"/>
        <v>0</v>
      </c>
      <c r="N1015" s="7">
        <f t="shared" si="175"/>
        <v>0</v>
      </c>
      <c r="O1015" s="7">
        <f t="shared" si="174"/>
        <v>115000</v>
      </c>
      <c r="P1015" s="99">
        <f t="shared" si="167"/>
        <v>1.2506797172376292E-2</v>
      </c>
      <c r="Q1015" s="99">
        <f t="shared" si="176"/>
        <v>-3.7496951601601686E-2</v>
      </c>
      <c r="S1015" s="7">
        <f t="shared" si="168"/>
        <v>10241000</v>
      </c>
      <c r="T1015" s="7">
        <f t="shared" si="169"/>
        <v>3103333.3333333335</v>
      </c>
      <c r="U1015" s="7">
        <f t="shared" si="170"/>
        <v>9320000</v>
      </c>
      <c r="V1015" s="7">
        <f t="shared" si="171"/>
        <v>0</v>
      </c>
      <c r="W1015" s="7">
        <f t="shared" si="172"/>
        <v>0</v>
      </c>
      <c r="X1015" s="7">
        <f t="shared" si="173"/>
        <v>0</v>
      </c>
    </row>
    <row r="1016" spans="1:24">
      <c r="A1016">
        <v>1015</v>
      </c>
      <c r="B1016" s="96" t="s">
        <v>2588</v>
      </c>
      <c r="C1016" s="95">
        <v>41589</v>
      </c>
      <c r="D1016" s="82">
        <v>9290000</v>
      </c>
      <c r="E1016" s="82">
        <v>9260000</v>
      </c>
      <c r="F1016" s="82">
        <v>9300000</v>
      </c>
      <c r="G1016" s="82">
        <v>9260000</v>
      </c>
      <c r="I1016" s="98">
        <v>0</v>
      </c>
      <c r="J1016" s="98">
        <v>0</v>
      </c>
      <c r="K1016" s="98">
        <v>0</v>
      </c>
      <c r="M1016" s="7">
        <f t="shared" si="166"/>
        <v>0</v>
      </c>
      <c r="N1016" s="7">
        <f t="shared" si="175"/>
        <v>0</v>
      </c>
      <c r="O1016" s="7">
        <f t="shared" si="174"/>
        <v>-50000</v>
      </c>
      <c r="P1016" s="99">
        <f t="shared" si="167"/>
        <v>-5.3705692803437165E-3</v>
      </c>
      <c r="Q1016" s="99">
        <f t="shared" si="176"/>
        <v>-2.0801672753832719E-2</v>
      </c>
      <c r="S1016" s="7">
        <f t="shared" si="168"/>
        <v>10186000</v>
      </c>
      <c r="T1016" s="7">
        <f t="shared" si="169"/>
        <v>3086666.6666666665</v>
      </c>
      <c r="U1016" s="7">
        <f t="shared" si="170"/>
        <v>9280000</v>
      </c>
      <c r="V1016" s="7">
        <f t="shared" si="171"/>
        <v>0</v>
      </c>
      <c r="W1016" s="7">
        <f t="shared" si="172"/>
        <v>0</v>
      </c>
      <c r="X1016" s="7">
        <f t="shared" si="173"/>
        <v>0</v>
      </c>
    </row>
    <row r="1017" spans="1:24">
      <c r="A1017">
        <v>1016</v>
      </c>
      <c r="B1017" s="96" t="s">
        <v>2587</v>
      </c>
      <c r="C1017" s="95">
        <v>41590</v>
      </c>
      <c r="D1017" s="82">
        <v>9240000</v>
      </c>
      <c r="E1017" s="82">
        <v>9240000</v>
      </c>
      <c r="F1017" s="82">
        <v>9270000</v>
      </c>
      <c r="G1017" s="82">
        <v>9240000</v>
      </c>
      <c r="I1017" s="82">
        <f>G1017*1.1</f>
        <v>10164000</v>
      </c>
      <c r="J1017" s="82">
        <f>G1017/3</f>
        <v>3080000</v>
      </c>
      <c r="K1017" s="7">
        <f>G1285</f>
        <v>9280000</v>
      </c>
      <c r="L1017" s="7">
        <f>K1017-I1017</f>
        <v>-884000</v>
      </c>
      <c r="M1017" s="7">
        <f t="shared" si="166"/>
        <v>385000</v>
      </c>
      <c r="N1017" s="7">
        <f t="shared" si="175"/>
        <v>-499000</v>
      </c>
      <c r="O1017" s="7">
        <f t="shared" si="174"/>
        <v>-20000</v>
      </c>
      <c r="P1017" s="99">
        <f t="shared" si="167"/>
        <v>-2.1598272138228943E-3</v>
      </c>
      <c r="Q1017" s="99">
        <f t="shared" si="176"/>
        <v>-2.0914618480022917E-2</v>
      </c>
      <c r="R1017">
        <v>1</v>
      </c>
      <c r="S1017" s="7">
        <f t="shared" si="168"/>
        <v>10164000</v>
      </c>
      <c r="T1017" s="7">
        <f t="shared" si="169"/>
        <v>3080000</v>
      </c>
      <c r="U1017" s="7">
        <f t="shared" si="170"/>
        <v>9280000</v>
      </c>
      <c r="V1017" s="7">
        <f t="shared" si="171"/>
        <v>-884000</v>
      </c>
      <c r="W1017" s="7">
        <f t="shared" si="172"/>
        <v>385000</v>
      </c>
      <c r="X1017" s="7">
        <f t="shared" si="173"/>
        <v>-499000</v>
      </c>
    </row>
    <row r="1018" spans="1:24">
      <c r="A1018">
        <v>1017</v>
      </c>
      <c r="B1018" s="96" t="s">
        <v>2586</v>
      </c>
      <c r="C1018" s="95">
        <v>41592</v>
      </c>
      <c r="D1018" s="82">
        <v>9290000</v>
      </c>
      <c r="E1018" s="82">
        <v>9290000</v>
      </c>
      <c r="F1018" s="82">
        <v>9290000</v>
      </c>
      <c r="G1018" s="82">
        <v>9290000</v>
      </c>
      <c r="I1018" s="97">
        <v>0</v>
      </c>
      <c r="J1018" s="97">
        <v>0</v>
      </c>
      <c r="K1018" s="97">
        <v>0</v>
      </c>
      <c r="M1018" s="7">
        <f t="shared" si="166"/>
        <v>0</v>
      </c>
      <c r="N1018" s="7">
        <f t="shared" si="175"/>
        <v>0</v>
      </c>
      <c r="O1018" s="7">
        <f t="shared" si="174"/>
        <v>50000</v>
      </c>
      <c r="P1018" s="99">
        <f t="shared" si="167"/>
        <v>5.411255411255411E-3</v>
      </c>
      <c r="Q1018" s="99">
        <f t="shared" si="176"/>
        <v>-2.6245693051139673E-2</v>
      </c>
      <c r="S1018" s="7">
        <f t="shared" si="168"/>
        <v>10219000</v>
      </c>
      <c r="T1018" s="7">
        <f t="shared" si="169"/>
        <v>3096666.6666666665</v>
      </c>
      <c r="U1018" s="7">
        <f t="shared" si="170"/>
        <v>9180000</v>
      </c>
      <c r="V1018" s="7">
        <f t="shared" si="171"/>
        <v>0</v>
      </c>
      <c r="W1018" s="7">
        <f t="shared" si="172"/>
        <v>0</v>
      </c>
      <c r="X1018" s="7">
        <f t="shared" si="173"/>
        <v>0</v>
      </c>
    </row>
    <row r="1019" spans="1:24">
      <c r="A1019">
        <v>1018</v>
      </c>
      <c r="B1019" s="96" t="s">
        <v>2585</v>
      </c>
      <c r="C1019" s="95">
        <v>41594</v>
      </c>
      <c r="D1019" s="82">
        <v>9270000</v>
      </c>
      <c r="E1019" s="82">
        <v>9270000</v>
      </c>
      <c r="F1019" s="82">
        <v>9310000</v>
      </c>
      <c r="G1019" s="82">
        <v>9280000</v>
      </c>
      <c r="I1019" s="97">
        <v>0</v>
      </c>
      <c r="J1019" s="97">
        <v>0</v>
      </c>
      <c r="K1019" s="97">
        <v>0</v>
      </c>
      <c r="M1019" s="7">
        <f t="shared" si="166"/>
        <v>0</v>
      </c>
      <c r="N1019" s="7">
        <f t="shared" si="175"/>
        <v>0</v>
      </c>
      <c r="O1019" s="7">
        <f t="shared" si="174"/>
        <v>-10000</v>
      </c>
      <c r="P1019" s="99">
        <f t="shared" si="167"/>
        <v>-1.076426264800861E-3</v>
      </c>
      <c r="Q1019" s="99">
        <f t="shared" si="176"/>
        <v>-1.5565733741043381E-2</v>
      </c>
      <c r="S1019" s="7">
        <f t="shared" si="168"/>
        <v>10208000</v>
      </c>
      <c r="T1019" s="7">
        <f t="shared" si="169"/>
        <v>3093333.3333333335</v>
      </c>
      <c r="U1019" s="7">
        <f t="shared" si="170"/>
        <v>9175000</v>
      </c>
      <c r="V1019" s="7">
        <f t="shared" si="171"/>
        <v>0</v>
      </c>
      <c r="W1019" s="7">
        <f t="shared" si="172"/>
        <v>0</v>
      </c>
      <c r="X1019" s="7">
        <f t="shared" si="173"/>
        <v>0</v>
      </c>
    </row>
    <row r="1020" spans="1:24">
      <c r="A1020">
        <v>1019</v>
      </c>
      <c r="B1020" s="96" t="s">
        <v>2584</v>
      </c>
      <c r="C1020" s="95">
        <v>41595</v>
      </c>
      <c r="D1020" s="82">
        <v>9270000</v>
      </c>
      <c r="E1020" s="82">
        <v>9240000</v>
      </c>
      <c r="F1020" s="82">
        <v>9280000</v>
      </c>
      <c r="G1020" s="82">
        <v>9240000</v>
      </c>
      <c r="I1020" s="97">
        <v>0</v>
      </c>
      <c r="J1020" s="97">
        <v>0</v>
      </c>
      <c r="K1020" s="97">
        <v>0</v>
      </c>
      <c r="M1020" s="7">
        <f t="shared" si="166"/>
        <v>0</v>
      </c>
      <c r="N1020" s="7">
        <f t="shared" si="175"/>
        <v>0</v>
      </c>
      <c r="O1020" s="7">
        <f t="shared" si="174"/>
        <v>-40000</v>
      </c>
      <c r="P1020" s="99">
        <f t="shared" si="167"/>
        <v>-4.3103448275862068E-3</v>
      </c>
      <c r="Q1020" s="99">
        <f t="shared" si="176"/>
        <v>9.3112298246642335E-3</v>
      </c>
      <c r="S1020" s="7">
        <f t="shared" si="168"/>
        <v>10164000</v>
      </c>
      <c r="T1020" s="7">
        <f t="shared" si="169"/>
        <v>3080000</v>
      </c>
      <c r="U1020" s="7">
        <f t="shared" si="170"/>
        <v>9270000</v>
      </c>
      <c r="V1020" s="7">
        <f t="shared" si="171"/>
        <v>0</v>
      </c>
      <c r="W1020" s="7">
        <f t="shared" si="172"/>
        <v>0</v>
      </c>
      <c r="X1020" s="7">
        <f t="shared" si="173"/>
        <v>0</v>
      </c>
    </row>
    <row r="1021" spans="1:24">
      <c r="A1021">
        <v>1020</v>
      </c>
      <c r="B1021" s="96" t="s">
        <v>2583</v>
      </c>
      <c r="C1021" s="95">
        <v>41596</v>
      </c>
      <c r="D1021" s="82">
        <v>9240000</v>
      </c>
      <c r="E1021" s="82">
        <v>9135000</v>
      </c>
      <c r="F1021" s="82">
        <v>9240000</v>
      </c>
      <c r="G1021" s="82">
        <v>9160000</v>
      </c>
      <c r="I1021" s="98">
        <v>0</v>
      </c>
      <c r="J1021" s="98">
        <v>0</v>
      </c>
      <c r="K1021" s="98">
        <v>0</v>
      </c>
      <c r="M1021" s="7">
        <f t="shared" si="166"/>
        <v>0</v>
      </c>
      <c r="N1021" s="7">
        <f t="shared" si="175"/>
        <v>0</v>
      </c>
      <c r="O1021" s="7">
        <f t="shared" si="174"/>
        <v>-80000</v>
      </c>
      <c r="P1021" s="99">
        <f t="shared" si="167"/>
        <v>-8.658008658008658E-3</v>
      </c>
      <c r="Q1021" s="99">
        <f t="shared" si="176"/>
        <v>-7.5059121752982672E-3</v>
      </c>
      <c r="S1021" s="7">
        <f t="shared" si="168"/>
        <v>10076000</v>
      </c>
      <c r="T1021" s="7">
        <f t="shared" si="169"/>
        <v>3053333.3333333335</v>
      </c>
      <c r="U1021" s="7">
        <f t="shared" si="170"/>
        <v>9175000</v>
      </c>
      <c r="V1021" s="7">
        <f t="shared" si="171"/>
        <v>0</v>
      </c>
      <c r="W1021" s="7">
        <f t="shared" si="172"/>
        <v>0</v>
      </c>
      <c r="X1021" s="7">
        <f t="shared" si="173"/>
        <v>0</v>
      </c>
    </row>
    <row r="1022" spans="1:24">
      <c r="A1022">
        <v>1021</v>
      </c>
      <c r="B1022" s="96" t="s">
        <v>2582</v>
      </c>
      <c r="C1022" s="95">
        <v>41597</v>
      </c>
      <c r="D1022" s="82">
        <v>9145000</v>
      </c>
      <c r="E1022" s="82">
        <v>9065000</v>
      </c>
      <c r="F1022" s="82">
        <v>9170000</v>
      </c>
      <c r="G1022" s="82">
        <v>9170000</v>
      </c>
      <c r="I1022" s="82">
        <f>G1022*1.1</f>
        <v>10087000</v>
      </c>
      <c r="J1022" s="82">
        <f>G1022/3</f>
        <v>3056666.6666666665</v>
      </c>
      <c r="K1022" s="7">
        <f>G1290</f>
        <v>9270000</v>
      </c>
      <c r="L1022" s="7">
        <f>K1022-I1022</f>
        <v>-817000</v>
      </c>
      <c r="M1022" s="7">
        <f t="shared" si="166"/>
        <v>382083.33333333326</v>
      </c>
      <c r="N1022" s="7">
        <f t="shared" si="175"/>
        <v>-434916.66666666674</v>
      </c>
      <c r="O1022" s="7">
        <f t="shared" si="174"/>
        <v>10000</v>
      </c>
      <c r="P1022" s="99">
        <f t="shared" si="167"/>
        <v>1.0917030567685589E-3</v>
      </c>
      <c r="Q1022" s="99">
        <f t="shared" si="176"/>
        <v>-1.079335155296321E-2</v>
      </c>
      <c r="R1022">
        <v>1</v>
      </c>
      <c r="S1022" s="7">
        <f t="shared" si="168"/>
        <v>10087000</v>
      </c>
      <c r="T1022" s="7">
        <f t="shared" si="169"/>
        <v>3056666.6666666665</v>
      </c>
      <c r="U1022" s="7">
        <f t="shared" si="170"/>
        <v>9270000</v>
      </c>
      <c r="V1022" s="7">
        <f t="shared" si="171"/>
        <v>-817000</v>
      </c>
      <c r="W1022" s="7">
        <f t="shared" si="172"/>
        <v>382083.33333333326</v>
      </c>
      <c r="X1022" s="7">
        <f t="shared" si="173"/>
        <v>-434916.66666666674</v>
      </c>
    </row>
    <row r="1023" spans="1:24">
      <c r="A1023">
        <v>1022</v>
      </c>
      <c r="B1023" s="96" t="s">
        <v>2581</v>
      </c>
      <c r="C1023" s="95">
        <v>41598</v>
      </c>
      <c r="D1023" s="82">
        <v>9190000</v>
      </c>
      <c r="E1023" s="82">
        <v>9080000</v>
      </c>
      <c r="F1023" s="82">
        <v>9200000</v>
      </c>
      <c r="G1023" s="82">
        <v>9110000</v>
      </c>
      <c r="I1023" s="97">
        <v>0</v>
      </c>
      <c r="J1023" s="97">
        <v>0</v>
      </c>
      <c r="K1023" s="97">
        <v>0</v>
      </c>
      <c r="M1023" s="7">
        <f t="shared" si="166"/>
        <v>0</v>
      </c>
      <c r="N1023" s="7">
        <f t="shared" si="175"/>
        <v>0</v>
      </c>
      <c r="O1023" s="7">
        <f t="shared" si="174"/>
        <v>-60000</v>
      </c>
      <c r="P1023" s="99">
        <f t="shared" si="167"/>
        <v>-6.5430752453653216E-3</v>
      </c>
      <c r="Q1023" s="99">
        <f t="shared" si="176"/>
        <v>-7.541821282371756E-3</v>
      </c>
      <c r="S1023" s="7">
        <f t="shared" si="168"/>
        <v>10021000</v>
      </c>
      <c r="T1023" s="7">
        <f t="shared" si="169"/>
        <v>3036666.6666666665</v>
      </c>
      <c r="U1023" s="7">
        <f t="shared" si="170"/>
        <v>9220000</v>
      </c>
      <c r="V1023" s="7">
        <f t="shared" si="171"/>
        <v>0</v>
      </c>
      <c r="W1023" s="7">
        <f t="shared" si="172"/>
        <v>0</v>
      </c>
      <c r="X1023" s="7">
        <f t="shared" si="173"/>
        <v>0</v>
      </c>
    </row>
    <row r="1024" spans="1:24">
      <c r="A1024">
        <v>1023</v>
      </c>
      <c r="B1024" s="96" t="s">
        <v>2580</v>
      </c>
      <c r="C1024" s="95">
        <v>41599</v>
      </c>
      <c r="D1024" s="82">
        <v>9050000</v>
      </c>
      <c r="E1024" s="82">
        <v>8970000</v>
      </c>
      <c r="F1024" s="82">
        <v>9050000</v>
      </c>
      <c r="G1024" s="82">
        <v>8990000</v>
      </c>
      <c r="I1024" s="97">
        <v>0</v>
      </c>
      <c r="J1024" s="97">
        <v>0</v>
      </c>
      <c r="K1024" s="97">
        <v>0</v>
      </c>
      <c r="M1024" s="7">
        <f t="shared" si="166"/>
        <v>0</v>
      </c>
      <c r="N1024" s="7">
        <f t="shared" si="175"/>
        <v>0</v>
      </c>
      <c r="O1024" s="7">
        <f t="shared" si="174"/>
        <v>-120000</v>
      </c>
      <c r="P1024" s="99">
        <f t="shared" si="167"/>
        <v>-1.3172338090010977E-2</v>
      </c>
      <c r="Q1024" s="99">
        <f t="shared" si="176"/>
        <v>-1.9496151938992488E-2</v>
      </c>
      <c r="S1024" s="7">
        <f t="shared" si="168"/>
        <v>9889000</v>
      </c>
      <c r="T1024" s="7">
        <f t="shared" si="169"/>
        <v>2996666.6666666665</v>
      </c>
      <c r="U1024" s="7">
        <f t="shared" si="170"/>
        <v>9220000</v>
      </c>
      <c r="V1024" s="7">
        <f t="shared" si="171"/>
        <v>0</v>
      </c>
      <c r="W1024" s="7">
        <f t="shared" si="172"/>
        <v>0</v>
      </c>
      <c r="X1024" s="7">
        <f t="shared" si="173"/>
        <v>0</v>
      </c>
    </row>
    <row r="1025" spans="1:24">
      <c r="A1025">
        <v>1024</v>
      </c>
      <c r="B1025" s="96" t="s">
        <v>2579</v>
      </c>
      <c r="C1025" s="95">
        <v>41601</v>
      </c>
      <c r="D1025" s="82">
        <v>8890000</v>
      </c>
      <c r="E1025" s="82">
        <v>8790000</v>
      </c>
      <c r="F1025" s="82">
        <v>8920000</v>
      </c>
      <c r="G1025" s="82">
        <v>8850000</v>
      </c>
      <c r="I1025" s="97">
        <v>0</v>
      </c>
      <c r="J1025" s="97">
        <v>0</v>
      </c>
      <c r="K1025" s="97">
        <v>0</v>
      </c>
      <c r="M1025" s="7">
        <f t="shared" si="166"/>
        <v>0</v>
      </c>
      <c r="N1025" s="7">
        <f t="shared" si="175"/>
        <v>0</v>
      </c>
      <c r="O1025" s="7">
        <f t="shared" si="174"/>
        <v>-140000</v>
      </c>
      <c r="P1025" s="99">
        <f t="shared" si="167"/>
        <v>-1.557285873192436E-2</v>
      </c>
      <c r="Q1025" s="99">
        <f t="shared" si="176"/>
        <v>-3.1592063764202608E-2</v>
      </c>
      <c r="S1025" s="7">
        <f t="shared" si="168"/>
        <v>9735000</v>
      </c>
      <c r="T1025" s="7">
        <f t="shared" si="169"/>
        <v>2950000</v>
      </c>
      <c r="U1025" s="7">
        <f t="shared" si="170"/>
        <v>9360000</v>
      </c>
      <c r="V1025" s="7">
        <f t="shared" si="171"/>
        <v>0</v>
      </c>
      <c r="W1025" s="7">
        <f t="shared" si="172"/>
        <v>0</v>
      </c>
      <c r="X1025" s="7">
        <f t="shared" si="173"/>
        <v>0</v>
      </c>
    </row>
    <row r="1026" spans="1:24">
      <c r="A1026">
        <v>1025</v>
      </c>
      <c r="B1026" s="96" t="s">
        <v>2578</v>
      </c>
      <c r="C1026" s="95">
        <v>41602</v>
      </c>
      <c r="D1026" s="82">
        <v>8510000</v>
      </c>
      <c r="E1026" s="82">
        <v>8280000</v>
      </c>
      <c r="F1026" s="82">
        <v>8560000</v>
      </c>
      <c r="G1026" s="82">
        <v>8280000</v>
      </c>
      <c r="I1026" s="98">
        <v>0</v>
      </c>
      <c r="J1026" s="98">
        <v>0</v>
      </c>
      <c r="K1026" s="98">
        <v>0</v>
      </c>
      <c r="M1026" s="7">
        <f t="shared" ref="M1026:M1089" si="177">J1026*$AI$6/200</f>
        <v>0</v>
      </c>
      <c r="N1026" s="7">
        <f t="shared" si="175"/>
        <v>0</v>
      </c>
      <c r="O1026" s="7">
        <f t="shared" si="174"/>
        <v>-570000</v>
      </c>
      <c r="P1026" s="99">
        <f t="shared" si="167"/>
        <v>-6.4406779661016947E-2</v>
      </c>
      <c r="Q1026" s="99">
        <f t="shared" si="176"/>
        <v>-4.2854577668540755E-2</v>
      </c>
      <c r="S1026" s="7">
        <f t="shared" si="168"/>
        <v>9108000</v>
      </c>
      <c r="T1026" s="7">
        <f t="shared" si="169"/>
        <v>2760000</v>
      </c>
      <c r="U1026" s="7">
        <f t="shared" si="170"/>
        <v>9390000</v>
      </c>
      <c r="V1026" s="7">
        <f t="shared" si="171"/>
        <v>0</v>
      </c>
      <c r="W1026" s="7">
        <f t="shared" si="172"/>
        <v>0</v>
      </c>
      <c r="X1026" s="7">
        <f t="shared" si="173"/>
        <v>0</v>
      </c>
    </row>
    <row r="1027" spans="1:24">
      <c r="A1027">
        <v>1026</v>
      </c>
      <c r="B1027" s="96" t="s">
        <v>2577</v>
      </c>
      <c r="C1027" s="95">
        <v>41603</v>
      </c>
      <c r="D1027" s="82">
        <v>8200000</v>
      </c>
      <c r="E1027" s="82">
        <v>8200000</v>
      </c>
      <c r="F1027" s="82">
        <v>8460000</v>
      </c>
      <c r="G1027" s="82">
        <v>8430000</v>
      </c>
      <c r="I1027" s="82">
        <f>G1027*1.1</f>
        <v>9273000</v>
      </c>
      <c r="J1027" s="82">
        <f>G1027/3</f>
        <v>2810000</v>
      </c>
      <c r="K1027" s="7">
        <f>G1295</f>
        <v>9385000</v>
      </c>
      <c r="L1027" s="7">
        <f>K1027-I1027</f>
        <v>112000</v>
      </c>
      <c r="M1027" s="7">
        <f t="shared" si="177"/>
        <v>351250</v>
      </c>
      <c r="N1027" s="7">
        <f t="shared" si="175"/>
        <v>463250</v>
      </c>
      <c r="O1027" s="7">
        <f t="shared" si="174"/>
        <v>150000</v>
      </c>
      <c r="P1027" s="99">
        <f t="shared" ref="P1027:P1090" si="178">O1027/G1026</f>
        <v>1.8115942028985508E-2</v>
      </c>
      <c r="Q1027" s="99">
        <f t="shared" si="176"/>
        <v>-9.8603348671549046E-2</v>
      </c>
      <c r="R1027">
        <v>1</v>
      </c>
      <c r="S1027" s="7">
        <f t="shared" ref="S1027:S1090" si="179">G1027*1.1</f>
        <v>9273000</v>
      </c>
      <c r="T1027" s="7">
        <f t="shared" ref="T1027:T1090" si="180">G1027/3</f>
        <v>2810000</v>
      </c>
      <c r="U1027" s="7">
        <f t="shared" ref="U1027:U1090" si="181">G1295</f>
        <v>9385000</v>
      </c>
      <c r="V1027" s="7">
        <f t="shared" ref="V1027:V1090" si="182">(U1027-S1027)*R1027</f>
        <v>112000</v>
      </c>
      <c r="W1027" s="7">
        <f t="shared" ref="W1027:W1090" si="183">(T1027*$AI$6/200)*R1027</f>
        <v>351250</v>
      </c>
      <c r="X1027" s="7">
        <f t="shared" ref="X1027:X1090" si="184">V1027+W1027</f>
        <v>463250</v>
      </c>
    </row>
    <row r="1028" spans="1:24">
      <c r="A1028">
        <v>1027</v>
      </c>
      <c r="B1028" s="96" t="s">
        <v>2576</v>
      </c>
      <c r="C1028" s="95">
        <v>41604</v>
      </c>
      <c r="D1028" s="82">
        <v>8580000</v>
      </c>
      <c r="E1028" s="82">
        <v>8570000</v>
      </c>
      <c r="F1028" s="82">
        <v>8700000</v>
      </c>
      <c r="G1028" s="82">
        <v>8590000</v>
      </c>
      <c r="I1028" s="97">
        <v>0</v>
      </c>
      <c r="J1028" s="97">
        <v>0</v>
      </c>
      <c r="K1028" s="97">
        <v>0</v>
      </c>
      <c r="M1028" s="7">
        <f t="shared" si="177"/>
        <v>0</v>
      </c>
      <c r="N1028" s="7">
        <f t="shared" si="175"/>
        <v>0</v>
      </c>
      <c r="O1028" s="7">
        <f t="shared" ref="O1028:O1091" si="185">G1028-G1027</f>
        <v>160000</v>
      </c>
      <c r="P1028" s="99">
        <f t="shared" si="178"/>
        <v>1.8979833926453145E-2</v>
      </c>
      <c r="Q1028" s="99">
        <f t="shared" si="176"/>
        <v>-8.1579109699332103E-2</v>
      </c>
      <c r="S1028" s="7">
        <f t="shared" si="179"/>
        <v>9449000</v>
      </c>
      <c r="T1028" s="7">
        <f t="shared" si="180"/>
        <v>2863333.3333333335</v>
      </c>
      <c r="U1028" s="7">
        <f t="shared" si="181"/>
        <v>9345000</v>
      </c>
      <c r="V1028" s="7">
        <f t="shared" si="182"/>
        <v>0</v>
      </c>
      <c r="W1028" s="7">
        <f t="shared" si="183"/>
        <v>0</v>
      </c>
      <c r="X1028" s="7">
        <f t="shared" si="184"/>
        <v>0</v>
      </c>
    </row>
    <row r="1029" spans="1:24">
      <c r="A1029">
        <v>1028</v>
      </c>
      <c r="B1029" s="96" t="s">
        <v>2575</v>
      </c>
      <c r="C1029" s="95">
        <v>41605</v>
      </c>
      <c r="D1029" s="82">
        <v>8590000</v>
      </c>
      <c r="E1029" s="82">
        <v>8590000</v>
      </c>
      <c r="F1029" s="82">
        <v>8770000</v>
      </c>
      <c r="G1029" s="82">
        <v>8680000</v>
      </c>
      <c r="I1029" s="97">
        <v>0</v>
      </c>
      <c r="J1029" s="97">
        <v>0</v>
      </c>
      <c r="K1029" s="97">
        <v>0</v>
      </c>
      <c r="M1029" s="7">
        <f t="shared" si="177"/>
        <v>0</v>
      </c>
      <c r="N1029" s="7">
        <f t="shared" si="175"/>
        <v>0</v>
      </c>
      <c r="O1029" s="7">
        <f t="shared" si="185"/>
        <v>90000</v>
      </c>
      <c r="P1029" s="99">
        <f t="shared" si="178"/>
        <v>1.0477299185098952E-2</v>
      </c>
      <c r="Q1029" s="99">
        <f t="shared" si="176"/>
        <v>-5.6056200527513637E-2</v>
      </c>
      <c r="S1029" s="7">
        <f t="shared" si="179"/>
        <v>9548000</v>
      </c>
      <c r="T1029" s="7">
        <f t="shared" si="180"/>
        <v>2893333.3333333335</v>
      </c>
      <c r="U1029" s="7">
        <f t="shared" si="181"/>
        <v>9345000</v>
      </c>
      <c r="V1029" s="7">
        <f t="shared" si="182"/>
        <v>0</v>
      </c>
      <c r="W1029" s="7">
        <f t="shared" si="183"/>
        <v>0</v>
      </c>
      <c r="X1029" s="7">
        <f t="shared" si="184"/>
        <v>0</v>
      </c>
    </row>
    <row r="1030" spans="1:24">
      <c r="A1030">
        <v>1029</v>
      </c>
      <c r="B1030" s="96" t="s">
        <v>2574</v>
      </c>
      <c r="C1030" s="95">
        <v>41606</v>
      </c>
      <c r="D1030" s="82">
        <v>8630000</v>
      </c>
      <c r="E1030" s="82">
        <v>8550000</v>
      </c>
      <c r="F1030" s="82">
        <v>8685000</v>
      </c>
      <c r="G1030" s="82">
        <v>8590000</v>
      </c>
      <c r="I1030" s="97">
        <v>0</v>
      </c>
      <c r="J1030" s="97">
        <v>0</v>
      </c>
      <c r="K1030" s="97">
        <v>0</v>
      </c>
      <c r="M1030" s="7">
        <f t="shared" si="177"/>
        <v>0</v>
      </c>
      <c r="N1030" s="7">
        <f t="shared" si="175"/>
        <v>0</v>
      </c>
      <c r="O1030" s="7">
        <f t="shared" si="185"/>
        <v>-90000</v>
      </c>
      <c r="P1030" s="99">
        <f t="shared" si="178"/>
        <v>-1.0368663594470046E-2</v>
      </c>
      <c r="Q1030" s="99">
        <f t="shared" si="176"/>
        <v>-3.2406563252403708E-2</v>
      </c>
      <c r="S1030" s="7">
        <f t="shared" si="179"/>
        <v>9449000</v>
      </c>
      <c r="T1030" s="7">
        <f t="shared" si="180"/>
        <v>2863333.3333333335</v>
      </c>
      <c r="U1030" s="7">
        <f t="shared" si="181"/>
        <v>9345000</v>
      </c>
      <c r="V1030" s="7">
        <f t="shared" si="182"/>
        <v>0</v>
      </c>
      <c r="W1030" s="7">
        <f t="shared" si="183"/>
        <v>0</v>
      </c>
      <c r="X1030" s="7">
        <f t="shared" si="184"/>
        <v>0</v>
      </c>
    </row>
    <row r="1031" spans="1:24">
      <c r="A1031">
        <v>1030</v>
      </c>
      <c r="B1031" s="96" t="s">
        <v>2573</v>
      </c>
      <c r="C1031" s="95">
        <v>41608</v>
      </c>
      <c r="D1031" s="82">
        <v>8650000</v>
      </c>
      <c r="E1031" s="82">
        <v>8650000</v>
      </c>
      <c r="F1031" s="82">
        <v>8710000</v>
      </c>
      <c r="G1031" s="82">
        <v>8710000</v>
      </c>
      <c r="I1031" s="98">
        <v>0</v>
      </c>
      <c r="J1031" s="98">
        <v>0</v>
      </c>
      <c r="K1031" s="98">
        <v>0</v>
      </c>
      <c r="M1031" s="7">
        <f t="shared" si="177"/>
        <v>0</v>
      </c>
      <c r="N1031" s="7">
        <f t="shared" si="175"/>
        <v>0</v>
      </c>
      <c r="O1031" s="7">
        <f t="shared" si="185"/>
        <v>120000</v>
      </c>
      <c r="P1031" s="99">
        <f t="shared" si="178"/>
        <v>1.3969732246798603E-2</v>
      </c>
      <c r="Q1031" s="99">
        <f t="shared" si="176"/>
        <v>-2.7202368114949391E-2</v>
      </c>
      <c r="S1031" s="7">
        <f t="shared" si="179"/>
        <v>9581000</v>
      </c>
      <c r="T1031" s="7">
        <f t="shared" si="180"/>
        <v>2903333.3333333335</v>
      </c>
      <c r="U1031" s="7">
        <f t="shared" si="181"/>
        <v>9345000</v>
      </c>
      <c r="V1031" s="7">
        <f t="shared" si="182"/>
        <v>0</v>
      </c>
      <c r="W1031" s="7">
        <f t="shared" si="183"/>
        <v>0</v>
      </c>
      <c r="X1031" s="7">
        <f t="shared" si="184"/>
        <v>0</v>
      </c>
    </row>
    <row r="1032" spans="1:24">
      <c r="A1032">
        <v>1031</v>
      </c>
      <c r="B1032" s="96" t="s">
        <v>2572</v>
      </c>
      <c r="C1032" s="95">
        <v>41609</v>
      </c>
      <c r="D1032" s="82">
        <v>8740000</v>
      </c>
      <c r="E1032" s="82">
        <v>8705000</v>
      </c>
      <c r="F1032" s="82">
        <v>8800000</v>
      </c>
      <c r="G1032" s="82">
        <v>8800000</v>
      </c>
      <c r="I1032" s="82">
        <f>G1032*1.1</f>
        <v>9680000</v>
      </c>
      <c r="J1032" s="82">
        <f>G1032/3</f>
        <v>2933333.3333333335</v>
      </c>
      <c r="K1032" s="7">
        <f>G1300</f>
        <v>9295000</v>
      </c>
      <c r="L1032" s="7">
        <f>K1032-I1032</f>
        <v>-385000</v>
      </c>
      <c r="M1032" s="7">
        <f t="shared" si="177"/>
        <v>366666.66666666674</v>
      </c>
      <c r="N1032" s="7">
        <f t="shared" ref="N1032:N1095" si="186">L1032+M1032</f>
        <v>-18333.333333333256</v>
      </c>
      <c r="O1032" s="7">
        <f t="shared" si="185"/>
        <v>90000</v>
      </c>
      <c r="P1032" s="99">
        <f t="shared" si="178"/>
        <v>1.0332950631458095E-2</v>
      </c>
      <c r="Q1032" s="99">
        <f t="shared" ref="Q1032:Q1095" si="187">SUM(P1027:P1031)</f>
        <v>5.117414379286616E-2</v>
      </c>
      <c r="R1032">
        <v>1</v>
      </c>
      <c r="S1032" s="7">
        <f t="shared" si="179"/>
        <v>9680000</v>
      </c>
      <c r="T1032" s="7">
        <f t="shared" si="180"/>
        <v>2933333.3333333335</v>
      </c>
      <c r="U1032" s="7">
        <f t="shared" si="181"/>
        <v>9295000</v>
      </c>
      <c r="V1032" s="7">
        <f t="shared" si="182"/>
        <v>-385000</v>
      </c>
      <c r="W1032" s="7">
        <f t="shared" si="183"/>
        <v>366666.66666666674</v>
      </c>
      <c r="X1032" s="7">
        <f t="shared" si="184"/>
        <v>-18333.333333333256</v>
      </c>
    </row>
    <row r="1033" spans="1:24">
      <c r="A1033">
        <v>1032</v>
      </c>
      <c r="B1033" s="96" t="s">
        <v>2571</v>
      </c>
      <c r="C1033" s="95">
        <v>41610</v>
      </c>
      <c r="D1033" s="82">
        <v>8770000</v>
      </c>
      <c r="E1033" s="82">
        <v>8660000</v>
      </c>
      <c r="F1033" s="82">
        <v>8770000</v>
      </c>
      <c r="G1033" s="82">
        <v>8670000</v>
      </c>
      <c r="I1033" s="97">
        <v>0</v>
      </c>
      <c r="J1033" s="97">
        <v>0</v>
      </c>
      <c r="K1033" s="97">
        <v>0</v>
      </c>
      <c r="M1033" s="7">
        <f t="shared" si="177"/>
        <v>0</v>
      </c>
      <c r="N1033" s="7">
        <f t="shared" si="186"/>
        <v>0</v>
      </c>
      <c r="O1033" s="7">
        <f t="shared" si="185"/>
        <v>-130000</v>
      </c>
      <c r="P1033" s="99">
        <f t="shared" si="178"/>
        <v>-1.4772727272727272E-2</v>
      </c>
      <c r="Q1033" s="99">
        <f t="shared" si="187"/>
        <v>4.339115239533875E-2</v>
      </c>
      <c r="S1033" s="7">
        <f t="shared" si="179"/>
        <v>9537000</v>
      </c>
      <c r="T1033" s="7">
        <f t="shared" si="180"/>
        <v>2890000</v>
      </c>
      <c r="U1033" s="7">
        <f t="shared" si="181"/>
        <v>9295000</v>
      </c>
      <c r="V1033" s="7">
        <f t="shared" si="182"/>
        <v>0</v>
      </c>
      <c r="W1033" s="7">
        <f t="shared" si="183"/>
        <v>0</v>
      </c>
      <c r="X1033" s="7">
        <f t="shared" si="184"/>
        <v>0</v>
      </c>
    </row>
    <row r="1034" spans="1:24">
      <c r="A1034">
        <v>1033</v>
      </c>
      <c r="B1034" s="96" t="s">
        <v>2570</v>
      </c>
      <c r="C1034" s="95">
        <v>41611</v>
      </c>
      <c r="D1034" s="82">
        <v>8550000</v>
      </c>
      <c r="E1034" s="82">
        <v>8490000</v>
      </c>
      <c r="F1034" s="82">
        <v>8580000</v>
      </c>
      <c r="G1034" s="82">
        <v>8580000</v>
      </c>
      <c r="I1034" s="97">
        <v>0</v>
      </c>
      <c r="J1034" s="97">
        <v>0</v>
      </c>
      <c r="K1034" s="97">
        <v>0</v>
      </c>
      <c r="M1034" s="7">
        <f t="shared" si="177"/>
        <v>0</v>
      </c>
      <c r="N1034" s="7">
        <f t="shared" si="186"/>
        <v>0</v>
      </c>
      <c r="O1034" s="7">
        <f t="shared" si="185"/>
        <v>-90000</v>
      </c>
      <c r="P1034" s="99">
        <f t="shared" si="178"/>
        <v>-1.0380622837370242E-2</v>
      </c>
      <c r="Q1034" s="99">
        <f t="shared" si="187"/>
        <v>9.6385911961583328E-3</v>
      </c>
      <c r="S1034" s="7">
        <f t="shared" si="179"/>
        <v>9438000</v>
      </c>
      <c r="T1034" s="7">
        <f t="shared" si="180"/>
        <v>2860000</v>
      </c>
      <c r="U1034" s="7">
        <f t="shared" si="181"/>
        <v>9285000</v>
      </c>
      <c r="V1034" s="7">
        <f t="shared" si="182"/>
        <v>0</v>
      </c>
      <c r="W1034" s="7">
        <f t="shared" si="183"/>
        <v>0</v>
      </c>
      <c r="X1034" s="7">
        <f t="shared" si="184"/>
        <v>0</v>
      </c>
    </row>
    <row r="1035" spans="1:24">
      <c r="A1035">
        <v>1034</v>
      </c>
      <c r="B1035" s="96" t="s">
        <v>2569</v>
      </c>
      <c r="C1035" s="95">
        <v>41612</v>
      </c>
      <c r="D1035" s="82">
        <v>8560000</v>
      </c>
      <c r="E1035" s="82">
        <v>8535000</v>
      </c>
      <c r="F1035" s="82">
        <v>8650000</v>
      </c>
      <c r="G1035" s="82">
        <v>8640000</v>
      </c>
      <c r="I1035" s="97">
        <v>0</v>
      </c>
      <c r="J1035" s="97">
        <v>0</v>
      </c>
      <c r="K1035" s="97">
        <v>0</v>
      </c>
      <c r="M1035" s="7">
        <f t="shared" si="177"/>
        <v>0</v>
      </c>
      <c r="N1035" s="7">
        <f t="shared" si="186"/>
        <v>0</v>
      </c>
      <c r="O1035" s="7">
        <f t="shared" si="185"/>
        <v>60000</v>
      </c>
      <c r="P1035" s="99">
        <f t="shared" si="178"/>
        <v>6.993006993006993E-3</v>
      </c>
      <c r="Q1035" s="99">
        <f t="shared" si="187"/>
        <v>-1.1219330826310863E-2</v>
      </c>
      <c r="S1035" s="7">
        <f t="shared" si="179"/>
        <v>9504000</v>
      </c>
      <c r="T1035" s="7">
        <f t="shared" si="180"/>
        <v>2880000</v>
      </c>
      <c r="U1035" s="7">
        <f t="shared" si="181"/>
        <v>9365000</v>
      </c>
      <c r="V1035" s="7">
        <f t="shared" si="182"/>
        <v>0</v>
      </c>
      <c r="W1035" s="7">
        <f t="shared" si="183"/>
        <v>0</v>
      </c>
      <c r="X1035" s="7">
        <f t="shared" si="184"/>
        <v>0</v>
      </c>
    </row>
    <row r="1036" spans="1:24">
      <c r="A1036">
        <v>1035</v>
      </c>
      <c r="B1036" s="96" t="s">
        <v>2568</v>
      </c>
      <c r="C1036" s="95">
        <v>41613</v>
      </c>
      <c r="D1036" s="82">
        <v>8690000</v>
      </c>
      <c r="E1036" s="82">
        <v>8550000</v>
      </c>
      <c r="F1036" s="82">
        <v>8690000</v>
      </c>
      <c r="G1036" s="82">
        <v>8550000</v>
      </c>
      <c r="I1036" s="98">
        <v>0</v>
      </c>
      <c r="J1036" s="98">
        <v>0</v>
      </c>
      <c r="K1036" s="98">
        <v>0</v>
      </c>
      <c r="M1036" s="7">
        <f t="shared" si="177"/>
        <v>0</v>
      </c>
      <c r="N1036" s="7">
        <f t="shared" si="186"/>
        <v>0</v>
      </c>
      <c r="O1036" s="7">
        <f t="shared" si="185"/>
        <v>-90000</v>
      </c>
      <c r="P1036" s="99">
        <f t="shared" si="178"/>
        <v>-1.0416666666666666E-2</v>
      </c>
      <c r="Q1036" s="99">
        <f t="shared" si="187"/>
        <v>6.1423397611661745E-3</v>
      </c>
      <c r="S1036" s="7">
        <f t="shared" si="179"/>
        <v>9405000</v>
      </c>
      <c r="T1036" s="7">
        <f t="shared" si="180"/>
        <v>2850000</v>
      </c>
      <c r="U1036" s="7">
        <f t="shared" si="181"/>
        <v>9395000</v>
      </c>
      <c r="V1036" s="7">
        <f t="shared" si="182"/>
        <v>0</v>
      </c>
      <c r="W1036" s="7">
        <f t="shared" si="183"/>
        <v>0</v>
      </c>
      <c r="X1036" s="7">
        <f t="shared" si="184"/>
        <v>0</v>
      </c>
    </row>
    <row r="1037" spans="1:24">
      <c r="A1037">
        <v>1036</v>
      </c>
      <c r="B1037" s="96" t="s">
        <v>2567</v>
      </c>
      <c r="C1037" s="95">
        <v>41615</v>
      </c>
      <c r="D1037" s="82">
        <v>8600000</v>
      </c>
      <c r="E1037" s="82">
        <v>8590000</v>
      </c>
      <c r="F1037" s="82">
        <v>8640000</v>
      </c>
      <c r="G1037" s="82">
        <v>8635000</v>
      </c>
      <c r="I1037" s="82">
        <f>G1037*1.1</f>
        <v>9498500</v>
      </c>
      <c r="J1037" s="82">
        <f>G1037/3</f>
        <v>2878333.3333333335</v>
      </c>
      <c r="K1037" s="7">
        <f>G1305</f>
        <v>9460000</v>
      </c>
      <c r="L1037" s="7">
        <f>K1037-I1037</f>
        <v>-38500</v>
      </c>
      <c r="M1037" s="7">
        <f t="shared" si="177"/>
        <v>359791.66666666674</v>
      </c>
      <c r="N1037" s="7">
        <f t="shared" si="186"/>
        <v>321291.66666666674</v>
      </c>
      <c r="O1037" s="7">
        <f t="shared" si="185"/>
        <v>85000</v>
      </c>
      <c r="P1037" s="99">
        <f t="shared" si="178"/>
        <v>9.9415204678362581E-3</v>
      </c>
      <c r="Q1037" s="99">
        <f t="shared" si="187"/>
        <v>-1.824405915229909E-2</v>
      </c>
      <c r="R1037">
        <v>1</v>
      </c>
      <c r="S1037" s="7">
        <f t="shared" si="179"/>
        <v>9498500</v>
      </c>
      <c r="T1037" s="7">
        <f t="shared" si="180"/>
        <v>2878333.3333333335</v>
      </c>
      <c r="U1037" s="7">
        <f t="shared" si="181"/>
        <v>9460000</v>
      </c>
      <c r="V1037" s="7">
        <f t="shared" si="182"/>
        <v>-38500</v>
      </c>
      <c r="W1037" s="7">
        <f t="shared" si="183"/>
        <v>359791.66666666674</v>
      </c>
      <c r="X1037" s="7">
        <f t="shared" si="184"/>
        <v>321291.66666666674</v>
      </c>
    </row>
    <row r="1038" spans="1:24">
      <c r="A1038">
        <v>1037</v>
      </c>
      <c r="B1038" s="96" t="s">
        <v>2566</v>
      </c>
      <c r="C1038" s="95">
        <v>41616</v>
      </c>
      <c r="D1038" s="82">
        <v>8615000</v>
      </c>
      <c r="E1038" s="82">
        <v>8615000</v>
      </c>
      <c r="F1038" s="82">
        <v>8660000</v>
      </c>
      <c r="G1038" s="82">
        <v>8650000</v>
      </c>
      <c r="I1038" s="97">
        <v>0</v>
      </c>
      <c r="J1038" s="97">
        <v>0</v>
      </c>
      <c r="K1038" s="97">
        <v>0</v>
      </c>
      <c r="M1038" s="7">
        <f t="shared" si="177"/>
        <v>0</v>
      </c>
      <c r="N1038" s="7">
        <f t="shared" si="186"/>
        <v>0</v>
      </c>
      <c r="O1038" s="7">
        <f t="shared" si="185"/>
        <v>15000</v>
      </c>
      <c r="P1038" s="99">
        <f t="shared" si="178"/>
        <v>1.7371163867979154E-3</v>
      </c>
      <c r="Q1038" s="99">
        <f t="shared" si="187"/>
        <v>-1.8635489315920926E-2</v>
      </c>
      <c r="S1038" s="7">
        <f t="shared" si="179"/>
        <v>9515000</v>
      </c>
      <c r="T1038" s="7">
        <f t="shared" si="180"/>
        <v>2883333.3333333335</v>
      </c>
      <c r="U1038" s="7">
        <f t="shared" si="181"/>
        <v>9460000</v>
      </c>
      <c r="V1038" s="7">
        <f t="shared" si="182"/>
        <v>0</v>
      </c>
      <c r="W1038" s="7">
        <f t="shared" si="183"/>
        <v>0</v>
      </c>
      <c r="X1038" s="7">
        <f t="shared" si="184"/>
        <v>0</v>
      </c>
    </row>
    <row r="1039" spans="1:24">
      <c r="A1039">
        <v>1038</v>
      </c>
      <c r="B1039" s="96" t="s">
        <v>2565</v>
      </c>
      <c r="C1039" s="95">
        <v>41617</v>
      </c>
      <c r="D1039" s="82">
        <v>8660000</v>
      </c>
      <c r="E1039" s="82">
        <v>8635000</v>
      </c>
      <c r="F1039" s="82">
        <v>8660000</v>
      </c>
      <c r="G1039" s="82">
        <v>8660000</v>
      </c>
      <c r="I1039" s="97">
        <v>0</v>
      </c>
      <c r="J1039" s="97">
        <v>0</v>
      </c>
      <c r="K1039" s="97">
        <v>0</v>
      </c>
      <c r="M1039" s="7">
        <f t="shared" si="177"/>
        <v>0</v>
      </c>
      <c r="N1039" s="7">
        <f t="shared" si="186"/>
        <v>0</v>
      </c>
      <c r="O1039" s="7">
        <f t="shared" si="185"/>
        <v>10000</v>
      </c>
      <c r="P1039" s="99">
        <f t="shared" si="178"/>
        <v>1.1560693641618498E-3</v>
      </c>
      <c r="Q1039" s="99">
        <f t="shared" si="187"/>
        <v>-2.1256456563957405E-3</v>
      </c>
      <c r="S1039" s="7">
        <f t="shared" si="179"/>
        <v>9526000</v>
      </c>
      <c r="T1039" s="7">
        <f t="shared" si="180"/>
        <v>2886666.6666666665</v>
      </c>
      <c r="U1039" s="7">
        <f t="shared" si="181"/>
        <v>9395000</v>
      </c>
      <c r="V1039" s="7">
        <f t="shared" si="182"/>
        <v>0</v>
      </c>
      <c r="W1039" s="7">
        <f t="shared" si="183"/>
        <v>0</v>
      </c>
      <c r="X1039" s="7">
        <f t="shared" si="184"/>
        <v>0</v>
      </c>
    </row>
    <row r="1040" spans="1:24">
      <c r="A1040">
        <v>1039</v>
      </c>
      <c r="B1040" s="96" t="s">
        <v>2564</v>
      </c>
      <c r="C1040" s="95">
        <v>41618</v>
      </c>
      <c r="D1040" s="82">
        <v>8710000</v>
      </c>
      <c r="E1040" s="82">
        <v>8700000</v>
      </c>
      <c r="F1040" s="82">
        <v>8840000</v>
      </c>
      <c r="G1040" s="82">
        <v>8800000</v>
      </c>
      <c r="I1040" s="97">
        <v>0</v>
      </c>
      <c r="J1040" s="97">
        <v>0</v>
      </c>
      <c r="K1040" s="97">
        <v>0</v>
      </c>
      <c r="M1040" s="7">
        <f t="shared" si="177"/>
        <v>0</v>
      </c>
      <c r="N1040" s="7">
        <f t="shared" si="186"/>
        <v>0</v>
      </c>
      <c r="O1040" s="7">
        <f t="shared" si="185"/>
        <v>140000</v>
      </c>
      <c r="P1040" s="99">
        <f t="shared" si="178"/>
        <v>1.6166281755196306E-2</v>
      </c>
      <c r="Q1040" s="99">
        <f t="shared" si="187"/>
        <v>9.4110465451363503E-3</v>
      </c>
      <c r="S1040" s="7">
        <f t="shared" si="179"/>
        <v>9680000</v>
      </c>
      <c r="T1040" s="7">
        <f t="shared" si="180"/>
        <v>2933333.3333333335</v>
      </c>
      <c r="U1040" s="7">
        <f t="shared" si="181"/>
        <v>9395000</v>
      </c>
      <c r="V1040" s="7">
        <f t="shared" si="182"/>
        <v>0</v>
      </c>
      <c r="W1040" s="7">
        <f t="shared" si="183"/>
        <v>0</v>
      </c>
      <c r="X1040" s="7">
        <f t="shared" si="184"/>
        <v>0</v>
      </c>
    </row>
    <row r="1041" spans="1:24">
      <c r="A1041">
        <v>1040</v>
      </c>
      <c r="B1041" s="96" t="s">
        <v>2563</v>
      </c>
      <c r="C1041" s="95">
        <v>41619</v>
      </c>
      <c r="D1041" s="82">
        <v>8790000</v>
      </c>
      <c r="E1041" s="82">
        <v>8760000</v>
      </c>
      <c r="F1041" s="82">
        <v>8840000</v>
      </c>
      <c r="G1041" s="82">
        <v>8800000</v>
      </c>
      <c r="I1041" s="98">
        <v>0</v>
      </c>
      <c r="J1041" s="98">
        <v>0</v>
      </c>
      <c r="K1041" s="98">
        <v>0</v>
      </c>
      <c r="M1041" s="7">
        <f t="shared" si="177"/>
        <v>0</v>
      </c>
      <c r="N1041" s="7">
        <f t="shared" si="186"/>
        <v>0</v>
      </c>
      <c r="O1041" s="7">
        <f t="shared" si="185"/>
        <v>0</v>
      </c>
      <c r="P1041" s="99">
        <f t="shared" si="178"/>
        <v>0</v>
      </c>
      <c r="Q1041" s="99">
        <f t="shared" si="187"/>
        <v>1.8584321307325662E-2</v>
      </c>
      <c r="S1041" s="7">
        <f t="shared" si="179"/>
        <v>9680000</v>
      </c>
      <c r="T1041" s="7">
        <f t="shared" si="180"/>
        <v>2933333.3333333335</v>
      </c>
      <c r="U1041" s="7">
        <f t="shared" si="181"/>
        <v>9395000</v>
      </c>
      <c r="V1041" s="7">
        <f t="shared" si="182"/>
        <v>0</v>
      </c>
      <c r="W1041" s="7">
        <f t="shared" si="183"/>
        <v>0</v>
      </c>
      <c r="X1041" s="7">
        <f t="shared" si="184"/>
        <v>0</v>
      </c>
    </row>
    <row r="1042" spans="1:24">
      <c r="A1042">
        <v>1041</v>
      </c>
      <c r="B1042" s="96" t="s">
        <v>2562</v>
      </c>
      <c r="C1042" s="95">
        <v>41620</v>
      </c>
      <c r="D1042" s="82">
        <v>8770000</v>
      </c>
      <c r="E1042" s="82">
        <v>8630000</v>
      </c>
      <c r="F1042" s="82">
        <v>8775000</v>
      </c>
      <c r="G1042" s="82">
        <v>8640000</v>
      </c>
      <c r="I1042" s="82">
        <f>G1042*1.1</f>
        <v>9504000</v>
      </c>
      <c r="J1042" s="82">
        <f>G1042/3</f>
        <v>2880000</v>
      </c>
      <c r="K1042" s="7">
        <f>G1310</f>
        <v>9405000</v>
      </c>
      <c r="L1042" s="7">
        <f>K1042-I1042</f>
        <v>-99000</v>
      </c>
      <c r="M1042" s="7">
        <f t="shared" si="177"/>
        <v>360000</v>
      </c>
      <c r="N1042" s="7">
        <f t="shared" si="186"/>
        <v>261000</v>
      </c>
      <c r="O1042" s="7">
        <f t="shared" si="185"/>
        <v>-160000</v>
      </c>
      <c r="P1042" s="99">
        <f t="shared" si="178"/>
        <v>-1.8181818181818181E-2</v>
      </c>
      <c r="Q1042" s="99">
        <f t="shared" si="187"/>
        <v>2.900098797399233E-2</v>
      </c>
      <c r="R1042">
        <v>1</v>
      </c>
      <c r="S1042" s="7">
        <f t="shared" si="179"/>
        <v>9504000</v>
      </c>
      <c r="T1042" s="7">
        <f t="shared" si="180"/>
        <v>2880000</v>
      </c>
      <c r="U1042" s="7">
        <f t="shared" si="181"/>
        <v>9405000</v>
      </c>
      <c r="V1042" s="7">
        <f t="shared" si="182"/>
        <v>-99000</v>
      </c>
      <c r="W1042" s="7">
        <f t="shared" si="183"/>
        <v>360000</v>
      </c>
      <c r="X1042" s="7">
        <f t="shared" si="184"/>
        <v>261000</v>
      </c>
    </row>
    <row r="1043" spans="1:24">
      <c r="A1043">
        <v>1042</v>
      </c>
      <c r="B1043" s="96" t="s">
        <v>2561</v>
      </c>
      <c r="C1043" s="95">
        <v>41622</v>
      </c>
      <c r="D1043" s="82">
        <v>8730000</v>
      </c>
      <c r="E1043" s="82">
        <v>8710000</v>
      </c>
      <c r="F1043" s="82">
        <v>8810000</v>
      </c>
      <c r="G1043" s="82">
        <v>8800000</v>
      </c>
      <c r="I1043" s="97">
        <v>0</v>
      </c>
      <c r="J1043" s="97">
        <v>0</v>
      </c>
      <c r="K1043" s="97">
        <v>0</v>
      </c>
      <c r="M1043" s="7">
        <f t="shared" si="177"/>
        <v>0</v>
      </c>
      <c r="N1043" s="7">
        <f t="shared" si="186"/>
        <v>0</v>
      </c>
      <c r="O1043" s="7">
        <f t="shared" si="185"/>
        <v>160000</v>
      </c>
      <c r="P1043" s="99">
        <f t="shared" si="178"/>
        <v>1.8518518518518517E-2</v>
      </c>
      <c r="Q1043" s="99">
        <f t="shared" si="187"/>
        <v>8.7764932433789106E-4</v>
      </c>
      <c r="S1043" s="7">
        <f t="shared" si="179"/>
        <v>9680000</v>
      </c>
      <c r="T1043" s="7">
        <f t="shared" si="180"/>
        <v>2933333.3333333335</v>
      </c>
      <c r="U1043" s="7">
        <f t="shared" si="181"/>
        <v>9405000</v>
      </c>
      <c r="V1043" s="7">
        <f t="shared" si="182"/>
        <v>0</v>
      </c>
      <c r="W1043" s="7">
        <f t="shared" si="183"/>
        <v>0</v>
      </c>
      <c r="X1043" s="7">
        <f t="shared" si="184"/>
        <v>0</v>
      </c>
    </row>
    <row r="1044" spans="1:24">
      <c r="A1044">
        <v>1043</v>
      </c>
      <c r="B1044" s="96" t="s">
        <v>2560</v>
      </c>
      <c r="C1044" s="95">
        <v>41623</v>
      </c>
      <c r="D1044" s="82">
        <v>8815000</v>
      </c>
      <c r="E1044" s="82">
        <v>8730000</v>
      </c>
      <c r="F1044" s="82">
        <v>8815000</v>
      </c>
      <c r="G1044" s="82">
        <v>8760000</v>
      </c>
      <c r="I1044" s="97">
        <v>0</v>
      </c>
      <c r="J1044" s="97">
        <v>0</v>
      </c>
      <c r="K1044" s="97">
        <v>0</v>
      </c>
      <c r="M1044" s="7">
        <f t="shared" si="177"/>
        <v>0</v>
      </c>
      <c r="N1044" s="7">
        <f t="shared" si="186"/>
        <v>0</v>
      </c>
      <c r="O1044" s="7">
        <f t="shared" si="185"/>
        <v>-40000</v>
      </c>
      <c r="P1044" s="99">
        <f t="shared" si="178"/>
        <v>-4.5454545454545452E-3</v>
      </c>
      <c r="Q1044" s="99">
        <f t="shared" si="187"/>
        <v>1.7659051456058492E-2</v>
      </c>
      <c r="S1044" s="7">
        <f t="shared" si="179"/>
        <v>9636000</v>
      </c>
      <c r="T1044" s="7">
        <f t="shared" si="180"/>
        <v>2920000</v>
      </c>
      <c r="U1044" s="7">
        <f t="shared" si="181"/>
        <v>9415000</v>
      </c>
      <c r="V1044" s="7">
        <f t="shared" si="182"/>
        <v>0</v>
      </c>
      <c r="W1044" s="7">
        <f t="shared" si="183"/>
        <v>0</v>
      </c>
      <c r="X1044" s="7">
        <f t="shared" si="184"/>
        <v>0</v>
      </c>
    </row>
    <row r="1045" spans="1:24">
      <c r="A1045">
        <v>1044</v>
      </c>
      <c r="B1045" s="96" t="s">
        <v>2559</v>
      </c>
      <c r="C1045" s="95">
        <v>41624</v>
      </c>
      <c r="D1045" s="82">
        <v>8740000</v>
      </c>
      <c r="E1045" s="82">
        <v>8690000</v>
      </c>
      <c r="F1045" s="82">
        <v>8750000</v>
      </c>
      <c r="G1045" s="82">
        <v>8740000</v>
      </c>
      <c r="I1045" s="97">
        <v>0</v>
      </c>
      <c r="J1045" s="97">
        <v>0</v>
      </c>
      <c r="K1045" s="97">
        <v>0</v>
      </c>
      <c r="M1045" s="7">
        <f t="shared" si="177"/>
        <v>0</v>
      </c>
      <c r="N1045" s="7">
        <f t="shared" si="186"/>
        <v>0</v>
      </c>
      <c r="O1045" s="7">
        <f t="shared" si="185"/>
        <v>-20000</v>
      </c>
      <c r="P1045" s="99">
        <f t="shared" si="178"/>
        <v>-2.2831050228310501E-3</v>
      </c>
      <c r="Q1045" s="99">
        <f t="shared" si="187"/>
        <v>1.1957527546442097E-2</v>
      </c>
      <c r="S1045" s="7">
        <f t="shared" si="179"/>
        <v>9614000</v>
      </c>
      <c r="T1045" s="7">
        <f t="shared" si="180"/>
        <v>2913333.3333333335</v>
      </c>
      <c r="U1045" s="7">
        <f t="shared" si="181"/>
        <v>9415000</v>
      </c>
      <c r="V1045" s="7">
        <f t="shared" si="182"/>
        <v>0</v>
      </c>
      <c r="W1045" s="7">
        <f t="shared" si="183"/>
        <v>0</v>
      </c>
      <c r="X1045" s="7">
        <f t="shared" si="184"/>
        <v>0</v>
      </c>
    </row>
    <row r="1046" spans="1:24">
      <c r="A1046">
        <v>1045</v>
      </c>
      <c r="B1046" s="96" t="s">
        <v>2558</v>
      </c>
      <c r="C1046" s="95">
        <v>41625</v>
      </c>
      <c r="D1046" s="82">
        <v>8720000</v>
      </c>
      <c r="E1046" s="82">
        <v>8700000</v>
      </c>
      <c r="F1046" s="82">
        <v>8740000</v>
      </c>
      <c r="G1046" s="82">
        <v>8705000</v>
      </c>
      <c r="I1046" s="98">
        <v>0</v>
      </c>
      <c r="J1046" s="98">
        <v>0</v>
      </c>
      <c r="K1046" s="98">
        <v>0</v>
      </c>
      <c r="M1046" s="7">
        <f t="shared" si="177"/>
        <v>0</v>
      </c>
      <c r="N1046" s="7">
        <f t="shared" si="186"/>
        <v>0</v>
      </c>
      <c r="O1046" s="7">
        <f t="shared" si="185"/>
        <v>-35000</v>
      </c>
      <c r="P1046" s="99">
        <f t="shared" si="178"/>
        <v>-4.0045766590389017E-3</v>
      </c>
      <c r="Q1046" s="99">
        <f t="shared" si="187"/>
        <v>-6.4918592315852588E-3</v>
      </c>
      <c r="S1046" s="7">
        <f t="shared" si="179"/>
        <v>9575500</v>
      </c>
      <c r="T1046" s="7">
        <f t="shared" si="180"/>
        <v>2901666.6666666665</v>
      </c>
      <c r="U1046" s="7">
        <f t="shared" si="181"/>
        <v>9380000</v>
      </c>
      <c r="V1046" s="7">
        <f t="shared" si="182"/>
        <v>0</v>
      </c>
      <c r="W1046" s="7">
        <f t="shared" si="183"/>
        <v>0</v>
      </c>
      <c r="X1046" s="7">
        <f t="shared" si="184"/>
        <v>0</v>
      </c>
    </row>
    <row r="1047" spans="1:24">
      <c r="A1047">
        <v>1046</v>
      </c>
      <c r="B1047" s="96" t="s">
        <v>2557</v>
      </c>
      <c r="C1047" s="95">
        <v>41626</v>
      </c>
      <c r="D1047" s="82">
        <v>8720000</v>
      </c>
      <c r="E1047" s="82">
        <v>8710000</v>
      </c>
      <c r="F1047" s="82">
        <v>8750000</v>
      </c>
      <c r="G1047" s="82">
        <v>8740000</v>
      </c>
      <c r="I1047" s="82">
        <f>G1047*1.1</f>
        <v>9614000</v>
      </c>
      <c r="J1047" s="82">
        <f>G1047/3</f>
        <v>2913333.3333333335</v>
      </c>
      <c r="K1047" s="7">
        <f>G1315</f>
        <v>9390000</v>
      </c>
      <c r="L1047" s="7">
        <f>K1047-I1047</f>
        <v>-224000</v>
      </c>
      <c r="M1047" s="7">
        <f t="shared" si="177"/>
        <v>364166.66666666674</v>
      </c>
      <c r="N1047" s="7">
        <f t="shared" si="186"/>
        <v>140166.66666666674</v>
      </c>
      <c r="O1047" s="7">
        <f t="shared" si="185"/>
        <v>35000</v>
      </c>
      <c r="P1047" s="99">
        <f t="shared" si="178"/>
        <v>4.0206777713957496E-3</v>
      </c>
      <c r="Q1047" s="99">
        <f t="shared" si="187"/>
        <v>-1.049643589062416E-2</v>
      </c>
      <c r="R1047">
        <v>1</v>
      </c>
      <c r="S1047" s="7">
        <f t="shared" si="179"/>
        <v>9614000</v>
      </c>
      <c r="T1047" s="7">
        <f t="shared" si="180"/>
        <v>2913333.3333333335</v>
      </c>
      <c r="U1047" s="7">
        <f t="shared" si="181"/>
        <v>9390000</v>
      </c>
      <c r="V1047" s="7">
        <f t="shared" si="182"/>
        <v>-224000</v>
      </c>
      <c r="W1047" s="7">
        <f t="shared" si="183"/>
        <v>364166.66666666674</v>
      </c>
      <c r="X1047" s="7">
        <f t="shared" si="184"/>
        <v>140166.66666666674</v>
      </c>
    </row>
    <row r="1048" spans="1:24">
      <c r="A1048">
        <v>1047</v>
      </c>
      <c r="B1048" s="96" t="s">
        <v>2556</v>
      </c>
      <c r="C1048" s="95">
        <v>41627</v>
      </c>
      <c r="D1048" s="82">
        <v>8670000</v>
      </c>
      <c r="E1048" s="82">
        <v>8580000</v>
      </c>
      <c r="F1048" s="82">
        <v>8670000</v>
      </c>
      <c r="G1048" s="82">
        <v>8580000</v>
      </c>
      <c r="I1048" s="97">
        <v>0</v>
      </c>
      <c r="J1048" s="97">
        <v>0</v>
      </c>
      <c r="K1048" s="97">
        <v>0</v>
      </c>
      <c r="M1048" s="7">
        <f t="shared" si="177"/>
        <v>0</v>
      </c>
      <c r="N1048" s="7">
        <f t="shared" si="186"/>
        <v>0</v>
      </c>
      <c r="O1048" s="7">
        <f t="shared" si="185"/>
        <v>-160000</v>
      </c>
      <c r="P1048" s="99">
        <f t="shared" si="178"/>
        <v>-1.8306636155606407E-2</v>
      </c>
      <c r="Q1048" s="99">
        <f t="shared" si="187"/>
        <v>1.1706060062589771E-2</v>
      </c>
      <c r="S1048" s="7">
        <f t="shared" si="179"/>
        <v>9438000</v>
      </c>
      <c r="T1048" s="7">
        <f t="shared" si="180"/>
        <v>2860000</v>
      </c>
      <c r="U1048" s="7">
        <f t="shared" si="181"/>
        <v>9375000</v>
      </c>
      <c r="V1048" s="7">
        <f t="shared" si="182"/>
        <v>0</v>
      </c>
      <c r="W1048" s="7">
        <f t="shared" si="183"/>
        <v>0</v>
      </c>
      <c r="X1048" s="7">
        <f t="shared" si="184"/>
        <v>0</v>
      </c>
    </row>
    <row r="1049" spans="1:24">
      <c r="A1049">
        <v>1048</v>
      </c>
      <c r="B1049" s="96" t="s">
        <v>2555</v>
      </c>
      <c r="C1049" s="95">
        <v>41629</v>
      </c>
      <c r="D1049" s="82">
        <v>8545000</v>
      </c>
      <c r="E1049" s="82">
        <v>8490000</v>
      </c>
      <c r="F1049" s="82">
        <v>8545000</v>
      </c>
      <c r="G1049" s="82">
        <v>8510000</v>
      </c>
      <c r="I1049" s="97">
        <v>0</v>
      </c>
      <c r="J1049" s="97">
        <v>0</v>
      </c>
      <c r="K1049" s="97">
        <v>0</v>
      </c>
      <c r="M1049" s="7">
        <f t="shared" si="177"/>
        <v>0</v>
      </c>
      <c r="N1049" s="7">
        <f t="shared" si="186"/>
        <v>0</v>
      </c>
      <c r="O1049" s="7">
        <f t="shared" si="185"/>
        <v>-70000</v>
      </c>
      <c r="P1049" s="99">
        <f t="shared" si="178"/>
        <v>-8.1585081585081581E-3</v>
      </c>
      <c r="Q1049" s="99">
        <f t="shared" si="187"/>
        <v>-2.5119094611535154E-2</v>
      </c>
      <c r="S1049" s="7">
        <f t="shared" si="179"/>
        <v>9361000</v>
      </c>
      <c r="T1049" s="7">
        <f t="shared" si="180"/>
        <v>2836666.6666666665</v>
      </c>
      <c r="U1049" s="7">
        <f t="shared" si="181"/>
        <v>9390000</v>
      </c>
      <c r="V1049" s="7">
        <f t="shared" si="182"/>
        <v>0</v>
      </c>
      <c r="W1049" s="7">
        <f t="shared" si="183"/>
        <v>0</v>
      </c>
      <c r="X1049" s="7">
        <f t="shared" si="184"/>
        <v>0</v>
      </c>
    </row>
    <row r="1050" spans="1:24">
      <c r="A1050">
        <v>1049</v>
      </c>
      <c r="B1050" s="96" t="s">
        <v>2554</v>
      </c>
      <c r="C1050" s="95">
        <v>41630</v>
      </c>
      <c r="D1050" s="82">
        <v>8520000</v>
      </c>
      <c r="E1050" s="82">
        <v>8520000</v>
      </c>
      <c r="F1050" s="82">
        <v>8580000</v>
      </c>
      <c r="G1050" s="82">
        <v>8575000</v>
      </c>
      <c r="I1050" s="97">
        <v>0</v>
      </c>
      <c r="J1050" s="97">
        <v>0</v>
      </c>
      <c r="K1050" s="97">
        <v>0</v>
      </c>
      <c r="M1050" s="7">
        <f t="shared" si="177"/>
        <v>0</v>
      </c>
      <c r="N1050" s="7">
        <f t="shared" si="186"/>
        <v>0</v>
      </c>
      <c r="O1050" s="7">
        <f t="shared" si="185"/>
        <v>65000</v>
      </c>
      <c r="P1050" s="99">
        <f t="shared" si="178"/>
        <v>7.6380728554641597E-3</v>
      </c>
      <c r="Q1050" s="99">
        <f t="shared" si="187"/>
        <v>-2.873214822458877E-2</v>
      </c>
      <c r="S1050" s="7">
        <f t="shared" si="179"/>
        <v>9432500</v>
      </c>
      <c r="T1050" s="7">
        <f t="shared" si="180"/>
        <v>2858333.3333333335</v>
      </c>
      <c r="U1050" s="7">
        <f t="shared" si="181"/>
        <v>9380000</v>
      </c>
      <c r="V1050" s="7">
        <f t="shared" si="182"/>
        <v>0</v>
      </c>
      <c r="W1050" s="7">
        <f t="shared" si="183"/>
        <v>0</v>
      </c>
      <c r="X1050" s="7">
        <f t="shared" si="184"/>
        <v>0</v>
      </c>
    </row>
    <row r="1051" spans="1:24">
      <c r="A1051">
        <v>1050</v>
      </c>
      <c r="B1051" s="96" t="s">
        <v>2553</v>
      </c>
      <c r="C1051" s="95">
        <v>41631</v>
      </c>
      <c r="D1051" s="82">
        <v>8570000</v>
      </c>
      <c r="E1051" s="82">
        <v>8535000</v>
      </c>
      <c r="F1051" s="82">
        <v>8570000</v>
      </c>
      <c r="G1051" s="82">
        <v>8555000</v>
      </c>
      <c r="I1051" s="98">
        <v>0</v>
      </c>
      <c r="J1051" s="98">
        <v>0</v>
      </c>
      <c r="K1051" s="98">
        <v>0</v>
      </c>
      <c r="M1051" s="7">
        <f t="shared" si="177"/>
        <v>0</v>
      </c>
      <c r="N1051" s="7">
        <f t="shared" si="186"/>
        <v>0</v>
      </c>
      <c r="O1051" s="7">
        <f t="shared" si="185"/>
        <v>-20000</v>
      </c>
      <c r="P1051" s="99">
        <f t="shared" si="178"/>
        <v>-2.3323615160349854E-3</v>
      </c>
      <c r="Q1051" s="99">
        <f t="shared" si="187"/>
        <v>-1.881097034629356E-2</v>
      </c>
      <c r="S1051" s="7">
        <f t="shared" si="179"/>
        <v>9410500</v>
      </c>
      <c r="T1051" s="7">
        <f t="shared" si="180"/>
        <v>2851666.6666666665</v>
      </c>
      <c r="U1051" s="7">
        <f t="shared" si="181"/>
        <v>9360000</v>
      </c>
      <c r="V1051" s="7">
        <f t="shared" si="182"/>
        <v>0</v>
      </c>
      <c r="W1051" s="7">
        <f t="shared" si="183"/>
        <v>0</v>
      </c>
      <c r="X1051" s="7">
        <f t="shared" si="184"/>
        <v>0</v>
      </c>
    </row>
    <row r="1052" spans="1:24">
      <c r="A1052">
        <v>1051</v>
      </c>
      <c r="B1052" s="96" t="s">
        <v>2552</v>
      </c>
      <c r="C1052" s="95">
        <v>41632</v>
      </c>
      <c r="D1052" s="82">
        <v>8530000</v>
      </c>
      <c r="E1052" s="82">
        <v>8520000</v>
      </c>
      <c r="F1052" s="82">
        <v>8580000</v>
      </c>
      <c r="G1052" s="82">
        <v>8577000</v>
      </c>
      <c r="I1052" s="82">
        <f>G1052*1.1</f>
        <v>9434700</v>
      </c>
      <c r="J1052" s="82">
        <f>G1052/3</f>
        <v>2859000</v>
      </c>
      <c r="K1052" s="7">
        <f>G1320</f>
        <v>9300000</v>
      </c>
      <c r="L1052" s="7">
        <f>K1052-I1052</f>
        <v>-134700</v>
      </c>
      <c r="M1052" s="7">
        <f t="shared" si="177"/>
        <v>357375</v>
      </c>
      <c r="N1052" s="7">
        <f t="shared" si="186"/>
        <v>222675</v>
      </c>
      <c r="O1052" s="7">
        <f t="shared" si="185"/>
        <v>22000</v>
      </c>
      <c r="P1052" s="99">
        <f t="shared" si="178"/>
        <v>2.5715955581531269E-3</v>
      </c>
      <c r="Q1052" s="99">
        <f t="shared" si="187"/>
        <v>-1.7138755203289641E-2</v>
      </c>
      <c r="R1052">
        <v>1</v>
      </c>
      <c r="S1052" s="7">
        <f t="shared" si="179"/>
        <v>9434700</v>
      </c>
      <c r="T1052" s="7">
        <f t="shared" si="180"/>
        <v>2859000</v>
      </c>
      <c r="U1052" s="7">
        <f t="shared" si="181"/>
        <v>9300000</v>
      </c>
      <c r="V1052" s="7">
        <f t="shared" si="182"/>
        <v>-134700</v>
      </c>
      <c r="W1052" s="7">
        <f t="shared" si="183"/>
        <v>357375</v>
      </c>
      <c r="X1052" s="7">
        <f t="shared" si="184"/>
        <v>222675</v>
      </c>
    </row>
    <row r="1053" spans="1:24">
      <c r="A1053">
        <v>1052</v>
      </c>
      <c r="B1053" s="96" t="s">
        <v>2551</v>
      </c>
      <c r="C1053" s="95">
        <v>41633</v>
      </c>
      <c r="D1053" s="82">
        <v>8560000</v>
      </c>
      <c r="E1053" s="82">
        <v>8555000</v>
      </c>
      <c r="F1053" s="82">
        <v>8580000</v>
      </c>
      <c r="G1053" s="82">
        <v>8575000</v>
      </c>
      <c r="I1053" s="97">
        <v>0</v>
      </c>
      <c r="J1053" s="97">
        <v>0</v>
      </c>
      <c r="K1053" s="97">
        <v>0</v>
      </c>
      <c r="M1053" s="7">
        <f t="shared" si="177"/>
        <v>0</v>
      </c>
      <c r="N1053" s="7">
        <f t="shared" si="186"/>
        <v>0</v>
      </c>
      <c r="O1053" s="7">
        <f t="shared" si="185"/>
        <v>-2000</v>
      </c>
      <c r="P1053" s="99">
        <f t="shared" si="178"/>
        <v>-2.3318176518596245E-4</v>
      </c>
      <c r="Q1053" s="99">
        <f t="shared" si="187"/>
        <v>-1.8587837416532259E-2</v>
      </c>
      <c r="S1053" s="7">
        <f t="shared" si="179"/>
        <v>9432500</v>
      </c>
      <c r="T1053" s="7">
        <f t="shared" si="180"/>
        <v>2858333.3333333335</v>
      </c>
      <c r="U1053" s="7">
        <f t="shared" si="181"/>
        <v>9295000</v>
      </c>
      <c r="V1053" s="7">
        <f t="shared" si="182"/>
        <v>0</v>
      </c>
      <c r="W1053" s="7">
        <f t="shared" si="183"/>
        <v>0</v>
      </c>
      <c r="X1053" s="7">
        <f t="shared" si="184"/>
        <v>0</v>
      </c>
    </row>
    <row r="1054" spans="1:24">
      <c r="A1054">
        <v>1053</v>
      </c>
      <c r="B1054" s="96" t="s">
        <v>2550</v>
      </c>
      <c r="C1054" s="95">
        <v>41634</v>
      </c>
      <c r="D1054" s="82">
        <v>8580000</v>
      </c>
      <c r="E1054" s="82">
        <v>8580000</v>
      </c>
      <c r="F1054" s="82">
        <v>8670000</v>
      </c>
      <c r="G1054" s="82">
        <v>8660000</v>
      </c>
      <c r="I1054" s="97">
        <v>0</v>
      </c>
      <c r="J1054" s="97">
        <v>0</v>
      </c>
      <c r="K1054" s="97">
        <v>0</v>
      </c>
      <c r="M1054" s="7">
        <f t="shared" si="177"/>
        <v>0</v>
      </c>
      <c r="N1054" s="7">
        <f t="shared" si="186"/>
        <v>0</v>
      </c>
      <c r="O1054" s="7">
        <f t="shared" si="185"/>
        <v>85000</v>
      </c>
      <c r="P1054" s="99">
        <f t="shared" si="178"/>
        <v>9.9125364431486875E-3</v>
      </c>
      <c r="Q1054" s="99">
        <f t="shared" si="187"/>
        <v>-5.1438302611181929E-4</v>
      </c>
      <c r="S1054" s="7">
        <f t="shared" si="179"/>
        <v>9526000</v>
      </c>
      <c r="T1054" s="7">
        <f t="shared" si="180"/>
        <v>2886666.6666666665</v>
      </c>
      <c r="U1054" s="7">
        <f t="shared" si="181"/>
        <v>9310000</v>
      </c>
      <c r="V1054" s="7">
        <f t="shared" si="182"/>
        <v>0</v>
      </c>
      <c r="W1054" s="7">
        <f t="shared" si="183"/>
        <v>0</v>
      </c>
      <c r="X1054" s="7">
        <f t="shared" si="184"/>
        <v>0</v>
      </c>
    </row>
    <row r="1055" spans="1:24">
      <c r="A1055">
        <v>1054</v>
      </c>
      <c r="B1055" s="96" t="s">
        <v>2549</v>
      </c>
      <c r="C1055" s="95">
        <v>41636</v>
      </c>
      <c r="D1055" s="82">
        <v>8680000</v>
      </c>
      <c r="E1055" s="82">
        <v>8660000</v>
      </c>
      <c r="F1055" s="82">
        <v>8750000</v>
      </c>
      <c r="G1055" s="82">
        <v>8725000</v>
      </c>
      <c r="I1055" s="97">
        <v>0</v>
      </c>
      <c r="J1055" s="97">
        <v>0</v>
      </c>
      <c r="K1055" s="97">
        <v>0</v>
      </c>
      <c r="M1055" s="7">
        <f t="shared" si="177"/>
        <v>0</v>
      </c>
      <c r="N1055" s="7">
        <f t="shared" si="186"/>
        <v>0</v>
      </c>
      <c r="O1055" s="7">
        <f t="shared" si="185"/>
        <v>65000</v>
      </c>
      <c r="P1055" s="99">
        <f t="shared" si="178"/>
        <v>7.5057736720554272E-3</v>
      </c>
      <c r="Q1055" s="99">
        <f t="shared" si="187"/>
        <v>1.7556661575545026E-2</v>
      </c>
      <c r="S1055" s="7">
        <f t="shared" si="179"/>
        <v>9597500</v>
      </c>
      <c r="T1055" s="7">
        <f t="shared" si="180"/>
        <v>2908333.3333333335</v>
      </c>
      <c r="U1055" s="7">
        <f t="shared" si="181"/>
        <v>9305000</v>
      </c>
      <c r="V1055" s="7">
        <f t="shared" si="182"/>
        <v>0</v>
      </c>
      <c r="W1055" s="7">
        <f t="shared" si="183"/>
        <v>0</v>
      </c>
      <c r="X1055" s="7">
        <f t="shared" si="184"/>
        <v>0</v>
      </c>
    </row>
    <row r="1056" spans="1:24">
      <c r="A1056">
        <v>1055</v>
      </c>
      <c r="B1056" s="96" t="s">
        <v>2548</v>
      </c>
      <c r="C1056" s="95">
        <v>41637</v>
      </c>
      <c r="D1056" s="82">
        <v>8700000</v>
      </c>
      <c r="E1056" s="82">
        <v>8700000</v>
      </c>
      <c r="F1056" s="82">
        <v>8830000</v>
      </c>
      <c r="G1056" s="82">
        <v>8825000</v>
      </c>
      <c r="I1056" s="98">
        <v>0</v>
      </c>
      <c r="J1056" s="98">
        <v>0</v>
      </c>
      <c r="K1056" s="98">
        <v>0</v>
      </c>
      <c r="M1056" s="7">
        <f t="shared" si="177"/>
        <v>0</v>
      </c>
      <c r="N1056" s="7">
        <f t="shared" si="186"/>
        <v>0</v>
      </c>
      <c r="O1056" s="7">
        <f t="shared" si="185"/>
        <v>100000</v>
      </c>
      <c r="P1056" s="99">
        <f t="shared" si="178"/>
        <v>1.1461318051575931E-2</v>
      </c>
      <c r="Q1056" s="99">
        <f t="shared" si="187"/>
        <v>1.7424362392136294E-2</v>
      </c>
      <c r="S1056" s="7">
        <f t="shared" si="179"/>
        <v>9707500</v>
      </c>
      <c r="T1056" s="7">
        <f t="shared" si="180"/>
        <v>2941666.6666666665</v>
      </c>
      <c r="U1056" s="7">
        <f t="shared" si="181"/>
        <v>9293000</v>
      </c>
      <c r="V1056" s="7">
        <f t="shared" si="182"/>
        <v>0</v>
      </c>
      <c r="W1056" s="7">
        <f t="shared" si="183"/>
        <v>0</v>
      </c>
      <c r="X1056" s="7">
        <f t="shared" si="184"/>
        <v>0</v>
      </c>
    </row>
    <row r="1057" spans="1:24">
      <c r="A1057">
        <v>1056</v>
      </c>
      <c r="B1057" s="96" t="s">
        <v>2547</v>
      </c>
      <c r="C1057" s="95">
        <v>41638</v>
      </c>
      <c r="D1057" s="82">
        <v>8780000</v>
      </c>
      <c r="E1057" s="82">
        <v>8720000</v>
      </c>
      <c r="F1057" s="82">
        <v>8788000</v>
      </c>
      <c r="G1057" s="82">
        <v>8725000</v>
      </c>
      <c r="I1057" s="82">
        <f>G1057*1.1</f>
        <v>9597500</v>
      </c>
      <c r="J1057" s="82">
        <f>G1057/3</f>
        <v>2908333.3333333335</v>
      </c>
      <c r="K1057" s="7">
        <f>G1325</f>
        <v>9244000</v>
      </c>
      <c r="L1057" s="7">
        <f>K1057-I1057</f>
        <v>-353500</v>
      </c>
      <c r="M1057" s="7">
        <f t="shared" si="177"/>
        <v>363541.66666666674</v>
      </c>
      <c r="N1057" s="7">
        <f t="shared" si="186"/>
        <v>10041.666666666744</v>
      </c>
      <c r="O1057" s="7">
        <f t="shared" si="185"/>
        <v>-100000</v>
      </c>
      <c r="P1057" s="99">
        <f t="shared" si="178"/>
        <v>-1.1331444759206799E-2</v>
      </c>
      <c r="Q1057" s="99">
        <f t="shared" si="187"/>
        <v>3.1218041959747207E-2</v>
      </c>
      <c r="R1057">
        <v>1</v>
      </c>
      <c r="S1057" s="7">
        <f t="shared" si="179"/>
        <v>9597500</v>
      </c>
      <c r="T1057" s="7">
        <f t="shared" si="180"/>
        <v>2908333.3333333335</v>
      </c>
      <c r="U1057" s="7">
        <f t="shared" si="181"/>
        <v>9244000</v>
      </c>
      <c r="V1057" s="7">
        <f t="shared" si="182"/>
        <v>-353500</v>
      </c>
      <c r="W1057" s="7">
        <f t="shared" si="183"/>
        <v>363541.66666666674</v>
      </c>
      <c r="X1057" s="7">
        <f t="shared" si="184"/>
        <v>10041.666666666744</v>
      </c>
    </row>
    <row r="1058" spans="1:24">
      <c r="A1058">
        <v>1057</v>
      </c>
      <c r="B1058" s="96" t="s">
        <v>2546</v>
      </c>
      <c r="C1058" s="95">
        <v>41639</v>
      </c>
      <c r="D1058" s="82">
        <v>8655000</v>
      </c>
      <c r="E1058" s="82">
        <v>8610000</v>
      </c>
      <c r="F1058" s="82">
        <v>8710000</v>
      </c>
      <c r="G1058" s="82">
        <v>8685000</v>
      </c>
      <c r="I1058" s="97">
        <v>0</v>
      </c>
      <c r="J1058" s="97">
        <v>0</v>
      </c>
      <c r="K1058" s="97">
        <v>0</v>
      </c>
      <c r="M1058" s="7">
        <f t="shared" si="177"/>
        <v>0</v>
      </c>
      <c r="N1058" s="7">
        <f t="shared" si="186"/>
        <v>0</v>
      </c>
      <c r="O1058" s="7">
        <f t="shared" si="185"/>
        <v>-40000</v>
      </c>
      <c r="P1058" s="99">
        <f t="shared" si="178"/>
        <v>-4.5845272206303722E-3</v>
      </c>
      <c r="Q1058" s="99">
        <f t="shared" si="187"/>
        <v>1.7315001642387286E-2</v>
      </c>
      <c r="S1058" s="7">
        <f t="shared" si="179"/>
        <v>9553500</v>
      </c>
      <c r="T1058" s="7">
        <f t="shared" si="180"/>
        <v>2895000</v>
      </c>
      <c r="U1058" s="7">
        <f t="shared" si="181"/>
        <v>9244000</v>
      </c>
      <c r="V1058" s="7">
        <f t="shared" si="182"/>
        <v>0</v>
      </c>
      <c r="W1058" s="7">
        <f t="shared" si="183"/>
        <v>0</v>
      </c>
      <c r="X1058" s="7">
        <f t="shared" si="184"/>
        <v>0</v>
      </c>
    </row>
    <row r="1059" spans="1:24">
      <c r="A1059">
        <v>1058</v>
      </c>
      <c r="B1059" s="96" t="s">
        <v>2545</v>
      </c>
      <c r="C1059" s="95">
        <v>41640</v>
      </c>
      <c r="D1059" s="82">
        <v>8675000</v>
      </c>
      <c r="E1059" s="82">
        <v>8635000</v>
      </c>
      <c r="F1059" s="82">
        <v>8675000</v>
      </c>
      <c r="G1059" s="82">
        <v>8660000</v>
      </c>
      <c r="I1059" s="97">
        <v>0</v>
      </c>
      <c r="J1059" s="97">
        <v>0</v>
      </c>
      <c r="K1059" s="97">
        <v>0</v>
      </c>
      <c r="M1059" s="7">
        <f t="shared" si="177"/>
        <v>0</v>
      </c>
      <c r="N1059" s="7">
        <f t="shared" si="186"/>
        <v>0</v>
      </c>
      <c r="O1059" s="7">
        <f t="shared" si="185"/>
        <v>-25000</v>
      </c>
      <c r="P1059" s="99">
        <f t="shared" si="178"/>
        <v>-2.8785261945883708E-3</v>
      </c>
      <c r="Q1059" s="99">
        <f t="shared" si="187"/>
        <v>1.2963656186942875E-2</v>
      </c>
      <c r="S1059" s="7">
        <f t="shared" si="179"/>
        <v>9526000</v>
      </c>
      <c r="T1059" s="7">
        <f t="shared" si="180"/>
        <v>2886666.6666666665</v>
      </c>
      <c r="U1059" s="7">
        <f t="shared" si="181"/>
        <v>9143000</v>
      </c>
      <c r="V1059" s="7">
        <f t="shared" si="182"/>
        <v>0</v>
      </c>
      <c r="W1059" s="7">
        <f t="shared" si="183"/>
        <v>0</v>
      </c>
      <c r="X1059" s="7">
        <f t="shared" si="184"/>
        <v>0</v>
      </c>
    </row>
    <row r="1060" spans="1:24">
      <c r="A1060">
        <v>1059</v>
      </c>
      <c r="B1060" s="96" t="s">
        <v>2544</v>
      </c>
      <c r="C1060" s="95">
        <v>41641</v>
      </c>
      <c r="D1060" s="82">
        <v>8695000</v>
      </c>
      <c r="E1060" s="82">
        <v>8695000</v>
      </c>
      <c r="F1060" s="82">
        <v>8722000</v>
      </c>
      <c r="G1060" s="82">
        <v>8720000</v>
      </c>
      <c r="I1060" s="97">
        <v>0</v>
      </c>
      <c r="J1060" s="97">
        <v>0</v>
      </c>
      <c r="K1060" s="97">
        <v>0</v>
      </c>
      <c r="M1060" s="7">
        <f t="shared" si="177"/>
        <v>0</v>
      </c>
      <c r="N1060" s="7">
        <f t="shared" si="186"/>
        <v>0</v>
      </c>
      <c r="O1060" s="7">
        <f t="shared" si="185"/>
        <v>60000</v>
      </c>
      <c r="P1060" s="99">
        <f t="shared" si="178"/>
        <v>6.9284064665127024E-3</v>
      </c>
      <c r="Q1060" s="99">
        <f t="shared" si="187"/>
        <v>1.7259354920581577E-4</v>
      </c>
      <c r="S1060" s="7">
        <f t="shared" si="179"/>
        <v>9592000</v>
      </c>
      <c r="T1060" s="7">
        <f t="shared" si="180"/>
        <v>2906666.6666666665</v>
      </c>
      <c r="U1060" s="7">
        <f t="shared" si="181"/>
        <v>9150000</v>
      </c>
      <c r="V1060" s="7">
        <f t="shared" si="182"/>
        <v>0</v>
      </c>
      <c r="W1060" s="7">
        <f t="shared" si="183"/>
        <v>0</v>
      </c>
      <c r="X1060" s="7">
        <f t="shared" si="184"/>
        <v>0</v>
      </c>
    </row>
    <row r="1061" spans="1:24">
      <c r="A1061">
        <v>1060</v>
      </c>
      <c r="B1061" s="96" t="s">
        <v>2543</v>
      </c>
      <c r="C1061" s="95">
        <v>41643</v>
      </c>
      <c r="D1061" s="82">
        <v>8810000</v>
      </c>
      <c r="E1061" s="82">
        <v>8730000</v>
      </c>
      <c r="F1061" s="82">
        <v>8810000</v>
      </c>
      <c r="G1061" s="82">
        <v>8750000</v>
      </c>
      <c r="I1061" s="98">
        <v>0</v>
      </c>
      <c r="J1061" s="98">
        <v>0</v>
      </c>
      <c r="K1061" s="98">
        <v>0</v>
      </c>
      <c r="M1061" s="7">
        <f t="shared" si="177"/>
        <v>0</v>
      </c>
      <c r="N1061" s="7">
        <f t="shared" si="186"/>
        <v>0</v>
      </c>
      <c r="O1061" s="7">
        <f t="shared" si="185"/>
        <v>30000</v>
      </c>
      <c r="P1061" s="99">
        <f t="shared" si="178"/>
        <v>3.4403669724770644E-3</v>
      </c>
      <c r="Q1061" s="99">
        <f t="shared" si="187"/>
        <v>-4.0477365633690907E-4</v>
      </c>
      <c r="S1061" s="7">
        <f t="shared" si="179"/>
        <v>9625000</v>
      </c>
      <c r="T1061" s="7">
        <f t="shared" si="180"/>
        <v>2916666.6666666665</v>
      </c>
      <c r="U1061" s="7">
        <f t="shared" si="181"/>
        <v>9150000</v>
      </c>
      <c r="V1061" s="7">
        <f t="shared" si="182"/>
        <v>0</v>
      </c>
      <c r="W1061" s="7">
        <f t="shared" si="183"/>
        <v>0</v>
      </c>
      <c r="X1061" s="7">
        <f t="shared" si="184"/>
        <v>0</v>
      </c>
    </row>
    <row r="1062" spans="1:24">
      <c r="A1062">
        <v>1061</v>
      </c>
      <c r="B1062" s="96" t="s">
        <v>2542</v>
      </c>
      <c r="C1062" s="95">
        <v>41644</v>
      </c>
      <c r="D1062" s="82">
        <v>8745000</v>
      </c>
      <c r="E1062" s="82">
        <v>8735000</v>
      </c>
      <c r="F1062" s="82">
        <v>8780000</v>
      </c>
      <c r="G1062" s="82">
        <v>8760000</v>
      </c>
      <c r="I1062" s="82">
        <f>G1062*1.1</f>
        <v>9636000</v>
      </c>
      <c r="J1062" s="82">
        <f>G1062/3</f>
        <v>2920000</v>
      </c>
      <c r="K1062" s="7">
        <f>G1330</f>
        <v>9025000</v>
      </c>
      <c r="L1062" s="7">
        <f>K1062-I1062</f>
        <v>-611000</v>
      </c>
      <c r="M1062" s="7">
        <f t="shared" si="177"/>
        <v>365000</v>
      </c>
      <c r="N1062" s="7">
        <f t="shared" si="186"/>
        <v>-246000</v>
      </c>
      <c r="O1062" s="7">
        <f t="shared" si="185"/>
        <v>10000</v>
      </c>
      <c r="P1062" s="99">
        <f t="shared" si="178"/>
        <v>1.1428571428571429E-3</v>
      </c>
      <c r="Q1062" s="99">
        <f t="shared" si="187"/>
        <v>-8.4257247354357773E-3</v>
      </c>
      <c r="R1062">
        <v>1</v>
      </c>
      <c r="S1062" s="7">
        <f t="shared" si="179"/>
        <v>9636000</v>
      </c>
      <c r="T1062" s="7">
        <f t="shared" si="180"/>
        <v>2920000</v>
      </c>
      <c r="U1062" s="7">
        <f t="shared" si="181"/>
        <v>9025000</v>
      </c>
      <c r="V1062" s="7">
        <f t="shared" si="182"/>
        <v>-611000</v>
      </c>
      <c r="W1062" s="7">
        <f t="shared" si="183"/>
        <v>365000</v>
      </c>
      <c r="X1062" s="7">
        <f t="shared" si="184"/>
        <v>-246000</v>
      </c>
    </row>
    <row r="1063" spans="1:24">
      <c r="A1063">
        <v>1062</v>
      </c>
      <c r="B1063" s="96" t="s">
        <v>2541</v>
      </c>
      <c r="C1063" s="95">
        <v>41645</v>
      </c>
      <c r="D1063" s="82">
        <v>8770000</v>
      </c>
      <c r="E1063" s="82">
        <v>8770000</v>
      </c>
      <c r="F1063" s="82">
        <v>8820000</v>
      </c>
      <c r="G1063" s="82">
        <v>8790000</v>
      </c>
      <c r="I1063" s="97">
        <v>0</v>
      </c>
      <c r="J1063" s="97">
        <v>0</v>
      </c>
      <c r="K1063" s="97">
        <v>0</v>
      </c>
      <c r="M1063" s="7">
        <f t="shared" si="177"/>
        <v>0</v>
      </c>
      <c r="N1063" s="7">
        <f t="shared" si="186"/>
        <v>0</v>
      </c>
      <c r="O1063" s="7">
        <f t="shared" si="185"/>
        <v>30000</v>
      </c>
      <c r="P1063" s="99">
        <f t="shared" si="178"/>
        <v>3.4246575342465752E-3</v>
      </c>
      <c r="Q1063" s="99">
        <f t="shared" si="187"/>
        <v>4.0485771666281672E-3</v>
      </c>
      <c r="S1063" s="7">
        <f t="shared" si="179"/>
        <v>9669000</v>
      </c>
      <c r="T1063" s="7">
        <f t="shared" si="180"/>
        <v>2930000</v>
      </c>
      <c r="U1063" s="7">
        <f t="shared" si="181"/>
        <v>9033000</v>
      </c>
      <c r="V1063" s="7">
        <f t="shared" si="182"/>
        <v>0</v>
      </c>
      <c r="W1063" s="7">
        <f t="shared" si="183"/>
        <v>0</v>
      </c>
      <c r="X1063" s="7">
        <f t="shared" si="184"/>
        <v>0</v>
      </c>
    </row>
    <row r="1064" spans="1:24">
      <c r="A1064">
        <v>1063</v>
      </c>
      <c r="B1064" s="96" t="s">
        <v>2540</v>
      </c>
      <c r="C1064" s="95">
        <v>41646</v>
      </c>
      <c r="D1064" s="82">
        <v>8790000</v>
      </c>
      <c r="E1064" s="82">
        <v>8770000</v>
      </c>
      <c r="F1064" s="82">
        <v>8805000</v>
      </c>
      <c r="G1064" s="82">
        <v>8770000</v>
      </c>
      <c r="I1064" s="97">
        <v>0</v>
      </c>
      <c r="J1064" s="97">
        <v>0</v>
      </c>
      <c r="K1064" s="97">
        <v>0</v>
      </c>
      <c r="M1064" s="7">
        <f t="shared" si="177"/>
        <v>0</v>
      </c>
      <c r="N1064" s="7">
        <f t="shared" si="186"/>
        <v>0</v>
      </c>
      <c r="O1064" s="7">
        <f t="shared" si="185"/>
        <v>-20000</v>
      </c>
      <c r="P1064" s="99">
        <f t="shared" si="178"/>
        <v>-2.2753128555176336E-3</v>
      </c>
      <c r="Q1064" s="99">
        <f t="shared" si="187"/>
        <v>1.2057761921505114E-2</v>
      </c>
      <c r="S1064" s="7">
        <f t="shared" si="179"/>
        <v>9647000</v>
      </c>
      <c r="T1064" s="7">
        <f t="shared" si="180"/>
        <v>2923333.3333333335</v>
      </c>
      <c r="U1064" s="7">
        <f t="shared" si="181"/>
        <v>9033000</v>
      </c>
      <c r="V1064" s="7">
        <f t="shared" si="182"/>
        <v>0</v>
      </c>
      <c r="W1064" s="7">
        <f t="shared" si="183"/>
        <v>0</v>
      </c>
      <c r="X1064" s="7">
        <f t="shared" si="184"/>
        <v>0</v>
      </c>
    </row>
    <row r="1065" spans="1:24">
      <c r="A1065">
        <v>1064</v>
      </c>
      <c r="B1065" s="96" t="s">
        <v>2539</v>
      </c>
      <c r="C1065" s="95">
        <v>41647</v>
      </c>
      <c r="D1065" s="82">
        <v>8760000</v>
      </c>
      <c r="E1065" s="82">
        <v>8740000</v>
      </c>
      <c r="F1065" s="82">
        <v>8770000</v>
      </c>
      <c r="G1065" s="82">
        <v>8750000</v>
      </c>
      <c r="I1065" s="97">
        <v>0</v>
      </c>
      <c r="J1065" s="97">
        <v>0</v>
      </c>
      <c r="K1065" s="97">
        <v>0</v>
      </c>
      <c r="M1065" s="7">
        <f t="shared" si="177"/>
        <v>0</v>
      </c>
      <c r="N1065" s="7">
        <f t="shared" si="186"/>
        <v>0</v>
      </c>
      <c r="O1065" s="7">
        <f t="shared" si="185"/>
        <v>-20000</v>
      </c>
      <c r="P1065" s="99">
        <f t="shared" si="178"/>
        <v>-2.2805017103762829E-3</v>
      </c>
      <c r="Q1065" s="99">
        <f t="shared" si="187"/>
        <v>1.266097526057585E-2</v>
      </c>
      <c r="S1065" s="7">
        <f t="shared" si="179"/>
        <v>9625000</v>
      </c>
      <c r="T1065" s="7">
        <f t="shared" si="180"/>
        <v>2916666.6666666665</v>
      </c>
      <c r="U1065" s="7">
        <f t="shared" si="181"/>
        <v>9080000</v>
      </c>
      <c r="V1065" s="7">
        <f t="shared" si="182"/>
        <v>0</v>
      </c>
      <c r="W1065" s="7">
        <f t="shared" si="183"/>
        <v>0</v>
      </c>
      <c r="X1065" s="7">
        <f t="shared" si="184"/>
        <v>0</v>
      </c>
    </row>
    <row r="1066" spans="1:24">
      <c r="A1066">
        <v>1065</v>
      </c>
      <c r="B1066" s="96" t="s">
        <v>2538</v>
      </c>
      <c r="C1066" s="95">
        <v>41648</v>
      </c>
      <c r="D1066" s="82">
        <v>8750000</v>
      </c>
      <c r="E1066" s="82">
        <v>8730000</v>
      </c>
      <c r="F1066" s="82">
        <v>8755000</v>
      </c>
      <c r="G1066" s="82">
        <v>8740000</v>
      </c>
      <c r="I1066" s="98">
        <v>0</v>
      </c>
      <c r="J1066" s="98">
        <v>0</v>
      </c>
      <c r="K1066" s="98">
        <v>0</v>
      </c>
      <c r="M1066" s="7">
        <f t="shared" si="177"/>
        <v>0</v>
      </c>
      <c r="N1066" s="7">
        <f t="shared" si="186"/>
        <v>0</v>
      </c>
      <c r="O1066" s="7">
        <f t="shared" si="185"/>
        <v>-10000</v>
      </c>
      <c r="P1066" s="99">
        <f t="shared" si="178"/>
        <v>-1.1428571428571429E-3</v>
      </c>
      <c r="Q1066" s="99">
        <f t="shared" si="187"/>
        <v>3.4520670836868661E-3</v>
      </c>
      <c r="S1066" s="7">
        <f t="shared" si="179"/>
        <v>9614000</v>
      </c>
      <c r="T1066" s="7">
        <f t="shared" si="180"/>
        <v>2913333.3333333335</v>
      </c>
      <c r="U1066" s="7">
        <f t="shared" si="181"/>
        <v>9075000</v>
      </c>
      <c r="V1066" s="7">
        <f t="shared" si="182"/>
        <v>0</v>
      </c>
      <c r="W1066" s="7">
        <f t="shared" si="183"/>
        <v>0</v>
      </c>
      <c r="X1066" s="7">
        <f t="shared" si="184"/>
        <v>0</v>
      </c>
    </row>
    <row r="1067" spans="1:24">
      <c r="A1067">
        <v>1066</v>
      </c>
      <c r="B1067" s="96" t="s">
        <v>2537</v>
      </c>
      <c r="C1067" s="95">
        <v>41650</v>
      </c>
      <c r="D1067" s="82">
        <v>8790000</v>
      </c>
      <c r="E1067" s="82">
        <v>8790000</v>
      </c>
      <c r="F1067" s="82">
        <v>8830000</v>
      </c>
      <c r="G1067" s="82">
        <v>8812000</v>
      </c>
      <c r="I1067" s="82">
        <f>G1067*1.1</f>
        <v>9693200</v>
      </c>
      <c r="J1067" s="82">
        <f>G1067/3</f>
        <v>2937333.3333333335</v>
      </c>
      <c r="K1067" s="7">
        <f>G1335</f>
        <v>9030000</v>
      </c>
      <c r="L1067" s="7">
        <f>K1067-I1067</f>
        <v>-663200</v>
      </c>
      <c r="M1067" s="7">
        <f t="shared" si="177"/>
        <v>367166.66666666674</v>
      </c>
      <c r="N1067" s="7">
        <f t="shared" si="186"/>
        <v>-296033.33333333326</v>
      </c>
      <c r="O1067" s="7">
        <f t="shared" si="185"/>
        <v>72000</v>
      </c>
      <c r="P1067" s="99">
        <f t="shared" si="178"/>
        <v>8.2379862700228835E-3</v>
      </c>
      <c r="Q1067" s="99">
        <f t="shared" si="187"/>
        <v>-1.1311570316473408E-3</v>
      </c>
      <c r="R1067">
        <v>1</v>
      </c>
      <c r="S1067" s="7">
        <f t="shared" si="179"/>
        <v>9693200</v>
      </c>
      <c r="T1067" s="7">
        <f t="shared" si="180"/>
        <v>2937333.3333333335</v>
      </c>
      <c r="U1067" s="7">
        <f t="shared" si="181"/>
        <v>9030000</v>
      </c>
      <c r="V1067" s="7">
        <f t="shared" si="182"/>
        <v>-663200</v>
      </c>
      <c r="W1067" s="7">
        <f t="shared" si="183"/>
        <v>367166.66666666674</v>
      </c>
      <c r="X1067" s="7">
        <f t="shared" si="184"/>
        <v>-296033.33333333326</v>
      </c>
    </row>
    <row r="1068" spans="1:24">
      <c r="A1068">
        <v>1067</v>
      </c>
      <c r="B1068" s="96" t="s">
        <v>2536</v>
      </c>
      <c r="C1068" s="95">
        <v>41651</v>
      </c>
      <c r="D1068" s="82">
        <v>8810000</v>
      </c>
      <c r="E1068" s="82">
        <v>8770000</v>
      </c>
      <c r="F1068" s="82">
        <v>8825000</v>
      </c>
      <c r="G1068" s="82">
        <v>8770000</v>
      </c>
      <c r="I1068" s="97">
        <v>0</v>
      </c>
      <c r="J1068" s="97">
        <v>0</v>
      </c>
      <c r="K1068" s="97">
        <v>0</v>
      </c>
      <c r="M1068" s="7">
        <f t="shared" si="177"/>
        <v>0</v>
      </c>
      <c r="N1068" s="7">
        <f t="shared" si="186"/>
        <v>0</v>
      </c>
      <c r="O1068" s="7">
        <f t="shared" si="185"/>
        <v>-42000</v>
      </c>
      <c r="P1068" s="99">
        <f t="shared" si="178"/>
        <v>-4.7662278710848844E-3</v>
      </c>
      <c r="Q1068" s="99">
        <f t="shared" si="187"/>
        <v>5.9639720955183993E-3</v>
      </c>
      <c r="S1068" s="7">
        <f t="shared" si="179"/>
        <v>9647000</v>
      </c>
      <c r="T1068" s="7">
        <f t="shared" si="180"/>
        <v>2923333.3333333335</v>
      </c>
      <c r="U1068" s="7">
        <f t="shared" si="181"/>
        <v>9000000</v>
      </c>
      <c r="V1068" s="7">
        <f t="shared" si="182"/>
        <v>0</v>
      </c>
      <c r="W1068" s="7">
        <f t="shared" si="183"/>
        <v>0</v>
      </c>
      <c r="X1068" s="7">
        <f t="shared" si="184"/>
        <v>0</v>
      </c>
    </row>
    <row r="1069" spans="1:24">
      <c r="A1069">
        <v>1068</v>
      </c>
      <c r="B1069" s="96" t="s">
        <v>2535</v>
      </c>
      <c r="C1069" s="95">
        <v>41652</v>
      </c>
      <c r="D1069" s="82">
        <v>8725000</v>
      </c>
      <c r="E1069" s="82">
        <v>8670000</v>
      </c>
      <c r="F1069" s="82">
        <v>8730000</v>
      </c>
      <c r="G1069" s="82">
        <v>8730000</v>
      </c>
      <c r="I1069" s="97">
        <v>0</v>
      </c>
      <c r="J1069" s="97">
        <v>0</v>
      </c>
      <c r="K1069" s="97">
        <v>0</v>
      </c>
      <c r="M1069" s="7">
        <f t="shared" si="177"/>
        <v>0</v>
      </c>
      <c r="N1069" s="7">
        <f t="shared" si="186"/>
        <v>0</v>
      </c>
      <c r="O1069" s="7">
        <f t="shared" si="185"/>
        <v>-40000</v>
      </c>
      <c r="P1069" s="99">
        <f t="shared" si="178"/>
        <v>-4.5610034207525657E-3</v>
      </c>
      <c r="Q1069" s="99">
        <f t="shared" si="187"/>
        <v>-2.2269133098130611E-3</v>
      </c>
      <c r="S1069" s="7">
        <f t="shared" si="179"/>
        <v>9603000</v>
      </c>
      <c r="T1069" s="7">
        <f t="shared" si="180"/>
        <v>2910000</v>
      </c>
      <c r="U1069" s="7">
        <f t="shared" si="181"/>
        <v>9060000</v>
      </c>
      <c r="V1069" s="7">
        <f t="shared" si="182"/>
        <v>0</v>
      </c>
      <c r="W1069" s="7">
        <f t="shared" si="183"/>
        <v>0</v>
      </c>
      <c r="X1069" s="7">
        <f t="shared" si="184"/>
        <v>0</v>
      </c>
    </row>
    <row r="1070" spans="1:24">
      <c r="A1070">
        <v>1069</v>
      </c>
      <c r="B1070" s="96" t="s">
        <v>2534</v>
      </c>
      <c r="C1070" s="95">
        <v>41653</v>
      </c>
      <c r="D1070" s="82">
        <v>8740000</v>
      </c>
      <c r="E1070" s="82">
        <v>8710000</v>
      </c>
      <c r="F1070" s="82">
        <v>8770000</v>
      </c>
      <c r="G1070" s="82">
        <v>8710000</v>
      </c>
      <c r="I1070" s="97">
        <v>0</v>
      </c>
      <c r="J1070" s="97">
        <v>0</v>
      </c>
      <c r="K1070" s="97">
        <v>0</v>
      </c>
      <c r="M1070" s="7">
        <f t="shared" si="177"/>
        <v>0</v>
      </c>
      <c r="N1070" s="7">
        <f t="shared" si="186"/>
        <v>0</v>
      </c>
      <c r="O1070" s="7">
        <f t="shared" si="185"/>
        <v>-20000</v>
      </c>
      <c r="P1070" s="99">
        <f t="shared" si="178"/>
        <v>-2.2909507445589921E-3</v>
      </c>
      <c r="Q1070" s="99">
        <f t="shared" si="187"/>
        <v>-4.5126038750479928E-3</v>
      </c>
      <c r="S1070" s="7">
        <f t="shared" si="179"/>
        <v>9581000</v>
      </c>
      <c r="T1070" s="7">
        <f t="shared" si="180"/>
        <v>2903333.3333333335</v>
      </c>
      <c r="U1070" s="7">
        <f t="shared" si="181"/>
        <v>9045000</v>
      </c>
      <c r="V1070" s="7">
        <f t="shared" si="182"/>
        <v>0</v>
      </c>
      <c r="W1070" s="7">
        <f t="shared" si="183"/>
        <v>0</v>
      </c>
      <c r="X1070" s="7">
        <f t="shared" si="184"/>
        <v>0</v>
      </c>
    </row>
    <row r="1071" spans="1:24">
      <c r="A1071">
        <v>1070</v>
      </c>
      <c r="B1071" s="96" t="s">
        <v>2533</v>
      </c>
      <c r="C1071" s="95">
        <v>41654</v>
      </c>
      <c r="D1071" s="82">
        <v>8695000</v>
      </c>
      <c r="E1071" s="82">
        <v>8685000</v>
      </c>
      <c r="F1071" s="82">
        <v>8710000</v>
      </c>
      <c r="G1071" s="82">
        <v>8710000</v>
      </c>
      <c r="I1071" s="98">
        <v>0</v>
      </c>
      <c r="J1071" s="98">
        <v>0</v>
      </c>
      <c r="K1071" s="98">
        <v>0</v>
      </c>
      <c r="M1071" s="7">
        <f t="shared" si="177"/>
        <v>0</v>
      </c>
      <c r="N1071" s="7">
        <f t="shared" si="186"/>
        <v>0</v>
      </c>
      <c r="O1071" s="7">
        <f t="shared" si="185"/>
        <v>0</v>
      </c>
      <c r="P1071" s="99">
        <f t="shared" si="178"/>
        <v>0</v>
      </c>
      <c r="Q1071" s="99">
        <f t="shared" si="187"/>
        <v>-4.5230529092307025E-3</v>
      </c>
      <c r="S1071" s="7">
        <f t="shared" si="179"/>
        <v>9581000</v>
      </c>
      <c r="T1071" s="7">
        <f t="shared" si="180"/>
        <v>2903333.3333333335</v>
      </c>
      <c r="U1071" s="7">
        <f t="shared" si="181"/>
        <v>9045000</v>
      </c>
      <c r="V1071" s="7">
        <f t="shared" si="182"/>
        <v>0</v>
      </c>
      <c r="W1071" s="7">
        <f t="shared" si="183"/>
        <v>0</v>
      </c>
      <c r="X1071" s="7">
        <f t="shared" si="184"/>
        <v>0</v>
      </c>
    </row>
    <row r="1072" spans="1:24">
      <c r="A1072">
        <v>1071</v>
      </c>
      <c r="B1072" s="96" t="s">
        <v>2532</v>
      </c>
      <c r="C1072" s="95">
        <v>41655</v>
      </c>
      <c r="D1072" s="82">
        <v>8705000</v>
      </c>
      <c r="E1072" s="82">
        <v>8675000</v>
      </c>
      <c r="F1072" s="82">
        <v>8707000</v>
      </c>
      <c r="G1072" s="82">
        <v>8680000</v>
      </c>
      <c r="I1072" s="82">
        <f>G1072*1.1</f>
        <v>9548000</v>
      </c>
      <c r="J1072" s="82">
        <f>G1072/3</f>
        <v>2893333.3333333335</v>
      </c>
      <c r="K1072" s="7">
        <f>G1340</f>
        <v>9150000</v>
      </c>
      <c r="L1072" s="7">
        <f>K1072-I1072</f>
        <v>-398000</v>
      </c>
      <c r="M1072" s="7">
        <f t="shared" si="177"/>
        <v>361666.66666666674</v>
      </c>
      <c r="N1072" s="7">
        <f t="shared" si="186"/>
        <v>-36333.333333333256</v>
      </c>
      <c r="O1072" s="7">
        <f t="shared" si="185"/>
        <v>-30000</v>
      </c>
      <c r="P1072" s="99">
        <f t="shared" si="178"/>
        <v>-3.4443168771526979E-3</v>
      </c>
      <c r="Q1072" s="99">
        <f t="shared" si="187"/>
        <v>-3.3801957663735587E-3</v>
      </c>
      <c r="R1072">
        <v>1</v>
      </c>
      <c r="S1072" s="7">
        <f t="shared" si="179"/>
        <v>9548000</v>
      </c>
      <c r="T1072" s="7">
        <f t="shared" si="180"/>
        <v>2893333.3333333335</v>
      </c>
      <c r="U1072" s="7">
        <f t="shared" si="181"/>
        <v>9150000</v>
      </c>
      <c r="V1072" s="7">
        <f t="shared" si="182"/>
        <v>-398000</v>
      </c>
      <c r="W1072" s="7">
        <f t="shared" si="183"/>
        <v>361666.66666666674</v>
      </c>
      <c r="X1072" s="7">
        <f t="shared" si="184"/>
        <v>-36333.333333333256</v>
      </c>
    </row>
    <row r="1073" spans="1:24">
      <c r="A1073">
        <v>1072</v>
      </c>
      <c r="B1073" s="96" t="s">
        <v>2531</v>
      </c>
      <c r="C1073" s="95">
        <v>41657</v>
      </c>
      <c r="D1073" s="82">
        <v>8720000</v>
      </c>
      <c r="E1073" s="82">
        <v>8620000</v>
      </c>
      <c r="F1073" s="82">
        <v>8720000</v>
      </c>
      <c r="G1073" s="82">
        <v>8620000</v>
      </c>
      <c r="I1073" s="97">
        <v>0</v>
      </c>
      <c r="J1073" s="97">
        <v>0</v>
      </c>
      <c r="K1073" s="97">
        <v>0</v>
      </c>
      <c r="M1073" s="7">
        <f t="shared" si="177"/>
        <v>0</v>
      </c>
      <c r="N1073" s="7">
        <f t="shared" si="186"/>
        <v>0</v>
      </c>
      <c r="O1073" s="7">
        <f t="shared" si="185"/>
        <v>-60000</v>
      </c>
      <c r="P1073" s="99">
        <f t="shared" si="178"/>
        <v>-6.9124423963133645E-3</v>
      </c>
      <c r="Q1073" s="99">
        <f t="shared" si="187"/>
        <v>-1.506249891354914E-2</v>
      </c>
      <c r="S1073" s="7">
        <f t="shared" si="179"/>
        <v>9482000</v>
      </c>
      <c r="T1073" s="7">
        <f t="shared" si="180"/>
        <v>2873333.3333333335</v>
      </c>
      <c r="U1073" s="7">
        <f t="shared" si="181"/>
        <v>9140000</v>
      </c>
      <c r="V1073" s="7">
        <f t="shared" si="182"/>
        <v>0</v>
      </c>
      <c r="W1073" s="7">
        <f t="shared" si="183"/>
        <v>0</v>
      </c>
      <c r="X1073" s="7">
        <f t="shared" si="184"/>
        <v>0</v>
      </c>
    </row>
    <row r="1074" spans="1:24">
      <c r="A1074">
        <v>1073</v>
      </c>
      <c r="B1074" s="96" t="s">
        <v>2530</v>
      </c>
      <c r="C1074" s="95">
        <v>41658</v>
      </c>
      <c r="D1074" s="82">
        <v>8640000</v>
      </c>
      <c r="E1074" s="82">
        <v>8560000</v>
      </c>
      <c r="F1074" s="82">
        <v>8640000</v>
      </c>
      <c r="G1074" s="82">
        <v>8560000</v>
      </c>
      <c r="I1074" s="97">
        <v>0</v>
      </c>
      <c r="J1074" s="97">
        <v>0</v>
      </c>
      <c r="K1074" s="97">
        <v>0</v>
      </c>
      <c r="M1074" s="7">
        <f t="shared" si="177"/>
        <v>0</v>
      </c>
      <c r="N1074" s="7">
        <f t="shared" si="186"/>
        <v>0</v>
      </c>
      <c r="O1074" s="7">
        <f t="shared" si="185"/>
        <v>-60000</v>
      </c>
      <c r="P1074" s="99">
        <f t="shared" si="178"/>
        <v>-6.9605568445475635E-3</v>
      </c>
      <c r="Q1074" s="99">
        <f t="shared" si="187"/>
        <v>-1.7208713438777622E-2</v>
      </c>
      <c r="S1074" s="7">
        <f t="shared" si="179"/>
        <v>9416000</v>
      </c>
      <c r="T1074" s="7">
        <f t="shared" si="180"/>
        <v>2853333.3333333335</v>
      </c>
      <c r="U1074" s="7">
        <f t="shared" si="181"/>
        <v>9140000</v>
      </c>
      <c r="V1074" s="7">
        <f t="shared" si="182"/>
        <v>0</v>
      </c>
      <c r="W1074" s="7">
        <f t="shared" si="183"/>
        <v>0</v>
      </c>
      <c r="X1074" s="7">
        <f t="shared" si="184"/>
        <v>0</v>
      </c>
    </row>
    <row r="1075" spans="1:24">
      <c r="A1075">
        <v>1074</v>
      </c>
      <c r="B1075" s="96" t="s">
        <v>2529</v>
      </c>
      <c r="C1075" s="95">
        <v>41659</v>
      </c>
      <c r="D1075" s="82">
        <v>8540000</v>
      </c>
      <c r="E1075" s="82">
        <v>8500000</v>
      </c>
      <c r="F1075" s="82">
        <v>8570000</v>
      </c>
      <c r="G1075" s="82">
        <v>8500000</v>
      </c>
      <c r="I1075" s="97">
        <v>0</v>
      </c>
      <c r="J1075" s="97">
        <v>0</v>
      </c>
      <c r="K1075" s="97">
        <v>0</v>
      </c>
      <c r="M1075" s="7">
        <f t="shared" si="177"/>
        <v>0</v>
      </c>
      <c r="N1075" s="7">
        <f t="shared" si="186"/>
        <v>0</v>
      </c>
      <c r="O1075" s="7">
        <f t="shared" si="185"/>
        <v>-60000</v>
      </c>
      <c r="P1075" s="99">
        <f t="shared" si="178"/>
        <v>-7.0093457943925233E-3</v>
      </c>
      <c r="Q1075" s="99">
        <f t="shared" si="187"/>
        <v>-1.9608266862572617E-2</v>
      </c>
      <c r="S1075" s="7">
        <f t="shared" si="179"/>
        <v>9350000</v>
      </c>
      <c r="T1075" s="7">
        <f t="shared" si="180"/>
        <v>2833333.3333333335</v>
      </c>
      <c r="U1075" s="7">
        <f t="shared" si="181"/>
        <v>9170000</v>
      </c>
      <c r="V1075" s="7">
        <f t="shared" si="182"/>
        <v>0</v>
      </c>
      <c r="W1075" s="7">
        <f t="shared" si="183"/>
        <v>0</v>
      </c>
      <c r="X1075" s="7">
        <f t="shared" si="184"/>
        <v>0</v>
      </c>
    </row>
    <row r="1076" spans="1:24">
      <c r="A1076">
        <v>1075</v>
      </c>
      <c r="B1076" s="96" t="s">
        <v>2528</v>
      </c>
      <c r="C1076" s="95">
        <v>41660</v>
      </c>
      <c r="D1076" s="82">
        <v>8560000</v>
      </c>
      <c r="E1076" s="82">
        <v>8560000</v>
      </c>
      <c r="F1076" s="82">
        <v>8620000</v>
      </c>
      <c r="G1076" s="82">
        <v>8590000</v>
      </c>
      <c r="I1076" s="98">
        <v>0</v>
      </c>
      <c r="J1076" s="98">
        <v>0</v>
      </c>
      <c r="K1076" s="98">
        <v>0</v>
      </c>
      <c r="M1076" s="7">
        <f t="shared" si="177"/>
        <v>0</v>
      </c>
      <c r="N1076" s="7">
        <f t="shared" si="186"/>
        <v>0</v>
      </c>
      <c r="O1076" s="7">
        <f t="shared" si="185"/>
        <v>90000</v>
      </c>
      <c r="P1076" s="99">
        <f t="shared" si="178"/>
        <v>1.0588235294117647E-2</v>
      </c>
      <c r="Q1076" s="99">
        <f t="shared" si="187"/>
        <v>-2.432666191240615E-2</v>
      </c>
      <c r="S1076" s="7">
        <f t="shared" si="179"/>
        <v>9449000</v>
      </c>
      <c r="T1076" s="7">
        <f t="shared" si="180"/>
        <v>2863333.3333333335</v>
      </c>
      <c r="U1076" s="7">
        <f t="shared" si="181"/>
        <v>9170000</v>
      </c>
      <c r="V1076" s="7">
        <f t="shared" si="182"/>
        <v>0</v>
      </c>
      <c r="W1076" s="7">
        <f t="shared" si="183"/>
        <v>0</v>
      </c>
      <c r="X1076" s="7">
        <f t="shared" si="184"/>
        <v>0</v>
      </c>
    </row>
    <row r="1077" spans="1:24">
      <c r="A1077">
        <v>1076</v>
      </c>
      <c r="B1077" s="96" t="s">
        <v>2527</v>
      </c>
      <c r="C1077" s="95">
        <v>41661</v>
      </c>
      <c r="D1077" s="82">
        <v>8625000</v>
      </c>
      <c r="E1077" s="82">
        <v>8610000</v>
      </c>
      <c r="F1077" s="82">
        <v>8690000</v>
      </c>
      <c r="G1077" s="82">
        <v>8640000</v>
      </c>
      <c r="I1077" s="82">
        <f>G1077*1.1</f>
        <v>9504000</v>
      </c>
      <c r="J1077" s="82">
        <f>G1077/3</f>
        <v>2880000</v>
      </c>
      <c r="K1077" s="7">
        <f>G1345</f>
        <v>9140000</v>
      </c>
      <c r="L1077" s="7">
        <f>K1077-I1077</f>
        <v>-364000</v>
      </c>
      <c r="M1077" s="7">
        <f t="shared" si="177"/>
        <v>360000</v>
      </c>
      <c r="N1077" s="7">
        <f t="shared" si="186"/>
        <v>-4000</v>
      </c>
      <c r="O1077" s="7">
        <f t="shared" si="185"/>
        <v>50000</v>
      </c>
      <c r="P1077" s="99">
        <f t="shared" si="178"/>
        <v>5.8207217694994182E-3</v>
      </c>
      <c r="Q1077" s="99">
        <f t="shared" si="187"/>
        <v>-1.3738426618288503E-2</v>
      </c>
      <c r="R1077">
        <v>1</v>
      </c>
      <c r="S1077" s="7">
        <f t="shared" si="179"/>
        <v>9504000</v>
      </c>
      <c r="T1077" s="7">
        <f t="shared" si="180"/>
        <v>2880000</v>
      </c>
      <c r="U1077" s="7">
        <f t="shared" si="181"/>
        <v>9140000</v>
      </c>
      <c r="V1077" s="7">
        <f t="shared" si="182"/>
        <v>-364000</v>
      </c>
      <c r="W1077" s="7">
        <f t="shared" si="183"/>
        <v>360000</v>
      </c>
      <c r="X1077" s="7">
        <f t="shared" si="184"/>
        <v>-4000</v>
      </c>
    </row>
    <row r="1078" spans="1:24">
      <c r="A1078">
        <v>1077</v>
      </c>
      <c r="B1078" s="96" t="s">
        <v>2526</v>
      </c>
      <c r="C1078" s="95">
        <v>41662</v>
      </c>
      <c r="D1078" s="82">
        <v>8625000</v>
      </c>
      <c r="E1078" s="82">
        <v>8600000</v>
      </c>
      <c r="F1078" s="82">
        <v>8680000</v>
      </c>
      <c r="G1078" s="82">
        <v>8680000</v>
      </c>
      <c r="I1078" s="97">
        <v>0</v>
      </c>
      <c r="J1078" s="97">
        <v>0</v>
      </c>
      <c r="K1078" s="97">
        <v>0</v>
      </c>
      <c r="M1078" s="7">
        <f t="shared" si="177"/>
        <v>0</v>
      </c>
      <c r="N1078" s="7">
        <f t="shared" si="186"/>
        <v>0</v>
      </c>
      <c r="O1078" s="7">
        <f t="shared" si="185"/>
        <v>40000</v>
      </c>
      <c r="P1078" s="99">
        <f t="shared" si="178"/>
        <v>4.6296296296296294E-3</v>
      </c>
      <c r="Q1078" s="99">
        <f t="shared" si="187"/>
        <v>-4.4733879716363882E-3</v>
      </c>
      <c r="S1078" s="7">
        <f t="shared" si="179"/>
        <v>9548000</v>
      </c>
      <c r="T1078" s="7">
        <f t="shared" si="180"/>
        <v>2893333.3333333335</v>
      </c>
      <c r="U1078" s="7">
        <f t="shared" si="181"/>
        <v>9150000</v>
      </c>
      <c r="V1078" s="7">
        <f t="shared" si="182"/>
        <v>0</v>
      </c>
      <c r="W1078" s="7">
        <f t="shared" si="183"/>
        <v>0</v>
      </c>
      <c r="X1078" s="7">
        <f t="shared" si="184"/>
        <v>0</v>
      </c>
    </row>
    <row r="1079" spans="1:24">
      <c r="A1079">
        <v>1078</v>
      </c>
      <c r="B1079" s="96" t="s">
        <v>2525</v>
      </c>
      <c r="C1079" s="95">
        <v>41664</v>
      </c>
      <c r="D1079" s="82">
        <v>8750000</v>
      </c>
      <c r="E1079" s="82">
        <v>8750000</v>
      </c>
      <c r="F1079" s="82">
        <v>8810000</v>
      </c>
      <c r="G1079" s="82">
        <v>8785000</v>
      </c>
      <c r="I1079" s="97">
        <v>0</v>
      </c>
      <c r="J1079" s="97">
        <v>0</v>
      </c>
      <c r="K1079" s="97">
        <v>0</v>
      </c>
      <c r="M1079" s="7">
        <f t="shared" si="177"/>
        <v>0</v>
      </c>
      <c r="N1079" s="7">
        <f t="shared" si="186"/>
        <v>0</v>
      </c>
      <c r="O1079" s="7">
        <f t="shared" si="185"/>
        <v>105000</v>
      </c>
      <c r="P1079" s="99">
        <f t="shared" si="178"/>
        <v>1.2096774193548387E-2</v>
      </c>
      <c r="Q1079" s="99">
        <f t="shared" si="187"/>
        <v>7.0686840543066065E-3</v>
      </c>
      <c r="S1079" s="7">
        <f t="shared" si="179"/>
        <v>9663500</v>
      </c>
      <c r="T1079" s="7">
        <f t="shared" si="180"/>
        <v>2928333.3333333335</v>
      </c>
      <c r="U1079" s="7">
        <f t="shared" si="181"/>
        <v>9150000</v>
      </c>
      <c r="V1079" s="7">
        <f t="shared" si="182"/>
        <v>0</v>
      </c>
      <c r="W1079" s="7">
        <f t="shared" si="183"/>
        <v>0</v>
      </c>
      <c r="X1079" s="7">
        <f t="shared" si="184"/>
        <v>0</v>
      </c>
    </row>
    <row r="1080" spans="1:24">
      <c r="A1080">
        <v>1079</v>
      </c>
      <c r="B1080" s="96" t="s">
        <v>2524</v>
      </c>
      <c r="C1080" s="95">
        <v>41665</v>
      </c>
      <c r="D1080" s="82">
        <v>8788000</v>
      </c>
      <c r="E1080" s="82">
        <v>8756000</v>
      </c>
      <c r="F1080" s="82">
        <v>8793000</v>
      </c>
      <c r="G1080" s="82">
        <v>8763000</v>
      </c>
      <c r="I1080" s="97">
        <v>0</v>
      </c>
      <c r="J1080" s="97">
        <v>0</v>
      </c>
      <c r="K1080" s="97">
        <v>0</v>
      </c>
      <c r="M1080" s="7">
        <f t="shared" si="177"/>
        <v>0</v>
      </c>
      <c r="N1080" s="7">
        <f t="shared" si="186"/>
        <v>0</v>
      </c>
      <c r="O1080" s="7">
        <f t="shared" si="185"/>
        <v>-22000</v>
      </c>
      <c r="P1080" s="99">
        <f t="shared" si="178"/>
        <v>-2.5042686397268072E-3</v>
      </c>
      <c r="Q1080" s="99">
        <f t="shared" si="187"/>
        <v>2.6126015092402557E-2</v>
      </c>
      <c r="S1080" s="7">
        <f t="shared" si="179"/>
        <v>9639300</v>
      </c>
      <c r="T1080" s="7">
        <f t="shared" si="180"/>
        <v>2921000</v>
      </c>
      <c r="U1080" s="7">
        <f t="shared" si="181"/>
        <v>9220000</v>
      </c>
      <c r="V1080" s="7">
        <f t="shared" si="182"/>
        <v>0</v>
      </c>
      <c r="W1080" s="7">
        <f t="shared" si="183"/>
        <v>0</v>
      </c>
      <c r="X1080" s="7">
        <f t="shared" si="184"/>
        <v>0</v>
      </c>
    </row>
    <row r="1081" spans="1:24">
      <c r="A1081">
        <v>1080</v>
      </c>
      <c r="B1081" s="96" t="s">
        <v>2523</v>
      </c>
      <c r="C1081" s="95">
        <v>41666</v>
      </c>
      <c r="D1081" s="82">
        <v>8765000</v>
      </c>
      <c r="E1081" s="82">
        <v>8745000</v>
      </c>
      <c r="F1081" s="82">
        <v>8790000</v>
      </c>
      <c r="G1081" s="82">
        <v>8746000</v>
      </c>
      <c r="I1081" s="98">
        <v>0</v>
      </c>
      <c r="J1081" s="98">
        <v>0</v>
      </c>
      <c r="K1081" s="98">
        <v>0</v>
      </c>
      <c r="M1081" s="7">
        <f t="shared" si="177"/>
        <v>0</v>
      </c>
      <c r="N1081" s="7">
        <f t="shared" si="186"/>
        <v>0</v>
      </c>
      <c r="O1081" s="7">
        <f t="shared" si="185"/>
        <v>-17000</v>
      </c>
      <c r="P1081" s="99">
        <f t="shared" si="178"/>
        <v>-1.9399748944425425E-3</v>
      </c>
      <c r="Q1081" s="99">
        <f t="shared" si="187"/>
        <v>3.0631092247068278E-2</v>
      </c>
      <c r="S1081" s="7">
        <f t="shared" si="179"/>
        <v>9620600</v>
      </c>
      <c r="T1081" s="7">
        <f t="shared" si="180"/>
        <v>2915333.3333333335</v>
      </c>
      <c r="U1081" s="7">
        <f t="shared" si="181"/>
        <v>9290000</v>
      </c>
      <c r="V1081" s="7">
        <f t="shared" si="182"/>
        <v>0</v>
      </c>
      <c r="W1081" s="7">
        <f t="shared" si="183"/>
        <v>0</v>
      </c>
      <c r="X1081" s="7">
        <f t="shared" si="184"/>
        <v>0</v>
      </c>
    </row>
    <row r="1082" spans="1:24">
      <c r="A1082">
        <v>1081</v>
      </c>
      <c r="B1082" s="96" t="s">
        <v>2522</v>
      </c>
      <c r="C1082" s="95">
        <v>41667</v>
      </c>
      <c r="D1082" s="82">
        <v>8755000</v>
      </c>
      <c r="E1082" s="82">
        <v>8738000</v>
      </c>
      <c r="F1082" s="82">
        <v>8762000</v>
      </c>
      <c r="G1082" s="82">
        <v>8745000</v>
      </c>
      <c r="I1082" s="82">
        <f>G1082*1.1</f>
        <v>9619500</v>
      </c>
      <c r="J1082" s="82">
        <f>G1082/3</f>
        <v>2915000</v>
      </c>
      <c r="K1082" s="7">
        <f>G1350</f>
        <v>9380000</v>
      </c>
      <c r="L1082" s="7">
        <f>K1082-I1082</f>
        <v>-239500</v>
      </c>
      <c r="M1082" s="7">
        <f t="shared" si="177"/>
        <v>364375</v>
      </c>
      <c r="N1082" s="7">
        <f t="shared" si="186"/>
        <v>124875</v>
      </c>
      <c r="O1082" s="7">
        <f t="shared" si="185"/>
        <v>-1000</v>
      </c>
      <c r="P1082" s="99">
        <f t="shared" si="178"/>
        <v>-1.1433798307797851E-4</v>
      </c>
      <c r="Q1082" s="99">
        <f t="shared" si="187"/>
        <v>1.8102882058508088E-2</v>
      </c>
      <c r="R1082">
        <v>1</v>
      </c>
      <c r="S1082" s="7">
        <f t="shared" si="179"/>
        <v>9619500</v>
      </c>
      <c r="T1082" s="7">
        <f t="shared" si="180"/>
        <v>2915000</v>
      </c>
      <c r="U1082" s="7">
        <f t="shared" si="181"/>
        <v>9380000</v>
      </c>
      <c r="V1082" s="7">
        <f t="shared" si="182"/>
        <v>-239500</v>
      </c>
      <c r="W1082" s="7">
        <f t="shared" si="183"/>
        <v>364375</v>
      </c>
      <c r="X1082" s="7">
        <f t="shared" si="184"/>
        <v>124875</v>
      </c>
    </row>
    <row r="1083" spans="1:24">
      <c r="A1083">
        <v>1082</v>
      </c>
      <c r="B1083" s="96" t="s">
        <v>2521</v>
      </c>
      <c r="C1083" s="95">
        <v>41668</v>
      </c>
      <c r="D1083" s="82">
        <v>8750000</v>
      </c>
      <c r="E1083" s="82">
        <v>8747000</v>
      </c>
      <c r="F1083" s="82">
        <v>8778000</v>
      </c>
      <c r="G1083" s="82">
        <v>8755000</v>
      </c>
      <c r="I1083" s="97">
        <v>0</v>
      </c>
      <c r="J1083" s="97">
        <v>0</v>
      </c>
      <c r="K1083" s="97">
        <v>0</v>
      </c>
      <c r="M1083" s="7">
        <f t="shared" si="177"/>
        <v>0</v>
      </c>
      <c r="N1083" s="7">
        <f t="shared" si="186"/>
        <v>0</v>
      </c>
      <c r="O1083" s="7">
        <f t="shared" si="185"/>
        <v>10000</v>
      </c>
      <c r="P1083" s="99">
        <f t="shared" si="178"/>
        <v>1.1435105774728416E-3</v>
      </c>
      <c r="Q1083" s="99">
        <f t="shared" si="187"/>
        <v>1.2167822305930687E-2</v>
      </c>
      <c r="S1083" s="7">
        <f t="shared" si="179"/>
        <v>9630500</v>
      </c>
      <c r="T1083" s="7">
        <f t="shared" si="180"/>
        <v>2918333.3333333335</v>
      </c>
      <c r="U1083" s="7">
        <f t="shared" si="181"/>
        <v>9385000</v>
      </c>
      <c r="V1083" s="7">
        <f t="shared" si="182"/>
        <v>0</v>
      </c>
      <c r="W1083" s="7">
        <f t="shared" si="183"/>
        <v>0</v>
      </c>
      <c r="X1083" s="7">
        <f t="shared" si="184"/>
        <v>0</v>
      </c>
    </row>
    <row r="1084" spans="1:24">
      <c r="A1084">
        <v>1083</v>
      </c>
      <c r="B1084" s="96" t="s">
        <v>2520</v>
      </c>
      <c r="C1084" s="95">
        <v>41669</v>
      </c>
      <c r="D1084" s="82">
        <v>8753000</v>
      </c>
      <c r="E1084" s="82">
        <v>8675000</v>
      </c>
      <c r="F1084" s="82">
        <v>8755000</v>
      </c>
      <c r="G1084" s="82">
        <v>8685000</v>
      </c>
      <c r="I1084" s="97">
        <v>0</v>
      </c>
      <c r="J1084" s="97">
        <v>0</v>
      </c>
      <c r="K1084" s="97">
        <v>0</v>
      </c>
      <c r="M1084" s="7">
        <f t="shared" si="177"/>
        <v>0</v>
      </c>
      <c r="N1084" s="7">
        <f t="shared" si="186"/>
        <v>0</v>
      </c>
      <c r="O1084" s="7">
        <f t="shared" si="185"/>
        <v>-70000</v>
      </c>
      <c r="P1084" s="99">
        <f t="shared" si="178"/>
        <v>-7.9954311821816108E-3</v>
      </c>
      <c r="Q1084" s="99">
        <f t="shared" si="187"/>
        <v>8.6817032537739001E-3</v>
      </c>
      <c r="S1084" s="7">
        <f t="shared" si="179"/>
        <v>9553500</v>
      </c>
      <c r="T1084" s="7">
        <f t="shared" si="180"/>
        <v>2895000</v>
      </c>
      <c r="U1084" s="7">
        <f t="shared" si="181"/>
        <v>9450000</v>
      </c>
      <c r="V1084" s="7">
        <f t="shared" si="182"/>
        <v>0</v>
      </c>
      <c r="W1084" s="7">
        <f t="shared" si="183"/>
        <v>0</v>
      </c>
      <c r="X1084" s="7">
        <f t="shared" si="184"/>
        <v>0</v>
      </c>
    </row>
    <row r="1085" spans="1:24">
      <c r="A1085">
        <v>1084</v>
      </c>
      <c r="B1085" s="96" t="s">
        <v>2519</v>
      </c>
      <c r="C1085" s="95">
        <v>41670</v>
      </c>
      <c r="D1085" s="82">
        <v>8680000</v>
      </c>
      <c r="E1085" s="82">
        <v>8670000</v>
      </c>
      <c r="F1085" s="82">
        <v>8713000</v>
      </c>
      <c r="G1085" s="82">
        <v>8682000</v>
      </c>
      <c r="I1085" s="97">
        <v>0</v>
      </c>
      <c r="J1085" s="97">
        <v>0</v>
      </c>
      <c r="K1085" s="97">
        <v>0</v>
      </c>
      <c r="M1085" s="7">
        <f t="shared" si="177"/>
        <v>0</v>
      </c>
      <c r="N1085" s="7">
        <f t="shared" si="186"/>
        <v>0</v>
      </c>
      <c r="O1085" s="7">
        <f t="shared" si="185"/>
        <v>-3000</v>
      </c>
      <c r="P1085" s="99">
        <f t="shared" si="178"/>
        <v>-3.4542314335060447E-4</v>
      </c>
      <c r="Q1085" s="99">
        <f t="shared" si="187"/>
        <v>-1.1410502121956097E-2</v>
      </c>
      <c r="S1085" s="7">
        <f t="shared" si="179"/>
        <v>9550200</v>
      </c>
      <c r="T1085" s="7">
        <f t="shared" si="180"/>
        <v>2894000</v>
      </c>
      <c r="U1085" s="7">
        <f t="shared" si="181"/>
        <v>9550000</v>
      </c>
      <c r="V1085" s="7">
        <f t="shared" si="182"/>
        <v>0</v>
      </c>
      <c r="W1085" s="7">
        <f t="shared" si="183"/>
        <v>0</v>
      </c>
      <c r="X1085" s="7">
        <f t="shared" si="184"/>
        <v>0</v>
      </c>
    </row>
    <row r="1086" spans="1:24">
      <c r="A1086">
        <v>1085</v>
      </c>
      <c r="B1086" s="96" t="s">
        <v>2518</v>
      </c>
      <c r="C1086" s="95">
        <v>41671</v>
      </c>
      <c r="D1086" s="82">
        <v>8680000</v>
      </c>
      <c r="E1086" s="82">
        <v>8675000</v>
      </c>
      <c r="F1086" s="82">
        <v>8705000</v>
      </c>
      <c r="G1086" s="82">
        <v>8703000</v>
      </c>
      <c r="I1086" s="98">
        <v>0</v>
      </c>
      <c r="J1086" s="98">
        <v>0</v>
      </c>
      <c r="K1086" s="98">
        <v>0</v>
      </c>
      <c r="M1086" s="7">
        <f t="shared" si="177"/>
        <v>0</v>
      </c>
      <c r="N1086" s="7">
        <f t="shared" si="186"/>
        <v>0</v>
      </c>
      <c r="O1086" s="7">
        <f t="shared" si="185"/>
        <v>21000</v>
      </c>
      <c r="P1086" s="99">
        <f t="shared" si="178"/>
        <v>2.4187975120939877E-3</v>
      </c>
      <c r="Q1086" s="99">
        <f t="shared" si="187"/>
        <v>-9.2516566255798956E-3</v>
      </c>
      <c r="S1086" s="7">
        <f t="shared" si="179"/>
        <v>9573300</v>
      </c>
      <c r="T1086" s="7">
        <f t="shared" si="180"/>
        <v>2901000</v>
      </c>
      <c r="U1086" s="7">
        <f t="shared" si="181"/>
        <v>9510000</v>
      </c>
      <c r="V1086" s="7">
        <f t="shared" si="182"/>
        <v>0</v>
      </c>
      <c r="W1086" s="7">
        <f t="shared" si="183"/>
        <v>0</v>
      </c>
      <c r="X1086" s="7">
        <f t="shared" si="184"/>
        <v>0</v>
      </c>
    </row>
    <row r="1087" spans="1:24">
      <c r="A1087">
        <v>1086</v>
      </c>
      <c r="B1087" s="96" t="s">
        <v>2517</v>
      </c>
      <c r="C1087" s="95">
        <v>41672</v>
      </c>
      <c r="D1087" s="82">
        <v>8710000</v>
      </c>
      <c r="E1087" s="82">
        <v>8700000</v>
      </c>
      <c r="F1087" s="82">
        <v>8735000</v>
      </c>
      <c r="G1087" s="82">
        <v>8735000</v>
      </c>
      <c r="I1087" s="82">
        <f>G1087*1.1</f>
        <v>9608500</v>
      </c>
      <c r="J1087" s="82">
        <f>G1087/3</f>
        <v>2911666.6666666665</v>
      </c>
      <c r="K1087" s="7">
        <f>G1355</f>
        <v>9555000</v>
      </c>
      <c r="L1087" s="7">
        <f>K1087-I1087</f>
        <v>-53500</v>
      </c>
      <c r="M1087" s="7">
        <f t="shared" si="177"/>
        <v>363958.33333333326</v>
      </c>
      <c r="N1087" s="7">
        <f t="shared" si="186"/>
        <v>310458.33333333326</v>
      </c>
      <c r="O1087" s="7">
        <f t="shared" si="185"/>
        <v>32000</v>
      </c>
      <c r="P1087" s="99">
        <f t="shared" si="178"/>
        <v>3.6768930253935424E-3</v>
      </c>
      <c r="Q1087" s="99">
        <f t="shared" si="187"/>
        <v>-4.8928842190433652E-3</v>
      </c>
      <c r="R1087">
        <v>1</v>
      </c>
      <c r="S1087" s="7">
        <f t="shared" si="179"/>
        <v>9608500</v>
      </c>
      <c r="T1087" s="7">
        <f t="shared" si="180"/>
        <v>2911666.6666666665</v>
      </c>
      <c r="U1087" s="7">
        <f t="shared" si="181"/>
        <v>9555000</v>
      </c>
      <c r="V1087" s="7">
        <f t="shared" si="182"/>
        <v>-53500</v>
      </c>
      <c r="W1087" s="7">
        <f t="shared" si="183"/>
        <v>363958.33333333326</v>
      </c>
      <c r="X1087" s="7">
        <f t="shared" si="184"/>
        <v>310458.33333333326</v>
      </c>
    </row>
    <row r="1088" spans="1:24">
      <c r="A1088">
        <v>1087</v>
      </c>
      <c r="B1088" s="96" t="s">
        <v>2516</v>
      </c>
      <c r="C1088" s="95">
        <v>41673</v>
      </c>
      <c r="D1088" s="82">
        <v>8740000</v>
      </c>
      <c r="E1088" s="82">
        <v>8719000</v>
      </c>
      <c r="F1088" s="82">
        <v>8767000</v>
      </c>
      <c r="G1088" s="82">
        <v>8762000</v>
      </c>
      <c r="I1088" s="97">
        <v>0</v>
      </c>
      <c r="J1088" s="97">
        <v>0</v>
      </c>
      <c r="K1088" s="97">
        <v>0</v>
      </c>
      <c r="M1088" s="7">
        <f t="shared" si="177"/>
        <v>0</v>
      </c>
      <c r="N1088" s="7">
        <f t="shared" si="186"/>
        <v>0</v>
      </c>
      <c r="O1088" s="7">
        <f t="shared" si="185"/>
        <v>27000</v>
      </c>
      <c r="P1088" s="99">
        <f t="shared" si="178"/>
        <v>3.0910131654264452E-3</v>
      </c>
      <c r="Q1088" s="99">
        <f t="shared" si="187"/>
        <v>-1.1016532105718436E-3</v>
      </c>
      <c r="S1088" s="7">
        <f t="shared" si="179"/>
        <v>9638200</v>
      </c>
      <c r="T1088" s="7">
        <f t="shared" si="180"/>
        <v>2920666.6666666665</v>
      </c>
      <c r="U1088" s="7">
        <f t="shared" si="181"/>
        <v>9560000</v>
      </c>
      <c r="V1088" s="7">
        <f t="shared" si="182"/>
        <v>0</v>
      </c>
      <c r="W1088" s="7">
        <f t="shared" si="183"/>
        <v>0</v>
      </c>
      <c r="X1088" s="7">
        <f t="shared" si="184"/>
        <v>0</v>
      </c>
    </row>
    <row r="1089" spans="1:24">
      <c r="A1089">
        <v>1088</v>
      </c>
      <c r="B1089" s="96" t="s">
        <v>2515</v>
      </c>
      <c r="C1089" s="95">
        <v>41674</v>
      </c>
      <c r="D1089" s="82">
        <v>8770000</v>
      </c>
      <c r="E1089" s="82">
        <v>8746000</v>
      </c>
      <c r="F1089" s="82">
        <v>8770000</v>
      </c>
      <c r="G1089" s="82">
        <v>8753000</v>
      </c>
      <c r="I1089" s="97">
        <v>0</v>
      </c>
      <c r="J1089" s="97">
        <v>0</v>
      </c>
      <c r="K1089" s="97">
        <v>0</v>
      </c>
      <c r="M1089" s="7">
        <f t="shared" si="177"/>
        <v>0</v>
      </c>
      <c r="N1089" s="7">
        <f t="shared" si="186"/>
        <v>0</v>
      </c>
      <c r="O1089" s="7">
        <f t="shared" si="185"/>
        <v>-9000</v>
      </c>
      <c r="P1089" s="99">
        <f t="shared" si="178"/>
        <v>-1.0271627482309974E-3</v>
      </c>
      <c r="Q1089" s="99">
        <f t="shared" si="187"/>
        <v>8.4584937738175917E-4</v>
      </c>
      <c r="S1089" s="7">
        <f t="shared" si="179"/>
        <v>9628300</v>
      </c>
      <c r="T1089" s="7">
        <f t="shared" si="180"/>
        <v>2917666.6666666665</v>
      </c>
      <c r="U1089" s="7">
        <f t="shared" si="181"/>
        <v>9565000</v>
      </c>
      <c r="V1089" s="7">
        <f t="shared" si="182"/>
        <v>0</v>
      </c>
      <c r="W1089" s="7">
        <f t="shared" si="183"/>
        <v>0</v>
      </c>
      <c r="X1089" s="7">
        <f t="shared" si="184"/>
        <v>0</v>
      </c>
    </row>
    <row r="1090" spans="1:24">
      <c r="A1090">
        <v>1089</v>
      </c>
      <c r="B1090" s="96" t="s">
        <v>2514</v>
      </c>
      <c r="C1090" s="95">
        <v>41675</v>
      </c>
      <c r="D1090" s="82">
        <v>8750000</v>
      </c>
      <c r="E1090" s="82">
        <v>8748500</v>
      </c>
      <c r="F1090" s="82">
        <v>8794000</v>
      </c>
      <c r="G1090" s="82">
        <v>8771000</v>
      </c>
      <c r="I1090" s="97">
        <v>0</v>
      </c>
      <c r="J1090" s="97">
        <v>0</v>
      </c>
      <c r="K1090" s="97">
        <v>0</v>
      </c>
      <c r="M1090" s="7">
        <f t="shared" ref="M1090:M1153" si="188">J1090*$AI$6/200</f>
        <v>0</v>
      </c>
      <c r="N1090" s="7">
        <f t="shared" si="186"/>
        <v>0</v>
      </c>
      <c r="O1090" s="7">
        <f t="shared" si="185"/>
        <v>18000</v>
      </c>
      <c r="P1090" s="99">
        <f t="shared" si="178"/>
        <v>2.056437792756769E-3</v>
      </c>
      <c r="Q1090" s="99">
        <f t="shared" si="187"/>
        <v>7.8141178113323734E-3</v>
      </c>
      <c r="S1090" s="7">
        <f t="shared" si="179"/>
        <v>9648100</v>
      </c>
      <c r="T1090" s="7">
        <f t="shared" si="180"/>
        <v>2923666.6666666665</v>
      </c>
      <c r="U1090" s="7">
        <f t="shared" si="181"/>
        <v>9490000</v>
      </c>
      <c r="V1090" s="7">
        <f t="shared" si="182"/>
        <v>0</v>
      </c>
      <c r="W1090" s="7">
        <f t="shared" si="183"/>
        <v>0</v>
      </c>
      <c r="X1090" s="7">
        <f t="shared" si="184"/>
        <v>0</v>
      </c>
    </row>
    <row r="1091" spans="1:24">
      <c r="A1091">
        <v>1090</v>
      </c>
      <c r="B1091" s="96" t="s">
        <v>2513</v>
      </c>
      <c r="C1091" s="95">
        <v>41676</v>
      </c>
      <c r="D1091" s="82">
        <v>8770000</v>
      </c>
      <c r="E1091" s="82">
        <v>8768000</v>
      </c>
      <c r="F1091" s="82">
        <v>8790000</v>
      </c>
      <c r="G1091" s="82">
        <v>8790000</v>
      </c>
      <c r="I1091" s="98">
        <v>0</v>
      </c>
      <c r="J1091" s="98">
        <v>0</v>
      </c>
      <c r="K1091" s="98">
        <v>0</v>
      </c>
      <c r="M1091" s="7">
        <f t="shared" si="188"/>
        <v>0</v>
      </c>
      <c r="N1091" s="7">
        <f t="shared" si="186"/>
        <v>0</v>
      </c>
      <c r="O1091" s="7">
        <f t="shared" si="185"/>
        <v>19000</v>
      </c>
      <c r="P1091" s="99">
        <f t="shared" ref="P1091:P1154" si="189">O1091/G1090</f>
        <v>2.1662296203397561E-3</v>
      </c>
      <c r="Q1091" s="99">
        <f t="shared" si="187"/>
        <v>1.0215978747439746E-2</v>
      </c>
      <c r="S1091" s="7">
        <f t="shared" ref="S1091:S1154" si="190">G1091*1.1</f>
        <v>9669000</v>
      </c>
      <c r="T1091" s="7">
        <f t="shared" ref="T1091:T1154" si="191">G1091/3</f>
        <v>2930000</v>
      </c>
      <c r="U1091" s="7">
        <f t="shared" ref="U1091:U1154" si="192">G1359</f>
        <v>9570000</v>
      </c>
      <c r="V1091" s="7">
        <f t="shared" ref="V1091:V1154" si="193">(U1091-S1091)*R1091</f>
        <v>0</v>
      </c>
      <c r="W1091" s="7">
        <f t="shared" ref="W1091:W1154" si="194">(T1091*$AI$6/200)*R1091</f>
        <v>0</v>
      </c>
      <c r="X1091" s="7">
        <f t="shared" ref="X1091:X1154" si="195">V1091+W1091</f>
        <v>0</v>
      </c>
    </row>
    <row r="1092" spans="1:24">
      <c r="A1092">
        <v>1091</v>
      </c>
      <c r="B1092" s="96" t="s">
        <v>2512</v>
      </c>
      <c r="C1092" s="95">
        <v>41677</v>
      </c>
      <c r="D1092" s="82">
        <v>8795000</v>
      </c>
      <c r="E1092" s="82">
        <v>8790000</v>
      </c>
      <c r="F1092" s="82">
        <v>8827000</v>
      </c>
      <c r="G1092" s="82">
        <v>8827000</v>
      </c>
      <c r="I1092" s="82">
        <f>G1092*1.1</f>
        <v>9709700</v>
      </c>
      <c r="J1092" s="82">
        <f>G1092/3</f>
        <v>2942333.3333333335</v>
      </c>
      <c r="K1092" s="7">
        <f>G1360</f>
        <v>9630000</v>
      </c>
      <c r="L1092" s="7">
        <f>K1092-I1092</f>
        <v>-79700</v>
      </c>
      <c r="M1092" s="7">
        <f t="shared" si="188"/>
        <v>367791.66666666674</v>
      </c>
      <c r="N1092" s="7">
        <f t="shared" si="186"/>
        <v>288091.66666666674</v>
      </c>
      <c r="O1092" s="7">
        <f t="shared" ref="O1092:O1155" si="196">G1092-G1091</f>
        <v>37000</v>
      </c>
      <c r="P1092" s="99">
        <f t="shared" si="189"/>
        <v>4.2093287827076227E-3</v>
      </c>
      <c r="Q1092" s="99">
        <f t="shared" si="187"/>
        <v>9.9634108556855144E-3</v>
      </c>
      <c r="R1092">
        <v>1</v>
      </c>
      <c r="S1092" s="7">
        <f t="shared" si="190"/>
        <v>9709700</v>
      </c>
      <c r="T1092" s="7">
        <f t="shared" si="191"/>
        <v>2942333.3333333335</v>
      </c>
      <c r="U1092" s="7">
        <f t="shared" si="192"/>
        <v>9630000</v>
      </c>
      <c r="V1092" s="7">
        <f t="shared" si="193"/>
        <v>-79700</v>
      </c>
      <c r="W1092" s="7">
        <f t="shared" si="194"/>
        <v>367791.66666666674</v>
      </c>
      <c r="X1092" s="7">
        <f t="shared" si="195"/>
        <v>288091.66666666674</v>
      </c>
    </row>
    <row r="1093" spans="1:24">
      <c r="A1093">
        <v>1092</v>
      </c>
      <c r="B1093" s="96" t="s">
        <v>2511</v>
      </c>
      <c r="C1093" s="95">
        <v>41678</v>
      </c>
      <c r="D1093" s="82">
        <v>8830000</v>
      </c>
      <c r="E1093" s="82">
        <v>8820000</v>
      </c>
      <c r="F1093" s="82">
        <v>8855000</v>
      </c>
      <c r="G1093" s="82">
        <v>8830000</v>
      </c>
      <c r="I1093" s="97">
        <v>0</v>
      </c>
      <c r="J1093" s="97">
        <v>0</v>
      </c>
      <c r="K1093" s="97">
        <v>0</v>
      </c>
      <c r="M1093" s="7">
        <f t="shared" si="188"/>
        <v>0</v>
      </c>
      <c r="N1093" s="7">
        <f t="shared" si="186"/>
        <v>0</v>
      </c>
      <c r="O1093" s="7">
        <f t="shared" si="196"/>
        <v>3000</v>
      </c>
      <c r="P1093" s="99">
        <f t="shared" si="189"/>
        <v>3.3986631924776253E-4</v>
      </c>
      <c r="Q1093" s="99">
        <f t="shared" si="187"/>
        <v>1.0495846612999595E-2</v>
      </c>
      <c r="S1093" s="7">
        <f t="shared" si="190"/>
        <v>9713000</v>
      </c>
      <c r="T1093" s="7">
        <f t="shared" si="191"/>
        <v>2943333.3333333335</v>
      </c>
      <c r="U1093" s="7">
        <f t="shared" si="192"/>
        <v>9680000</v>
      </c>
      <c r="V1093" s="7">
        <f t="shared" si="193"/>
        <v>0</v>
      </c>
      <c r="W1093" s="7">
        <f t="shared" si="194"/>
        <v>0</v>
      </c>
      <c r="X1093" s="7">
        <f t="shared" si="195"/>
        <v>0</v>
      </c>
    </row>
    <row r="1094" spans="1:24">
      <c r="A1094">
        <v>1093</v>
      </c>
      <c r="B1094" s="96" t="s">
        <v>2510</v>
      </c>
      <c r="C1094" s="95">
        <v>41679</v>
      </c>
      <c r="D1094" s="82">
        <v>8825000</v>
      </c>
      <c r="E1094" s="82">
        <v>8801000</v>
      </c>
      <c r="F1094" s="82">
        <v>8833000</v>
      </c>
      <c r="G1094" s="82">
        <v>8806000</v>
      </c>
      <c r="I1094" s="97">
        <v>0</v>
      </c>
      <c r="J1094" s="97">
        <v>0</v>
      </c>
      <c r="K1094" s="97">
        <v>0</v>
      </c>
      <c r="M1094" s="7">
        <f t="shared" si="188"/>
        <v>0</v>
      </c>
      <c r="N1094" s="7">
        <f t="shared" si="186"/>
        <v>0</v>
      </c>
      <c r="O1094" s="7">
        <f t="shared" si="196"/>
        <v>-24000</v>
      </c>
      <c r="P1094" s="99">
        <f t="shared" si="189"/>
        <v>-2.7180067950169874E-3</v>
      </c>
      <c r="Q1094" s="99">
        <f t="shared" si="187"/>
        <v>7.7446997668209122E-3</v>
      </c>
      <c r="S1094" s="7">
        <f t="shared" si="190"/>
        <v>9686600</v>
      </c>
      <c r="T1094" s="7">
        <f t="shared" si="191"/>
        <v>2935333.3333333335</v>
      </c>
      <c r="U1094" s="7">
        <f t="shared" si="192"/>
        <v>9810000</v>
      </c>
      <c r="V1094" s="7">
        <f t="shared" si="193"/>
        <v>0</v>
      </c>
      <c r="W1094" s="7">
        <f t="shared" si="194"/>
        <v>0</v>
      </c>
      <c r="X1094" s="7">
        <f t="shared" si="195"/>
        <v>0</v>
      </c>
    </row>
    <row r="1095" spans="1:24">
      <c r="A1095">
        <v>1094</v>
      </c>
      <c r="B1095" s="96" t="s">
        <v>2509</v>
      </c>
      <c r="C1095" s="95">
        <v>41680</v>
      </c>
      <c r="D1095" s="82">
        <v>8820000</v>
      </c>
      <c r="E1095" s="82">
        <v>8820000</v>
      </c>
      <c r="F1095" s="82">
        <v>8885000</v>
      </c>
      <c r="G1095" s="82">
        <v>8882000</v>
      </c>
      <c r="I1095" s="97">
        <v>0</v>
      </c>
      <c r="J1095" s="97">
        <v>0</v>
      </c>
      <c r="K1095" s="97">
        <v>0</v>
      </c>
      <c r="M1095" s="7">
        <f t="shared" si="188"/>
        <v>0</v>
      </c>
      <c r="N1095" s="7">
        <f t="shared" si="186"/>
        <v>0</v>
      </c>
      <c r="O1095" s="7">
        <f t="shared" si="196"/>
        <v>76000</v>
      </c>
      <c r="P1095" s="99">
        <f t="shared" si="189"/>
        <v>8.6304792187145134E-3</v>
      </c>
      <c r="Q1095" s="99">
        <f t="shared" si="187"/>
        <v>6.0538557200349235E-3</v>
      </c>
      <c r="S1095" s="7">
        <f t="shared" si="190"/>
        <v>9770200</v>
      </c>
      <c r="T1095" s="7">
        <f t="shared" si="191"/>
        <v>2960666.6666666665</v>
      </c>
      <c r="U1095" s="7">
        <f t="shared" si="192"/>
        <v>9800000</v>
      </c>
      <c r="V1095" s="7">
        <f t="shared" si="193"/>
        <v>0</v>
      </c>
      <c r="W1095" s="7">
        <f t="shared" si="194"/>
        <v>0</v>
      </c>
      <c r="X1095" s="7">
        <f t="shared" si="195"/>
        <v>0</v>
      </c>
    </row>
    <row r="1096" spans="1:24">
      <c r="A1096">
        <v>1095</v>
      </c>
      <c r="B1096" s="96" t="s">
        <v>2508</v>
      </c>
      <c r="C1096" s="95">
        <v>41681</v>
      </c>
      <c r="D1096" s="82">
        <v>8900000</v>
      </c>
      <c r="E1096" s="82">
        <v>8897000</v>
      </c>
      <c r="F1096" s="82">
        <v>8968000</v>
      </c>
      <c r="G1096" s="82">
        <v>8968000</v>
      </c>
      <c r="I1096" s="98">
        <v>0</v>
      </c>
      <c r="J1096" s="98">
        <v>0</v>
      </c>
      <c r="K1096" s="98">
        <v>0</v>
      </c>
      <c r="M1096" s="7">
        <f t="shared" si="188"/>
        <v>0</v>
      </c>
      <c r="N1096" s="7">
        <f t="shared" ref="N1096:N1159" si="197">L1096+M1096</f>
        <v>0</v>
      </c>
      <c r="O1096" s="7">
        <f t="shared" si="196"/>
        <v>86000</v>
      </c>
      <c r="P1096" s="99">
        <f t="shared" si="189"/>
        <v>9.6825039405539284E-3</v>
      </c>
      <c r="Q1096" s="99">
        <f t="shared" ref="Q1096:Q1159" si="198">SUM(P1091:P1095)</f>
        <v>1.2627897145992667E-2</v>
      </c>
      <c r="S1096" s="7">
        <f t="shared" si="190"/>
        <v>9864800</v>
      </c>
      <c r="T1096" s="7">
        <f t="shared" si="191"/>
        <v>2989333.3333333335</v>
      </c>
      <c r="U1096" s="7">
        <f t="shared" si="192"/>
        <v>9800000</v>
      </c>
      <c r="V1096" s="7">
        <f t="shared" si="193"/>
        <v>0</v>
      </c>
      <c r="W1096" s="7">
        <f t="shared" si="194"/>
        <v>0</v>
      </c>
      <c r="X1096" s="7">
        <f t="shared" si="195"/>
        <v>0</v>
      </c>
    </row>
    <row r="1097" spans="1:24">
      <c r="A1097">
        <v>1096</v>
      </c>
      <c r="B1097" s="96" t="s">
        <v>2507</v>
      </c>
      <c r="C1097" s="95">
        <v>41682</v>
      </c>
      <c r="D1097" s="82">
        <v>8953000</v>
      </c>
      <c r="E1097" s="82">
        <v>8946000</v>
      </c>
      <c r="F1097" s="82">
        <v>9126000</v>
      </c>
      <c r="G1097" s="82">
        <v>9122000</v>
      </c>
      <c r="I1097" s="82">
        <f>G1097*1.1</f>
        <v>10034200</v>
      </c>
      <c r="J1097" s="82">
        <f>G1097/3</f>
        <v>3040666.6666666665</v>
      </c>
      <c r="K1097" s="7">
        <f>G1365</f>
        <v>9800000</v>
      </c>
      <c r="L1097" s="7">
        <f>K1097-I1097</f>
        <v>-234200</v>
      </c>
      <c r="M1097" s="7">
        <f t="shared" si="188"/>
        <v>380083.33333333326</v>
      </c>
      <c r="N1097" s="7">
        <f t="shared" si="197"/>
        <v>145883.33333333326</v>
      </c>
      <c r="O1097" s="7">
        <f t="shared" si="196"/>
        <v>154000</v>
      </c>
      <c r="P1097" s="99">
        <f t="shared" si="189"/>
        <v>1.7172167707404103E-2</v>
      </c>
      <c r="Q1097" s="99">
        <f t="shared" si="198"/>
        <v>2.0144171466206839E-2</v>
      </c>
      <c r="R1097">
        <v>1</v>
      </c>
      <c r="S1097" s="7">
        <f t="shared" si="190"/>
        <v>10034200</v>
      </c>
      <c r="T1097" s="7">
        <f t="shared" si="191"/>
        <v>3040666.6666666665</v>
      </c>
      <c r="U1097" s="7">
        <f t="shared" si="192"/>
        <v>9800000</v>
      </c>
      <c r="V1097" s="7">
        <f t="shared" si="193"/>
        <v>-234200</v>
      </c>
      <c r="W1097" s="7">
        <f t="shared" si="194"/>
        <v>380083.33333333326</v>
      </c>
      <c r="X1097" s="7">
        <f t="shared" si="195"/>
        <v>145883.33333333326</v>
      </c>
    </row>
    <row r="1098" spans="1:24">
      <c r="A1098">
        <v>1097</v>
      </c>
      <c r="B1098" s="96" t="s">
        <v>2506</v>
      </c>
      <c r="C1098" s="95">
        <v>41683</v>
      </c>
      <c r="D1098" s="82">
        <v>9100000</v>
      </c>
      <c r="E1098" s="82">
        <v>9036000</v>
      </c>
      <c r="F1098" s="82">
        <v>9145000</v>
      </c>
      <c r="G1098" s="82">
        <v>9145000</v>
      </c>
      <c r="I1098" s="97">
        <v>0</v>
      </c>
      <c r="J1098" s="97">
        <v>0</v>
      </c>
      <c r="K1098" s="97">
        <v>0</v>
      </c>
      <c r="M1098" s="7">
        <f t="shared" si="188"/>
        <v>0</v>
      </c>
      <c r="N1098" s="7">
        <f t="shared" si="197"/>
        <v>0</v>
      </c>
      <c r="O1098" s="7">
        <f t="shared" si="196"/>
        <v>23000</v>
      </c>
      <c r="P1098" s="99">
        <f t="shared" si="189"/>
        <v>2.5213768910326683E-3</v>
      </c>
      <c r="Q1098" s="99">
        <f t="shared" si="198"/>
        <v>3.3107010390903316E-2</v>
      </c>
      <c r="S1098" s="7">
        <f t="shared" si="190"/>
        <v>10059500</v>
      </c>
      <c r="T1098" s="7">
        <f t="shared" si="191"/>
        <v>3048333.3333333335</v>
      </c>
      <c r="U1098" s="7">
        <f t="shared" si="192"/>
        <v>10010000</v>
      </c>
      <c r="V1098" s="7">
        <f t="shared" si="193"/>
        <v>0</v>
      </c>
      <c r="W1098" s="7">
        <f t="shared" si="194"/>
        <v>0</v>
      </c>
      <c r="X1098" s="7">
        <f t="shared" si="195"/>
        <v>0</v>
      </c>
    </row>
    <row r="1099" spans="1:24">
      <c r="A1099">
        <v>1098</v>
      </c>
      <c r="B1099" s="96" t="s">
        <v>2505</v>
      </c>
      <c r="C1099" s="95">
        <v>41684</v>
      </c>
      <c r="D1099" s="82">
        <v>9170000</v>
      </c>
      <c r="E1099" s="82">
        <v>9170000</v>
      </c>
      <c r="F1099" s="82">
        <v>9310000</v>
      </c>
      <c r="G1099" s="82">
        <v>9273000</v>
      </c>
      <c r="I1099" s="97">
        <v>0</v>
      </c>
      <c r="J1099" s="97">
        <v>0</v>
      </c>
      <c r="K1099" s="97">
        <v>0</v>
      </c>
      <c r="M1099" s="7">
        <f t="shared" si="188"/>
        <v>0</v>
      </c>
      <c r="N1099" s="7">
        <f t="shared" si="197"/>
        <v>0</v>
      </c>
      <c r="O1099" s="7">
        <f t="shared" si="196"/>
        <v>128000</v>
      </c>
      <c r="P1099" s="99">
        <f t="shared" si="189"/>
        <v>1.3996719518862766E-2</v>
      </c>
      <c r="Q1099" s="99">
        <f t="shared" si="198"/>
        <v>3.5288520962688225E-2</v>
      </c>
      <c r="S1099" s="7">
        <f t="shared" si="190"/>
        <v>10200300</v>
      </c>
      <c r="T1099" s="7">
        <f t="shared" si="191"/>
        <v>3091000</v>
      </c>
      <c r="U1099" s="7">
        <f t="shared" si="192"/>
        <v>9960000</v>
      </c>
      <c r="V1099" s="7">
        <f t="shared" si="193"/>
        <v>0</v>
      </c>
      <c r="W1099" s="7">
        <f t="shared" si="194"/>
        <v>0</v>
      </c>
      <c r="X1099" s="7">
        <f t="shared" si="195"/>
        <v>0</v>
      </c>
    </row>
    <row r="1100" spans="1:24">
      <c r="A1100">
        <v>1099</v>
      </c>
      <c r="B1100" s="96" t="s">
        <v>2504</v>
      </c>
      <c r="C1100" s="95">
        <v>41685</v>
      </c>
      <c r="D1100" s="82">
        <v>9235000</v>
      </c>
      <c r="E1100" s="82">
        <v>9235000</v>
      </c>
      <c r="F1100" s="82">
        <v>9400000</v>
      </c>
      <c r="G1100" s="82">
        <v>9315000</v>
      </c>
      <c r="I1100" s="97">
        <v>0</v>
      </c>
      <c r="J1100" s="97">
        <v>0</v>
      </c>
      <c r="K1100" s="97">
        <v>0</v>
      </c>
      <c r="M1100" s="7">
        <f t="shared" si="188"/>
        <v>0</v>
      </c>
      <c r="N1100" s="7">
        <f t="shared" si="197"/>
        <v>0</v>
      </c>
      <c r="O1100" s="7">
        <f t="shared" si="196"/>
        <v>42000</v>
      </c>
      <c r="P1100" s="99">
        <f t="shared" si="189"/>
        <v>4.5292785506308641E-3</v>
      </c>
      <c r="Q1100" s="99">
        <f t="shared" si="198"/>
        <v>5.2003247276567979E-2</v>
      </c>
      <c r="S1100" s="7">
        <f t="shared" si="190"/>
        <v>10246500</v>
      </c>
      <c r="T1100" s="7">
        <f t="shared" si="191"/>
        <v>3105000</v>
      </c>
      <c r="U1100" s="7">
        <f t="shared" si="192"/>
        <v>9970000</v>
      </c>
      <c r="V1100" s="7">
        <f t="shared" si="193"/>
        <v>0</v>
      </c>
      <c r="W1100" s="7">
        <f t="shared" si="194"/>
        <v>0</v>
      </c>
      <c r="X1100" s="7">
        <f t="shared" si="195"/>
        <v>0</v>
      </c>
    </row>
    <row r="1101" spans="1:24">
      <c r="A1101">
        <v>1100</v>
      </c>
      <c r="B1101" s="96" t="s">
        <v>2503</v>
      </c>
      <c r="C1101" s="95">
        <v>41686</v>
      </c>
      <c r="D1101" s="82">
        <v>9310000</v>
      </c>
      <c r="E1101" s="82">
        <v>9282000</v>
      </c>
      <c r="F1101" s="82">
        <v>9393000</v>
      </c>
      <c r="G1101" s="82">
        <v>9315000</v>
      </c>
      <c r="I1101" s="98">
        <v>0</v>
      </c>
      <c r="J1101" s="98">
        <v>0</v>
      </c>
      <c r="K1101" s="98">
        <v>0</v>
      </c>
      <c r="M1101" s="7">
        <f t="shared" si="188"/>
        <v>0</v>
      </c>
      <c r="N1101" s="7">
        <f t="shared" si="197"/>
        <v>0</v>
      </c>
      <c r="O1101" s="7">
        <f t="shared" si="196"/>
        <v>0</v>
      </c>
      <c r="P1101" s="99">
        <f t="shared" si="189"/>
        <v>0</v>
      </c>
      <c r="Q1101" s="99">
        <f t="shared" si="198"/>
        <v>4.7902046608484329E-2</v>
      </c>
      <c r="S1101" s="7">
        <f t="shared" si="190"/>
        <v>10246500</v>
      </c>
      <c r="T1101" s="7">
        <f t="shared" si="191"/>
        <v>3105000</v>
      </c>
      <c r="U1101" s="7">
        <f t="shared" si="192"/>
        <v>9905000</v>
      </c>
      <c r="V1101" s="7">
        <f t="shared" si="193"/>
        <v>0</v>
      </c>
      <c r="W1101" s="7">
        <f t="shared" si="194"/>
        <v>0</v>
      </c>
      <c r="X1101" s="7">
        <f t="shared" si="195"/>
        <v>0</v>
      </c>
    </row>
    <row r="1102" spans="1:24">
      <c r="A1102">
        <v>1101</v>
      </c>
      <c r="B1102" s="96" t="s">
        <v>2502</v>
      </c>
      <c r="C1102" s="95">
        <v>41687</v>
      </c>
      <c r="D1102" s="82">
        <v>9390000</v>
      </c>
      <c r="E1102" s="82">
        <v>9350000</v>
      </c>
      <c r="F1102" s="82">
        <v>9490000</v>
      </c>
      <c r="G1102" s="82">
        <v>9490000</v>
      </c>
      <c r="I1102" s="82">
        <f>G1102*1.1</f>
        <v>10439000</v>
      </c>
      <c r="J1102" s="82">
        <f>G1102/3</f>
        <v>3163333.3333333335</v>
      </c>
      <c r="K1102" s="7">
        <f>G1370</f>
        <v>9990000</v>
      </c>
      <c r="L1102" s="7">
        <f>K1102-I1102</f>
        <v>-449000</v>
      </c>
      <c r="M1102" s="7">
        <f t="shared" si="188"/>
        <v>395416.66666666674</v>
      </c>
      <c r="N1102" s="7">
        <f t="shared" si="197"/>
        <v>-53583.333333333256</v>
      </c>
      <c r="O1102" s="7">
        <f t="shared" si="196"/>
        <v>175000</v>
      </c>
      <c r="P1102" s="99">
        <f t="shared" si="189"/>
        <v>1.878690284487386E-2</v>
      </c>
      <c r="Q1102" s="99">
        <f t="shared" si="198"/>
        <v>3.8219542667930408E-2</v>
      </c>
      <c r="R1102">
        <v>1</v>
      </c>
      <c r="S1102" s="7">
        <f t="shared" si="190"/>
        <v>10439000</v>
      </c>
      <c r="T1102" s="7">
        <f t="shared" si="191"/>
        <v>3163333.3333333335</v>
      </c>
      <c r="U1102" s="7">
        <f t="shared" si="192"/>
        <v>9990000</v>
      </c>
      <c r="V1102" s="7">
        <f t="shared" si="193"/>
        <v>-449000</v>
      </c>
      <c r="W1102" s="7">
        <f t="shared" si="194"/>
        <v>395416.66666666674</v>
      </c>
      <c r="X1102" s="7">
        <f t="shared" si="195"/>
        <v>-53583.333333333256</v>
      </c>
    </row>
    <row r="1103" spans="1:24">
      <c r="A1103">
        <v>1102</v>
      </c>
      <c r="B1103" s="96" t="s">
        <v>2501</v>
      </c>
      <c r="C1103" s="95">
        <v>41688</v>
      </c>
      <c r="D1103" s="82">
        <v>9450000</v>
      </c>
      <c r="E1103" s="82">
        <v>9362000</v>
      </c>
      <c r="F1103" s="82">
        <v>9450000</v>
      </c>
      <c r="G1103" s="82">
        <v>9362000</v>
      </c>
      <c r="I1103" s="97">
        <v>0</v>
      </c>
      <c r="J1103" s="97">
        <v>0</v>
      </c>
      <c r="K1103" s="97">
        <v>0</v>
      </c>
      <c r="M1103" s="7">
        <f t="shared" si="188"/>
        <v>0</v>
      </c>
      <c r="N1103" s="7">
        <f t="shared" si="197"/>
        <v>0</v>
      </c>
      <c r="O1103" s="7">
        <f t="shared" si="196"/>
        <v>-128000</v>
      </c>
      <c r="P1103" s="99">
        <f t="shared" si="189"/>
        <v>-1.3487881981032667E-2</v>
      </c>
      <c r="Q1103" s="99">
        <f t="shared" si="198"/>
        <v>3.9834277805400158E-2</v>
      </c>
      <c r="S1103" s="7">
        <f t="shared" si="190"/>
        <v>10298200</v>
      </c>
      <c r="T1103" s="7">
        <f t="shared" si="191"/>
        <v>3120666.6666666665</v>
      </c>
      <c r="U1103" s="7">
        <f t="shared" si="192"/>
        <v>9935000</v>
      </c>
      <c r="V1103" s="7">
        <f t="shared" si="193"/>
        <v>0</v>
      </c>
      <c r="W1103" s="7">
        <f t="shared" si="194"/>
        <v>0</v>
      </c>
      <c r="X1103" s="7">
        <f t="shared" si="195"/>
        <v>0</v>
      </c>
    </row>
    <row r="1104" spans="1:24">
      <c r="A1104">
        <v>1103</v>
      </c>
      <c r="B1104" s="96" t="s">
        <v>2500</v>
      </c>
      <c r="C1104" s="95">
        <v>41689</v>
      </c>
      <c r="D1104" s="82">
        <v>9335000</v>
      </c>
      <c r="E1104" s="82">
        <v>9326000</v>
      </c>
      <c r="F1104" s="82">
        <v>9402000</v>
      </c>
      <c r="G1104" s="82">
        <v>9340000</v>
      </c>
      <c r="I1104" s="97">
        <v>0</v>
      </c>
      <c r="J1104" s="97">
        <v>0</v>
      </c>
      <c r="K1104" s="97">
        <v>0</v>
      </c>
      <c r="M1104" s="7">
        <f t="shared" si="188"/>
        <v>0</v>
      </c>
      <c r="N1104" s="7">
        <f t="shared" si="197"/>
        <v>0</v>
      </c>
      <c r="O1104" s="7">
        <f t="shared" si="196"/>
        <v>-22000</v>
      </c>
      <c r="P1104" s="99">
        <f t="shared" si="189"/>
        <v>-2.3499252296517838E-3</v>
      </c>
      <c r="Q1104" s="99">
        <f t="shared" si="198"/>
        <v>2.3825018933334829E-2</v>
      </c>
      <c r="S1104" s="7">
        <f t="shared" si="190"/>
        <v>10274000</v>
      </c>
      <c r="T1104" s="7">
        <f t="shared" si="191"/>
        <v>3113333.3333333335</v>
      </c>
      <c r="U1104" s="7">
        <f t="shared" si="192"/>
        <v>9935000</v>
      </c>
      <c r="V1104" s="7">
        <f t="shared" si="193"/>
        <v>0</v>
      </c>
      <c r="W1104" s="7">
        <f t="shared" si="194"/>
        <v>0</v>
      </c>
      <c r="X1104" s="7">
        <f t="shared" si="195"/>
        <v>0</v>
      </c>
    </row>
    <row r="1105" spans="1:24">
      <c r="A1105">
        <v>1104</v>
      </c>
      <c r="B1105" s="96" t="s">
        <v>2499</v>
      </c>
      <c r="C1105" s="95">
        <v>41690</v>
      </c>
      <c r="D1105" s="82">
        <v>9350000</v>
      </c>
      <c r="E1105" s="82">
        <v>9320000</v>
      </c>
      <c r="F1105" s="82">
        <v>9385000</v>
      </c>
      <c r="G1105" s="82">
        <v>9385000</v>
      </c>
      <c r="I1105" s="97">
        <v>0</v>
      </c>
      <c r="J1105" s="97">
        <v>0</v>
      </c>
      <c r="K1105" s="97">
        <v>0</v>
      </c>
      <c r="M1105" s="7">
        <f t="shared" si="188"/>
        <v>0</v>
      </c>
      <c r="N1105" s="7">
        <f t="shared" si="197"/>
        <v>0</v>
      </c>
      <c r="O1105" s="7">
        <f t="shared" si="196"/>
        <v>45000</v>
      </c>
      <c r="P1105" s="99">
        <f t="shared" si="189"/>
        <v>4.8179871520342612E-3</v>
      </c>
      <c r="Q1105" s="99">
        <f t="shared" si="198"/>
        <v>7.478374184820274E-3</v>
      </c>
      <c r="S1105" s="7">
        <f t="shared" si="190"/>
        <v>10323500</v>
      </c>
      <c r="T1105" s="7">
        <f t="shared" si="191"/>
        <v>3128333.3333333335</v>
      </c>
      <c r="U1105" s="7">
        <f t="shared" si="192"/>
        <v>9960000</v>
      </c>
      <c r="V1105" s="7">
        <f t="shared" si="193"/>
        <v>0</v>
      </c>
      <c r="W1105" s="7">
        <f t="shared" si="194"/>
        <v>0</v>
      </c>
      <c r="X1105" s="7">
        <f t="shared" si="195"/>
        <v>0</v>
      </c>
    </row>
    <row r="1106" spans="1:24">
      <c r="A1106">
        <v>1105</v>
      </c>
      <c r="B1106" s="96" t="s">
        <v>2498</v>
      </c>
      <c r="C1106" s="95">
        <v>41691</v>
      </c>
      <c r="D1106" s="82">
        <v>9405000</v>
      </c>
      <c r="E1106" s="82">
        <v>9395000</v>
      </c>
      <c r="F1106" s="82">
        <v>9428000</v>
      </c>
      <c r="G1106" s="82">
        <v>9420000</v>
      </c>
      <c r="I1106" s="98">
        <v>0</v>
      </c>
      <c r="J1106" s="98">
        <v>0</v>
      </c>
      <c r="K1106" s="98">
        <v>0</v>
      </c>
      <c r="M1106" s="7">
        <f t="shared" si="188"/>
        <v>0</v>
      </c>
      <c r="N1106" s="7">
        <f t="shared" si="197"/>
        <v>0</v>
      </c>
      <c r="O1106" s="7">
        <f t="shared" si="196"/>
        <v>35000</v>
      </c>
      <c r="P1106" s="99">
        <f t="shared" si="189"/>
        <v>3.7293553542887587E-3</v>
      </c>
      <c r="Q1106" s="99">
        <f t="shared" si="198"/>
        <v>7.7670827862236702E-3</v>
      </c>
      <c r="S1106" s="7">
        <f t="shared" si="190"/>
        <v>10362000</v>
      </c>
      <c r="T1106" s="7">
        <f t="shared" si="191"/>
        <v>3140000</v>
      </c>
      <c r="U1106" s="7">
        <f t="shared" si="192"/>
        <v>9960000</v>
      </c>
      <c r="V1106" s="7">
        <f t="shared" si="193"/>
        <v>0</v>
      </c>
      <c r="W1106" s="7">
        <f t="shared" si="194"/>
        <v>0</v>
      </c>
      <c r="X1106" s="7">
        <f t="shared" si="195"/>
        <v>0</v>
      </c>
    </row>
    <row r="1107" spans="1:24">
      <c r="A1107">
        <v>1106</v>
      </c>
      <c r="B1107" s="96" t="s">
        <v>2497</v>
      </c>
      <c r="C1107" s="95">
        <v>41692</v>
      </c>
      <c r="D1107" s="82">
        <v>9410000</v>
      </c>
      <c r="E1107" s="82">
        <v>9399000</v>
      </c>
      <c r="F1107" s="82">
        <v>9415000</v>
      </c>
      <c r="G1107" s="82">
        <v>9408000</v>
      </c>
      <c r="I1107" s="82">
        <f>G1107*1.1</f>
        <v>10348800</v>
      </c>
      <c r="J1107" s="82">
        <f>G1107/3</f>
        <v>3136000</v>
      </c>
      <c r="K1107" s="7">
        <f>G1375</f>
        <v>9895000</v>
      </c>
      <c r="L1107" s="7">
        <f>K1107-I1107</f>
        <v>-453800</v>
      </c>
      <c r="M1107" s="7">
        <f t="shared" si="188"/>
        <v>392000</v>
      </c>
      <c r="N1107" s="7">
        <f t="shared" si="197"/>
        <v>-61800</v>
      </c>
      <c r="O1107" s="7">
        <f t="shared" si="196"/>
        <v>-12000</v>
      </c>
      <c r="P1107" s="99">
        <f t="shared" si="189"/>
        <v>-1.2738853503184713E-3</v>
      </c>
      <c r="Q1107" s="99">
        <f t="shared" si="198"/>
        <v>1.1496438140512429E-2</v>
      </c>
      <c r="R1107">
        <v>1</v>
      </c>
      <c r="S1107" s="7">
        <f t="shared" si="190"/>
        <v>10348800</v>
      </c>
      <c r="T1107" s="7">
        <f t="shared" si="191"/>
        <v>3136000</v>
      </c>
      <c r="U1107" s="7">
        <f t="shared" si="192"/>
        <v>9895000</v>
      </c>
      <c r="V1107" s="7">
        <f t="shared" si="193"/>
        <v>-453800</v>
      </c>
      <c r="W1107" s="7">
        <f t="shared" si="194"/>
        <v>392000</v>
      </c>
      <c r="X1107" s="7">
        <f t="shared" si="195"/>
        <v>-61800</v>
      </c>
    </row>
    <row r="1108" spans="1:24">
      <c r="A1108">
        <v>1107</v>
      </c>
      <c r="B1108" s="96" t="s">
        <v>2496</v>
      </c>
      <c r="C1108" s="95">
        <v>41693</v>
      </c>
      <c r="D1108" s="82">
        <v>9410000</v>
      </c>
      <c r="E1108" s="82">
        <v>9410000</v>
      </c>
      <c r="F1108" s="82">
        <v>9443000</v>
      </c>
      <c r="G1108" s="82">
        <v>9438000</v>
      </c>
      <c r="I1108" s="97">
        <v>0</v>
      </c>
      <c r="J1108" s="97">
        <v>0</v>
      </c>
      <c r="K1108" s="97">
        <v>0</v>
      </c>
      <c r="M1108" s="7">
        <f t="shared" si="188"/>
        <v>0</v>
      </c>
      <c r="N1108" s="7">
        <f t="shared" si="197"/>
        <v>0</v>
      </c>
      <c r="O1108" s="7">
        <f t="shared" si="196"/>
        <v>30000</v>
      </c>
      <c r="P1108" s="99">
        <f t="shared" si="189"/>
        <v>3.1887755102040817E-3</v>
      </c>
      <c r="Q1108" s="99">
        <f t="shared" si="198"/>
        <v>-8.5643500546799031E-3</v>
      </c>
      <c r="S1108" s="7">
        <f t="shared" si="190"/>
        <v>10381800</v>
      </c>
      <c r="T1108" s="7">
        <f t="shared" si="191"/>
        <v>3146000</v>
      </c>
      <c r="U1108" s="7">
        <f t="shared" si="192"/>
        <v>9895000</v>
      </c>
      <c r="V1108" s="7">
        <f t="shared" si="193"/>
        <v>0</v>
      </c>
      <c r="W1108" s="7">
        <f t="shared" si="194"/>
        <v>0</v>
      </c>
      <c r="X1108" s="7">
        <f t="shared" si="195"/>
        <v>0</v>
      </c>
    </row>
    <row r="1109" spans="1:24">
      <c r="A1109">
        <v>1108</v>
      </c>
      <c r="B1109" s="96" t="s">
        <v>2495</v>
      </c>
      <c r="C1109" s="95">
        <v>41694</v>
      </c>
      <c r="D1109" s="82">
        <v>9435000</v>
      </c>
      <c r="E1109" s="82">
        <v>9435000</v>
      </c>
      <c r="F1109" s="82">
        <v>9680000</v>
      </c>
      <c r="G1109" s="82">
        <v>9680000</v>
      </c>
      <c r="I1109" s="97">
        <v>0</v>
      </c>
      <c r="J1109" s="97">
        <v>0</v>
      </c>
      <c r="K1109" s="97">
        <v>0</v>
      </c>
      <c r="M1109" s="7">
        <f t="shared" si="188"/>
        <v>0</v>
      </c>
      <c r="N1109" s="7">
        <f t="shared" si="197"/>
        <v>0</v>
      </c>
      <c r="O1109" s="7">
        <f t="shared" si="196"/>
        <v>242000</v>
      </c>
      <c r="P1109" s="99">
        <f t="shared" si="189"/>
        <v>2.564102564102564E-2</v>
      </c>
      <c r="Q1109" s="99">
        <f t="shared" si="198"/>
        <v>8.1123074365568471E-3</v>
      </c>
      <c r="S1109" s="7">
        <f t="shared" si="190"/>
        <v>10648000</v>
      </c>
      <c r="T1109" s="7">
        <f t="shared" si="191"/>
        <v>3226666.6666666665</v>
      </c>
      <c r="U1109" s="7">
        <f t="shared" si="192"/>
        <v>9895000</v>
      </c>
      <c r="V1109" s="7">
        <f t="shared" si="193"/>
        <v>0</v>
      </c>
      <c r="W1109" s="7">
        <f t="shared" si="194"/>
        <v>0</v>
      </c>
      <c r="X1109" s="7">
        <f t="shared" si="195"/>
        <v>0</v>
      </c>
    </row>
    <row r="1110" spans="1:24">
      <c r="A1110">
        <v>1109</v>
      </c>
      <c r="B1110" s="96" t="s">
        <v>2494</v>
      </c>
      <c r="C1110" s="95">
        <v>41695</v>
      </c>
      <c r="D1110" s="82">
        <v>9660000</v>
      </c>
      <c r="E1110" s="82">
        <v>9660000</v>
      </c>
      <c r="F1110" s="82">
        <v>9917000</v>
      </c>
      <c r="G1110" s="82">
        <v>9770000</v>
      </c>
      <c r="I1110" s="97">
        <v>0</v>
      </c>
      <c r="J1110" s="97">
        <v>0</v>
      </c>
      <c r="K1110" s="97">
        <v>0</v>
      </c>
      <c r="M1110" s="7">
        <f t="shared" si="188"/>
        <v>0</v>
      </c>
      <c r="N1110" s="7">
        <f t="shared" si="197"/>
        <v>0</v>
      </c>
      <c r="O1110" s="7">
        <f t="shared" si="196"/>
        <v>90000</v>
      </c>
      <c r="P1110" s="99">
        <f t="shared" si="189"/>
        <v>9.2975206611570251E-3</v>
      </c>
      <c r="Q1110" s="99">
        <f t="shared" si="198"/>
        <v>3.6103258307234272E-2</v>
      </c>
      <c r="S1110" s="7">
        <f t="shared" si="190"/>
        <v>10747000</v>
      </c>
      <c r="T1110" s="7">
        <f t="shared" si="191"/>
        <v>3256666.6666666665</v>
      </c>
      <c r="U1110" s="7">
        <f t="shared" si="192"/>
        <v>9945000</v>
      </c>
      <c r="V1110" s="7">
        <f t="shared" si="193"/>
        <v>0</v>
      </c>
      <c r="W1110" s="7">
        <f t="shared" si="194"/>
        <v>0</v>
      </c>
      <c r="X1110" s="7">
        <f t="shared" si="195"/>
        <v>0</v>
      </c>
    </row>
    <row r="1111" spans="1:24">
      <c r="A1111">
        <v>1110</v>
      </c>
      <c r="B1111" s="96" t="s">
        <v>2493</v>
      </c>
      <c r="C1111" s="95">
        <v>41696</v>
      </c>
      <c r="D1111" s="82">
        <v>9760000</v>
      </c>
      <c r="E1111" s="82">
        <v>9640000</v>
      </c>
      <c r="F1111" s="82">
        <v>9843000</v>
      </c>
      <c r="G1111" s="82">
        <v>9645000</v>
      </c>
      <c r="I1111" s="98">
        <v>0</v>
      </c>
      <c r="J1111" s="98">
        <v>0</v>
      </c>
      <c r="K1111" s="98">
        <v>0</v>
      </c>
      <c r="M1111" s="7">
        <f t="shared" si="188"/>
        <v>0</v>
      </c>
      <c r="N1111" s="7">
        <f t="shared" si="197"/>
        <v>0</v>
      </c>
      <c r="O1111" s="7">
        <f t="shared" si="196"/>
        <v>-125000</v>
      </c>
      <c r="P1111" s="99">
        <f t="shared" si="189"/>
        <v>-1.2794268167860799E-2</v>
      </c>
      <c r="Q1111" s="99">
        <f t="shared" si="198"/>
        <v>4.0582791816357031E-2</v>
      </c>
      <c r="S1111" s="7">
        <f t="shared" si="190"/>
        <v>10609500</v>
      </c>
      <c r="T1111" s="7">
        <f t="shared" si="191"/>
        <v>3215000</v>
      </c>
      <c r="U1111" s="7">
        <f t="shared" si="192"/>
        <v>9955000</v>
      </c>
      <c r="V1111" s="7">
        <f t="shared" si="193"/>
        <v>0</v>
      </c>
      <c r="W1111" s="7">
        <f t="shared" si="194"/>
        <v>0</v>
      </c>
      <c r="X1111" s="7">
        <f t="shared" si="195"/>
        <v>0</v>
      </c>
    </row>
    <row r="1112" spans="1:24">
      <c r="A1112">
        <v>1111</v>
      </c>
      <c r="B1112" s="96" t="s">
        <v>2492</v>
      </c>
      <c r="C1112" s="95">
        <v>41697</v>
      </c>
      <c r="D1112" s="82">
        <v>9650000</v>
      </c>
      <c r="E1112" s="82">
        <v>9590000</v>
      </c>
      <c r="F1112" s="82">
        <v>9680000</v>
      </c>
      <c r="G1112" s="82">
        <v>9650000</v>
      </c>
      <c r="I1112" s="82">
        <f>G1112*1.1</f>
        <v>10615000</v>
      </c>
      <c r="J1112" s="82">
        <f>G1112/3</f>
        <v>3216666.6666666665</v>
      </c>
      <c r="K1112" s="7">
        <f>G1380</f>
        <v>9900000</v>
      </c>
      <c r="L1112" s="7">
        <f>K1112-I1112</f>
        <v>-715000</v>
      </c>
      <c r="M1112" s="7">
        <f t="shared" si="188"/>
        <v>402083.33333333326</v>
      </c>
      <c r="N1112" s="7">
        <f t="shared" si="197"/>
        <v>-312916.66666666674</v>
      </c>
      <c r="O1112" s="7">
        <f t="shared" si="196"/>
        <v>5000</v>
      </c>
      <c r="P1112" s="99">
        <f t="shared" si="189"/>
        <v>5.184033177812338E-4</v>
      </c>
      <c r="Q1112" s="99">
        <f t="shared" si="198"/>
        <v>2.4059168294207477E-2</v>
      </c>
      <c r="R1112">
        <v>1</v>
      </c>
      <c r="S1112" s="7">
        <f t="shared" si="190"/>
        <v>10615000</v>
      </c>
      <c r="T1112" s="7">
        <f t="shared" si="191"/>
        <v>3216666.6666666665</v>
      </c>
      <c r="U1112" s="7">
        <f t="shared" si="192"/>
        <v>9900000</v>
      </c>
      <c r="V1112" s="7">
        <f t="shared" si="193"/>
        <v>-715000</v>
      </c>
      <c r="W1112" s="7">
        <f t="shared" si="194"/>
        <v>402083.33333333326</v>
      </c>
      <c r="X1112" s="7">
        <f t="shared" si="195"/>
        <v>-312916.66666666674</v>
      </c>
    </row>
    <row r="1113" spans="1:24">
      <c r="A1113">
        <v>1112</v>
      </c>
      <c r="B1113" s="96" t="s">
        <v>2491</v>
      </c>
      <c r="C1113" s="95">
        <v>41698</v>
      </c>
      <c r="D1113" s="82">
        <v>9670000</v>
      </c>
      <c r="E1113" s="82">
        <v>9620000</v>
      </c>
      <c r="F1113" s="82">
        <v>9700000</v>
      </c>
      <c r="G1113" s="82">
        <v>9652000</v>
      </c>
      <c r="I1113" s="97">
        <v>0</v>
      </c>
      <c r="J1113" s="97">
        <v>0</v>
      </c>
      <c r="K1113" s="97">
        <v>0</v>
      </c>
      <c r="M1113" s="7">
        <f t="shared" si="188"/>
        <v>0</v>
      </c>
      <c r="N1113" s="7">
        <f t="shared" si="197"/>
        <v>0</v>
      </c>
      <c r="O1113" s="7">
        <f t="shared" si="196"/>
        <v>2000</v>
      </c>
      <c r="P1113" s="99">
        <f t="shared" si="189"/>
        <v>2.072538860103627E-4</v>
      </c>
      <c r="Q1113" s="99">
        <f t="shared" si="198"/>
        <v>2.585145696230718E-2</v>
      </c>
      <c r="S1113" s="7">
        <f t="shared" si="190"/>
        <v>10617200</v>
      </c>
      <c r="T1113" s="7">
        <f t="shared" si="191"/>
        <v>3217333.3333333335</v>
      </c>
      <c r="U1113" s="7">
        <f t="shared" si="192"/>
        <v>9840000</v>
      </c>
      <c r="V1113" s="7">
        <f t="shared" si="193"/>
        <v>0</v>
      </c>
      <c r="W1113" s="7">
        <f t="shared" si="194"/>
        <v>0</v>
      </c>
      <c r="X1113" s="7">
        <f t="shared" si="195"/>
        <v>0</v>
      </c>
    </row>
    <row r="1114" spans="1:24">
      <c r="A1114">
        <v>1113</v>
      </c>
      <c r="B1114" s="96" t="s">
        <v>2490</v>
      </c>
      <c r="C1114" s="95">
        <v>41699</v>
      </c>
      <c r="D1114" s="82">
        <v>9655000</v>
      </c>
      <c r="E1114" s="82">
        <v>9643000</v>
      </c>
      <c r="F1114" s="82">
        <v>9765000</v>
      </c>
      <c r="G1114" s="82">
        <v>9745000</v>
      </c>
      <c r="I1114" s="97">
        <v>0</v>
      </c>
      <c r="J1114" s="97">
        <v>0</v>
      </c>
      <c r="K1114" s="97">
        <v>0</v>
      </c>
      <c r="M1114" s="7">
        <f t="shared" si="188"/>
        <v>0</v>
      </c>
      <c r="N1114" s="7">
        <f t="shared" si="197"/>
        <v>0</v>
      </c>
      <c r="O1114" s="7">
        <f t="shared" si="196"/>
        <v>93000</v>
      </c>
      <c r="P1114" s="99">
        <f t="shared" si="189"/>
        <v>9.6353087443016988E-3</v>
      </c>
      <c r="Q1114" s="99">
        <f t="shared" si="198"/>
        <v>2.2869935338113465E-2</v>
      </c>
      <c r="S1114" s="7">
        <f t="shared" si="190"/>
        <v>10719500</v>
      </c>
      <c r="T1114" s="7">
        <f t="shared" si="191"/>
        <v>3248333.3333333335</v>
      </c>
      <c r="U1114" s="7">
        <f t="shared" si="192"/>
        <v>9830000</v>
      </c>
      <c r="V1114" s="7">
        <f t="shared" si="193"/>
        <v>0</v>
      </c>
      <c r="W1114" s="7">
        <f t="shared" si="194"/>
        <v>0</v>
      </c>
      <c r="X1114" s="7">
        <f t="shared" si="195"/>
        <v>0</v>
      </c>
    </row>
    <row r="1115" spans="1:24">
      <c r="A1115">
        <v>1114</v>
      </c>
      <c r="B1115" s="96" t="s">
        <v>2489</v>
      </c>
      <c r="C1115" s="95">
        <v>41700</v>
      </c>
      <c r="D1115" s="82">
        <v>9735000</v>
      </c>
      <c r="E1115" s="82">
        <v>9695000</v>
      </c>
      <c r="F1115" s="82">
        <v>9777000</v>
      </c>
      <c r="G1115" s="82">
        <v>9776000</v>
      </c>
      <c r="I1115" s="97">
        <v>0</v>
      </c>
      <c r="J1115" s="97">
        <v>0</v>
      </c>
      <c r="K1115" s="97">
        <v>0</v>
      </c>
      <c r="M1115" s="7">
        <f t="shared" si="188"/>
        <v>0</v>
      </c>
      <c r="N1115" s="7">
        <f t="shared" si="197"/>
        <v>0</v>
      </c>
      <c r="O1115" s="7">
        <f t="shared" si="196"/>
        <v>31000</v>
      </c>
      <c r="P1115" s="99">
        <f t="shared" si="189"/>
        <v>3.1811185223191382E-3</v>
      </c>
      <c r="Q1115" s="99">
        <f t="shared" si="198"/>
        <v>6.8642184413895213E-3</v>
      </c>
      <c r="S1115" s="7">
        <f t="shared" si="190"/>
        <v>10753600</v>
      </c>
      <c r="T1115" s="7">
        <f t="shared" si="191"/>
        <v>3258666.6666666665</v>
      </c>
      <c r="U1115" s="7">
        <f t="shared" si="192"/>
        <v>9770000</v>
      </c>
      <c r="V1115" s="7">
        <f t="shared" si="193"/>
        <v>0</v>
      </c>
      <c r="W1115" s="7">
        <f t="shared" si="194"/>
        <v>0</v>
      </c>
      <c r="X1115" s="7">
        <f t="shared" si="195"/>
        <v>0</v>
      </c>
    </row>
    <row r="1116" spans="1:24">
      <c r="A1116">
        <v>1115</v>
      </c>
      <c r="B1116" s="96" t="s">
        <v>2488</v>
      </c>
      <c r="C1116" s="95">
        <v>41701</v>
      </c>
      <c r="D1116" s="82">
        <v>9786000</v>
      </c>
      <c r="E1116" s="82">
        <v>9786000</v>
      </c>
      <c r="F1116" s="82">
        <v>10075000</v>
      </c>
      <c r="G1116" s="82">
        <v>9970000</v>
      </c>
      <c r="I1116" s="98">
        <v>0</v>
      </c>
      <c r="J1116" s="98">
        <v>0</v>
      </c>
      <c r="K1116" s="98">
        <v>0</v>
      </c>
      <c r="M1116" s="7">
        <f t="shared" si="188"/>
        <v>0</v>
      </c>
      <c r="N1116" s="7">
        <f t="shared" si="197"/>
        <v>0</v>
      </c>
      <c r="O1116" s="7">
        <f t="shared" si="196"/>
        <v>194000</v>
      </c>
      <c r="P1116" s="99">
        <f t="shared" si="189"/>
        <v>1.9844517184942716E-2</v>
      </c>
      <c r="Q1116" s="99">
        <f t="shared" si="198"/>
        <v>7.4781630255163533E-4</v>
      </c>
      <c r="S1116" s="7">
        <f t="shared" si="190"/>
        <v>10967000</v>
      </c>
      <c r="T1116" s="7">
        <f t="shared" si="191"/>
        <v>3323333.3333333335</v>
      </c>
      <c r="U1116" s="7">
        <f t="shared" si="192"/>
        <v>9790000</v>
      </c>
      <c r="V1116" s="7">
        <f t="shared" si="193"/>
        <v>0</v>
      </c>
      <c r="W1116" s="7">
        <f t="shared" si="194"/>
        <v>0</v>
      </c>
      <c r="X1116" s="7">
        <f t="shared" si="195"/>
        <v>0</v>
      </c>
    </row>
    <row r="1117" spans="1:24">
      <c r="A1117">
        <v>1116</v>
      </c>
      <c r="B1117" s="96" t="s">
        <v>2487</v>
      </c>
      <c r="C1117" s="95">
        <v>41702</v>
      </c>
      <c r="D1117" s="82">
        <v>9870000</v>
      </c>
      <c r="E1117" s="82">
        <v>9695000</v>
      </c>
      <c r="F1117" s="82">
        <v>9900000</v>
      </c>
      <c r="G1117" s="82">
        <v>9780000</v>
      </c>
      <c r="I1117" s="82">
        <f>G1117*1.1</f>
        <v>10758000</v>
      </c>
      <c r="J1117" s="82">
        <f>G1117/3</f>
        <v>3260000</v>
      </c>
      <c r="K1117" s="7">
        <f>G1385</f>
        <v>9815000</v>
      </c>
      <c r="L1117" s="7">
        <f>K1117-I1117</f>
        <v>-943000</v>
      </c>
      <c r="M1117" s="7">
        <f t="shared" si="188"/>
        <v>407500</v>
      </c>
      <c r="N1117" s="7">
        <f t="shared" si="197"/>
        <v>-535500</v>
      </c>
      <c r="O1117" s="7">
        <f t="shared" si="196"/>
        <v>-190000</v>
      </c>
      <c r="P1117" s="99">
        <f t="shared" si="189"/>
        <v>-1.9057171514543631E-2</v>
      </c>
      <c r="Q1117" s="99">
        <f t="shared" si="198"/>
        <v>3.3386601655355147E-2</v>
      </c>
      <c r="R1117">
        <v>1</v>
      </c>
      <c r="S1117" s="7">
        <f t="shared" si="190"/>
        <v>10758000</v>
      </c>
      <c r="T1117" s="7">
        <f t="shared" si="191"/>
        <v>3260000</v>
      </c>
      <c r="U1117" s="7">
        <f t="shared" si="192"/>
        <v>9815000</v>
      </c>
      <c r="V1117" s="7">
        <f t="shared" si="193"/>
        <v>-943000</v>
      </c>
      <c r="W1117" s="7">
        <f t="shared" si="194"/>
        <v>407500</v>
      </c>
      <c r="X1117" s="7">
        <f t="shared" si="195"/>
        <v>-535500</v>
      </c>
    </row>
    <row r="1118" spans="1:24">
      <c r="A1118">
        <v>1117</v>
      </c>
      <c r="B1118" s="96" t="s">
        <v>2486</v>
      </c>
      <c r="C1118" s="95">
        <v>41703</v>
      </c>
      <c r="D1118" s="82">
        <v>9760000</v>
      </c>
      <c r="E1118" s="82">
        <v>9730000</v>
      </c>
      <c r="F1118" s="82">
        <v>9832000</v>
      </c>
      <c r="G1118" s="82">
        <v>9800000</v>
      </c>
      <c r="I1118" s="97">
        <v>0</v>
      </c>
      <c r="J1118" s="97">
        <v>0</v>
      </c>
      <c r="K1118" s="97">
        <v>0</v>
      </c>
      <c r="M1118" s="7">
        <f t="shared" si="188"/>
        <v>0</v>
      </c>
      <c r="N1118" s="7">
        <f t="shared" si="197"/>
        <v>0</v>
      </c>
      <c r="O1118" s="7">
        <f t="shared" si="196"/>
        <v>20000</v>
      </c>
      <c r="P1118" s="99">
        <f t="shared" si="189"/>
        <v>2.0449897750511249E-3</v>
      </c>
      <c r="Q1118" s="99">
        <f t="shared" si="198"/>
        <v>1.3811026823030283E-2</v>
      </c>
      <c r="S1118" s="7">
        <f t="shared" si="190"/>
        <v>10780000</v>
      </c>
      <c r="T1118" s="7">
        <f t="shared" si="191"/>
        <v>3266666.6666666665</v>
      </c>
      <c r="U1118" s="7">
        <f t="shared" si="192"/>
        <v>9805000</v>
      </c>
      <c r="V1118" s="7">
        <f t="shared" si="193"/>
        <v>0</v>
      </c>
      <c r="W1118" s="7">
        <f t="shared" si="194"/>
        <v>0</v>
      </c>
      <c r="X1118" s="7">
        <f t="shared" si="195"/>
        <v>0</v>
      </c>
    </row>
    <row r="1119" spans="1:24">
      <c r="A1119">
        <v>1118</v>
      </c>
      <c r="B1119" s="96" t="s">
        <v>2485</v>
      </c>
      <c r="C1119" s="95">
        <v>41704</v>
      </c>
      <c r="D1119" s="82">
        <v>9775000</v>
      </c>
      <c r="E1119" s="82">
        <v>9732000</v>
      </c>
      <c r="F1119" s="82">
        <v>9835000</v>
      </c>
      <c r="G1119" s="82">
        <v>9820000</v>
      </c>
      <c r="I1119" s="97">
        <v>0</v>
      </c>
      <c r="J1119" s="97">
        <v>0</v>
      </c>
      <c r="K1119" s="97">
        <v>0</v>
      </c>
      <c r="M1119" s="7">
        <f t="shared" si="188"/>
        <v>0</v>
      </c>
      <c r="N1119" s="7">
        <f t="shared" si="197"/>
        <v>0</v>
      </c>
      <c r="O1119" s="7">
        <f t="shared" si="196"/>
        <v>20000</v>
      </c>
      <c r="P1119" s="99">
        <f t="shared" si="189"/>
        <v>2.0408163265306124E-3</v>
      </c>
      <c r="Q1119" s="99">
        <f t="shared" si="198"/>
        <v>1.5648762712071048E-2</v>
      </c>
      <c r="S1119" s="7">
        <f t="shared" si="190"/>
        <v>10802000</v>
      </c>
      <c r="T1119" s="7">
        <f t="shared" si="191"/>
        <v>3273333.3333333335</v>
      </c>
      <c r="U1119" s="7">
        <f t="shared" si="192"/>
        <v>9935000</v>
      </c>
      <c r="V1119" s="7">
        <f t="shared" si="193"/>
        <v>0</v>
      </c>
      <c r="W1119" s="7">
        <f t="shared" si="194"/>
        <v>0</v>
      </c>
      <c r="X1119" s="7">
        <f t="shared" si="195"/>
        <v>0</v>
      </c>
    </row>
    <row r="1120" spans="1:24">
      <c r="A1120">
        <v>1119</v>
      </c>
      <c r="B1120" s="96" t="s">
        <v>2484</v>
      </c>
      <c r="C1120" s="95">
        <v>41705</v>
      </c>
      <c r="D1120" s="82">
        <v>9810000</v>
      </c>
      <c r="E1120" s="82">
        <v>9755000</v>
      </c>
      <c r="F1120" s="82">
        <v>9825000</v>
      </c>
      <c r="G1120" s="82">
        <v>9762000</v>
      </c>
      <c r="I1120" s="97">
        <v>0</v>
      </c>
      <c r="J1120" s="97">
        <v>0</v>
      </c>
      <c r="K1120" s="97">
        <v>0</v>
      </c>
      <c r="M1120" s="7">
        <f t="shared" si="188"/>
        <v>0</v>
      </c>
      <c r="N1120" s="7">
        <f t="shared" si="197"/>
        <v>0</v>
      </c>
      <c r="O1120" s="7">
        <f t="shared" si="196"/>
        <v>-58000</v>
      </c>
      <c r="P1120" s="99">
        <f t="shared" si="189"/>
        <v>-5.9063136456211814E-3</v>
      </c>
      <c r="Q1120" s="99">
        <f t="shared" si="198"/>
        <v>8.0542702942999617E-3</v>
      </c>
      <c r="S1120" s="7">
        <f t="shared" si="190"/>
        <v>10738200</v>
      </c>
      <c r="T1120" s="7">
        <f t="shared" si="191"/>
        <v>3254000</v>
      </c>
      <c r="U1120" s="7">
        <f t="shared" si="192"/>
        <v>9935000</v>
      </c>
      <c r="V1120" s="7">
        <f t="shared" si="193"/>
        <v>0</v>
      </c>
      <c r="W1120" s="7">
        <f t="shared" si="194"/>
        <v>0</v>
      </c>
      <c r="X1120" s="7">
        <f t="shared" si="195"/>
        <v>0</v>
      </c>
    </row>
    <row r="1121" spans="1:24">
      <c r="A1121">
        <v>1120</v>
      </c>
      <c r="B1121" s="96" t="s">
        <v>2483</v>
      </c>
      <c r="C1121" s="95">
        <v>41706</v>
      </c>
      <c r="D1121" s="82">
        <v>9735000</v>
      </c>
      <c r="E1121" s="82">
        <v>9550000</v>
      </c>
      <c r="F1121" s="82">
        <v>9748000</v>
      </c>
      <c r="G1121" s="82">
        <v>9550000</v>
      </c>
      <c r="I1121" s="98">
        <v>0</v>
      </c>
      <c r="J1121" s="98">
        <v>0</v>
      </c>
      <c r="K1121" s="98">
        <v>0</v>
      </c>
      <c r="M1121" s="7">
        <f t="shared" si="188"/>
        <v>0</v>
      </c>
      <c r="N1121" s="7">
        <f t="shared" si="197"/>
        <v>0</v>
      </c>
      <c r="O1121" s="7">
        <f t="shared" si="196"/>
        <v>-212000</v>
      </c>
      <c r="P1121" s="99">
        <f t="shared" si="189"/>
        <v>-2.1716861298914158E-2</v>
      </c>
      <c r="Q1121" s="99">
        <f t="shared" si="198"/>
        <v>-1.0331618736403592E-3</v>
      </c>
      <c r="S1121" s="7">
        <f t="shared" si="190"/>
        <v>10505000</v>
      </c>
      <c r="T1121" s="7">
        <f t="shared" si="191"/>
        <v>3183333.3333333335</v>
      </c>
      <c r="U1121" s="7">
        <f t="shared" si="192"/>
        <v>9885000</v>
      </c>
      <c r="V1121" s="7">
        <f t="shared" si="193"/>
        <v>0</v>
      </c>
      <c r="W1121" s="7">
        <f t="shared" si="194"/>
        <v>0</v>
      </c>
      <c r="X1121" s="7">
        <f t="shared" si="195"/>
        <v>0</v>
      </c>
    </row>
    <row r="1122" spans="1:24">
      <c r="A1122">
        <v>1121</v>
      </c>
      <c r="B1122" s="96" t="s">
        <v>2482</v>
      </c>
      <c r="C1122" s="95">
        <v>41707</v>
      </c>
      <c r="D1122" s="82">
        <v>9560000</v>
      </c>
      <c r="E1122" s="82">
        <v>9520000</v>
      </c>
      <c r="F1122" s="82">
        <v>9732000</v>
      </c>
      <c r="G1122" s="82">
        <v>9710000</v>
      </c>
      <c r="I1122" s="82">
        <f>G1122*1.1</f>
        <v>10681000</v>
      </c>
      <c r="J1122" s="82">
        <f>G1122/3</f>
        <v>3236666.6666666665</v>
      </c>
      <c r="K1122" s="7">
        <f>G1390</f>
        <v>9960000</v>
      </c>
      <c r="L1122" s="7">
        <f>K1122-I1122</f>
        <v>-721000</v>
      </c>
      <c r="M1122" s="7">
        <f t="shared" si="188"/>
        <v>404583.33333333326</v>
      </c>
      <c r="N1122" s="7">
        <f t="shared" si="197"/>
        <v>-316416.66666666674</v>
      </c>
      <c r="O1122" s="7">
        <f t="shared" si="196"/>
        <v>160000</v>
      </c>
      <c r="P1122" s="99">
        <f t="shared" si="189"/>
        <v>1.6753926701570682E-2</v>
      </c>
      <c r="Q1122" s="99">
        <f t="shared" si="198"/>
        <v>-4.2594540357497233E-2</v>
      </c>
      <c r="R1122">
        <v>1</v>
      </c>
      <c r="S1122" s="7">
        <f t="shared" si="190"/>
        <v>10681000</v>
      </c>
      <c r="T1122" s="7">
        <f t="shared" si="191"/>
        <v>3236666.6666666665</v>
      </c>
      <c r="U1122" s="7">
        <f t="shared" si="192"/>
        <v>9960000</v>
      </c>
      <c r="V1122" s="7">
        <f t="shared" si="193"/>
        <v>-721000</v>
      </c>
      <c r="W1122" s="7">
        <f t="shared" si="194"/>
        <v>404583.33333333326</v>
      </c>
      <c r="X1122" s="7">
        <f t="shared" si="195"/>
        <v>-316416.66666666674</v>
      </c>
    </row>
    <row r="1123" spans="1:24">
      <c r="A1123">
        <v>1122</v>
      </c>
      <c r="B1123" s="96" t="s">
        <v>2481</v>
      </c>
      <c r="C1123" s="95">
        <v>41708</v>
      </c>
      <c r="D1123" s="82">
        <v>9700000</v>
      </c>
      <c r="E1123" s="82">
        <v>9645000</v>
      </c>
      <c r="F1123" s="82">
        <v>9788000</v>
      </c>
      <c r="G1123" s="82">
        <v>9770000</v>
      </c>
      <c r="I1123" s="97">
        <v>0</v>
      </c>
      <c r="J1123" s="97">
        <v>0</v>
      </c>
      <c r="K1123" s="97">
        <v>0</v>
      </c>
      <c r="M1123" s="7">
        <f t="shared" si="188"/>
        <v>0</v>
      </c>
      <c r="N1123" s="7">
        <f t="shared" si="197"/>
        <v>0</v>
      </c>
      <c r="O1123" s="7">
        <f t="shared" si="196"/>
        <v>60000</v>
      </c>
      <c r="P1123" s="99">
        <f t="shared" si="189"/>
        <v>6.1791967044284241E-3</v>
      </c>
      <c r="Q1123" s="99">
        <f t="shared" si="198"/>
        <v>-6.7834421413829199E-3</v>
      </c>
      <c r="S1123" s="7">
        <f t="shared" si="190"/>
        <v>10747000</v>
      </c>
      <c r="T1123" s="7">
        <f t="shared" si="191"/>
        <v>3256666.6666666665</v>
      </c>
      <c r="U1123" s="7">
        <f t="shared" si="192"/>
        <v>9925000</v>
      </c>
      <c r="V1123" s="7">
        <f t="shared" si="193"/>
        <v>0</v>
      </c>
      <c r="W1123" s="7">
        <f t="shared" si="194"/>
        <v>0</v>
      </c>
      <c r="X1123" s="7">
        <f t="shared" si="195"/>
        <v>0</v>
      </c>
    </row>
    <row r="1124" spans="1:24">
      <c r="A1124">
        <v>1123</v>
      </c>
      <c r="B1124" s="96" t="s">
        <v>2480</v>
      </c>
      <c r="C1124" s="95">
        <v>41709</v>
      </c>
      <c r="D1124" s="82">
        <v>9800000</v>
      </c>
      <c r="E1124" s="82">
        <v>9730000</v>
      </c>
      <c r="F1124" s="82">
        <v>9890000</v>
      </c>
      <c r="G1124" s="82">
        <v>9787000</v>
      </c>
      <c r="I1124" s="97">
        <v>0</v>
      </c>
      <c r="J1124" s="97">
        <v>0</v>
      </c>
      <c r="K1124" s="97">
        <v>0</v>
      </c>
      <c r="M1124" s="7">
        <f t="shared" si="188"/>
        <v>0</v>
      </c>
      <c r="N1124" s="7">
        <f t="shared" si="197"/>
        <v>0</v>
      </c>
      <c r="O1124" s="7">
        <f t="shared" si="196"/>
        <v>17000</v>
      </c>
      <c r="P1124" s="99">
        <f t="shared" si="189"/>
        <v>1.7400204708290685E-3</v>
      </c>
      <c r="Q1124" s="99">
        <f t="shared" si="198"/>
        <v>-2.6492352120056203E-3</v>
      </c>
      <c r="S1124" s="7">
        <f t="shared" si="190"/>
        <v>10765700</v>
      </c>
      <c r="T1124" s="7">
        <f t="shared" si="191"/>
        <v>3262333.3333333335</v>
      </c>
      <c r="U1124" s="7">
        <f t="shared" si="192"/>
        <v>9880000</v>
      </c>
      <c r="V1124" s="7">
        <f t="shared" si="193"/>
        <v>0</v>
      </c>
      <c r="W1124" s="7">
        <f t="shared" si="194"/>
        <v>0</v>
      </c>
      <c r="X1124" s="7">
        <f t="shared" si="195"/>
        <v>0</v>
      </c>
    </row>
    <row r="1125" spans="1:24">
      <c r="A1125">
        <v>1124</v>
      </c>
      <c r="B1125" s="96" t="s">
        <v>2479</v>
      </c>
      <c r="C1125" s="95">
        <v>41710</v>
      </c>
      <c r="D1125" s="82">
        <v>9880000</v>
      </c>
      <c r="E1125" s="82">
        <v>9740000</v>
      </c>
      <c r="F1125" s="82">
        <v>9895000</v>
      </c>
      <c r="G1125" s="82">
        <v>9775000</v>
      </c>
      <c r="I1125" s="97">
        <v>0</v>
      </c>
      <c r="J1125" s="97">
        <v>0</v>
      </c>
      <c r="K1125" s="97">
        <v>0</v>
      </c>
      <c r="M1125" s="7">
        <f t="shared" si="188"/>
        <v>0</v>
      </c>
      <c r="N1125" s="7">
        <f t="shared" si="197"/>
        <v>0</v>
      </c>
      <c r="O1125" s="7">
        <f t="shared" si="196"/>
        <v>-12000</v>
      </c>
      <c r="P1125" s="99">
        <f t="shared" si="189"/>
        <v>-1.2261162766935732E-3</v>
      </c>
      <c r="Q1125" s="99">
        <f t="shared" si="198"/>
        <v>-2.9500310677071642E-3</v>
      </c>
      <c r="S1125" s="7">
        <f t="shared" si="190"/>
        <v>10752500</v>
      </c>
      <c r="T1125" s="7">
        <f t="shared" si="191"/>
        <v>3258333.3333333335</v>
      </c>
      <c r="U1125" s="7">
        <f t="shared" si="192"/>
        <v>9915000</v>
      </c>
      <c r="V1125" s="7">
        <f t="shared" si="193"/>
        <v>0</v>
      </c>
      <c r="W1125" s="7">
        <f t="shared" si="194"/>
        <v>0</v>
      </c>
      <c r="X1125" s="7">
        <f t="shared" si="195"/>
        <v>0</v>
      </c>
    </row>
    <row r="1126" spans="1:24">
      <c r="A1126">
        <v>1125</v>
      </c>
      <c r="B1126" s="96" t="s">
        <v>2478</v>
      </c>
      <c r="C1126" s="95">
        <v>41711</v>
      </c>
      <c r="D1126" s="82">
        <v>9770000</v>
      </c>
      <c r="E1126" s="82">
        <v>9760000</v>
      </c>
      <c r="F1126" s="82">
        <v>9810000</v>
      </c>
      <c r="G1126" s="82">
        <v>9805000</v>
      </c>
      <c r="I1126" s="98">
        <v>0</v>
      </c>
      <c r="J1126" s="98">
        <v>0</v>
      </c>
      <c r="K1126" s="98">
        <v>0</v>
      </c>
      <c r="M1126" s="7">
        <f t="shared" si="188"/>
        <v>0</v>
      </c>
      <c r="N1126" s="7">
        <f t="shared" si="197"/>
        <v>0</v>
      </c>
      <c r="O1126" s="7">
        <f t="shared" si="196"/>
        <v>30000</v>
      </c>
      <c r="P1126" s="99">
        <f t="shared" si="189"/>
        <v>3.0690537084398979E-3</v>
      </c>
      <c r="Q1126" s="99">
        <f t="shared" si="198"/>
        <v>1.730166301220444E-3</v>
      </c>
      <c r="S1126" s="7">
        <f t="shared" si="190"/>
        <v>10785500</v>
      </c>
      <c r="T1126" s="7">
        <f t="shared" si="191"/>
        <v>3268333.3333333335</v>
      </c>
      <c r="U1126" s="7">
        <f t="shared" si="192"/>
        <v>9935000</v>
      </c>
      <c r="V1126" s="7">
        <f t="shared" si="193"/>
        <v>0</v>
      </c>
      <c r="W1126" s="7">
        <f t="shared" si="194"/>
        <v>0</v>
      </c>
      <c r="X1126" s="7">
        <f t="shared" si="195"/>
        <v>0</v>
      </c>
    </row>
    <row r="1127" spans="1:24">
      <c r="A1127">
        <v>1126</v>
      </c>
      <c r="B1127" s="96" t="s">
        <v>2477</v>
      </c>
      <c r="C1127" s="95">
        <v>41712</v>
      </c>
      <c r="D1127" s="82">
        <v>9790000</v>
      </c>
      <c r="E1127" s="82">
        <v>9783000</v>
      </c>
      <c r="F1127" s="82">
        <v>9850000</v>
      </c>
      <c r="G1127" s="82">
        <v>9850000</v>
      </c>
      <c r="I1127" s="82">
        <f>G1127*1.1</f>
        <v>10835000</v>
      </c>
      <c r="J1127" s="82">
        <f>G1127/3</f>
        <v>3283333.3333333335</v>
      </c>
      <c r="K1127" s="7">
        <f>G1395</f>
        <v>9980000</v>
      </c>
      <c r="L1127" s="7">
        <f>K1127-I1127</f>
        <v>-855000</v>
      </c>
      <c r="M1127" s="7">
        <f t="shared" si="188"/>
        <v>410416.66666666674</v>
      </c>
      <c r="N1127" s="7">
        <f t="shared" si="197"/>
        <v>-444583.33333333326</v>
      </c>
      <c r="O1127" s="7">
        <f t="shared" si="196"/>
        <v>45000</v>
      </c>
      <c r="P1127" s="99">
        <f t="shared" si="189"/>
        <v>4.5894951555328911E-3</v>
      </c>
      <c r="Q1127" s="99">
        <f t="shared" si="198"/>
        <v>2.65160813085745E-2</v>
      </c>
      <c r="R1127">
        <v>1</v>
      </c>
      <c r="S1127" s="7">
        <f t="shared" si="190"/>
        <v>10835000</v>
      </c>
      <c r="T1127" s="7">
        <f t="shared" si="191"/>
        <v>3283333.3333333335</v>
      </c>
      <c r="U1127" s="7">
        <f t="shared" si="192"/>
        <v>9980000</v>
      </c>
      <c r="V1127" s="7">
        <f t="shared" si="193"/>
        <v>-855000</v>
      </c>
      <c r="W1127" s="7">
        <f t="shared" si="194"/>
        <v>410416.66666666674</v>
      </c>
      <c r="X1127" s="7">
        <f t="shared" si="195"/>
        <v>-444583.33333333326</v>
      </c>
    </row>
    <row r="1128" spans="1:24">
      <c r="A1128">
        <v>1127</v>
      </c>
      <c r="B1128" s="96" t="s">
        <v>2476</v>
      </c>
      <c r="C1128" s="95">
        <v>41713</v>
      </c>
      <c r="D1128" s="82">
        <v>9880000</v>
      </c>
      <c r="E1128" s="82">
        <v>9760000</v>
      </c>
      <c r="F1128" s="82">
        <v>9885000</v>
      </c>
      <c r="G1128" s="82">
        <v>9775000</v>
      </c>
      <c r="I1128" s="97">
        <v>0</v>
      </c>
      <c r="J1128" s="97">
        <v>0</v>
      </c>
      <c r="K1128" s="97">
        <v>0</v>
      </c>
      <c r="M1128" s="7">
        <f t="shared" si="188"/>
        <v>0</v>
      </c>
      <c r="N1128" s="7">
        <f t="shared" si="197"/>
        <v>0</v>
      </c>
      <c r="O1128" s="7">
        <f t="shared" si="196"/>
        <v>-75000</v>
      </c>
      <c r="P1128" s="99">
        <f t="shared" si="189"/>
        <v>-7.6142131979695434E-3</v>
      </c>
      <c r="Q1128" s="99">
        <f t="shared" si="198"/>
        <v>1.4351649762536707E-2</v>
      </c>
      <c r="S1128" s="7">
        <f t="shared" si="190"/>
        <v>10752500</v>
      </c>
      <c r="T1128" s="7">
        <f t="shared" si="191"/>
        <v>3258333.3333333335</v>
      </c>
      <c r="U1128" s="7">
        <f t="shared" si="192"/>
        <v>10195000</v>
      </c>
      <c r="V1128" s="7">
        <f t="shared" si="193"/>
        <v>0</v>
      </c>
      <c r="W1128" s="7">
        <f t="shared" si="194"/>
        <v>0</v>
      </c>
      <c r="X1128" s="7">
        <f t="shared" si="195"/>
        <v>0</v>
      </c>
    </row>
    <row r="1129" spans="1:24">
      <c r="A1129">
        <v>1128</v>
      </c>
      <c r="B1129" s="96" t="s">
        <v>2475</v>
      </c>
      <c r="C1129" s="95">
        <v>41714</v>
      </c>
      <c r="D1129" s="82">
        <v>9760000</v>
      </c>
      <c r="E1129" s="82">
        <v>9735000</v>
      </c>
      <c r="F1129" s="82">
        <v>9820000</v>
      </c>
      <c r="G1129" s="82">
        <v>9820000</v>
      </c>
      <c r="I1129" s="97">
        <v>0</v>
      </c>
      <c r="J1129" s="97">
        <v>0</v>
      </c>
      <c r="K1129" s="97">
        <v>0</v>
      </c>
      <c r="M1129" s="7">
        <f t="shared" si="188"/>
        <v>0</v>
      </c>
      <c r="N1129" s="7">
        <f t="shared" si="197"/>
        <v>0</v>
      </c>
      <c r="O1129" s="7">
        <f t="shared" si="196"/>
        <v>45000</v>
      </c>
      <c r="P1129" s="99">
        <f t="shared" si="189"/>
        <v>4.6035805626598461E-3</v>
      </c>
      <c r="Q1129" s="99">
        <f t="shared" si="198"/>
        <v>5.5823986013874179E-4</v>
      </c>
      <c r="S1129" s="7">
        <f t="shared" si="190"/>
        <v>10802000</v>
      </c>
      <c r="T1129" s="7">
        <f t="shared" si="191"/>
        <v>3273333.3333333335</v>
      </c>
      <c r="U1129" s="7">
        <f t="shared" si="192"/>
        <v>10260000</v>
      </c>
      <c r="V1129" s="7">
        <f t="shared" si="193"/>
        <v>0</v>
      </c>
      <c r="W1129" s="7">
        <f t="shared" si="194"/>
        <v>0</v>
      </c>
      <c r="X1129" s="7">
        <f t="shared" si="195"/>
        <v>0</v>
      </c>
    </row>
    <row r="1130" spans="1:24">
      <c r="A1130">
        <v>1129</v>
      </c>
      <c r="B1130" s="96" t="s">
        <v>2474</v>
      </c>
      <c r="C1130" s="95">
        <v>41715</v>
      </c>
      <c r="D1130" s="82">
        <v>9810000</v>
      </c>
      <c r="E1130" s="82">
        <v>9650000</v>
      </c>
      <c r="F1130" s="82">
        <v>9820000</v>
      </c>
      <c r="G1130" s="82">
        <v>9660000</v>
      </c>
      <c r="I1130" s="97">
        <v>0</v>
      </c>
      <c r="J1130" s="97">
        <v>0</v>
      </c>
      <c r="K1130" s="97">
        <v>0</v>
      </c>
      <c r="M1130" s="7">
        <f t="shared" si="188"/>
        <v>0</v>
      </c>
      <c r="N1130" s="7">
        <f t="shared" si="197"/>
        <v>0</v>
      </c>
      <c r="O1130" s="7">
        <f t="shared" si="196"/>
        <v>-160000</v>
      </c>
      <c r="P1130" s="99">
        <f t="shared" si="189"/>
        <v>-1.6293279022403257E-2</v>
      </c>
      <c r="Q1130" s="99">
        <f t="shared" si="198"/>
        <v>3.4217999519695185E-3</v>
      </c>
      <c r="S1130" s="7">
        <f t="shared" si="190"/>
        <v>10626000</v>
      </c>
      <c r="T1130" s="7">
        <f t="shared" si="191"/>
        <v>3220000</v>
      </c>
      <c r="U1130" s="7">
        <f t="shared" si="192"/>
        <v>10360000</v>
      </c>
      <c r="V1130" s="7">
        <f t="shared" si="193"/>
        <v>0</v>
      </c>
      <c r="W1130" s="7">
        <f t="shared" si="194"/>
        <v>0</v>
      </c>
      <c r="X1130" s="7">
        <f t="shared" si="195"/>
        <v>0</v>
      </c>
    </row>
    <row r="1131" spans="1:24">
      <c r="A1131">
        <v>1130</v>
      </c>
      <c r="B1131" s="96" t="s">
        <v>2473</v>
      </c>
      <c r="C1131" s="95">
        <v>41716</v>
      </c>
      <c r="D1131" s="82">
        <v>9630000</v>
      </c>
      <c r="E1131" s="82">
        <v>9535000</v>
      </c>
      <c r="F1131" s="82">
        <v>9630000</v>
      </c>
      <c r="G1131" s="82">
        <v>9535000</v>
      </c>
      <c r="I1131" s="98">
        <v>0</v>
      </c>
      <c r="J1131" s="98">
        <v>0</v>
      </c>
      <c r="K1131" s="98">
        <v>0</v>
      </c>
      <c r="M1131" s="7">
        <f t="shared" si="188"/>
        <v>0</v>
      </c>
      <c r="N1131" s="7">
        <f t="shared" si="197"/>
        <v>0</v>
      </c>
      <c r="O1131" s="7">
        <f t="shared" si="196"/>
        <v>-125000</v>
      </c>
      <c r="P1131" s="99">
        <f t="shared" si="189"/>
        <v>-1.2939958592132506E-2</v>
      </c>
      <c r="Q1131" s="99">
        <f t="shared" si="198"/>
        <v>-1.1645362793740167E-2</v>
      </c>
      <c r="S1131" s="7">
        <f t="shared" si="190"/>
        <v>10488500</v>
      </c>
      <c r="T1131" s="7">
        <f t="shared" si="191"/>
        <v>3178333.3333333335</v>
      </c>
      <c r="U1131" s="7">
        <f t="shared" si="192"/>
        <v>10380000</v>
      </c>
      <c r="V1131" s="7">
        <f t="shared" si="193"/>
        <v>0</v>
      </c>
      <c r="W1131" s="7">
        <f t="shared" si="194"/>
        <v>0</v>
      </c>
      <c r="X1131" s="7">
        <f t="shared" si="195"/>
        <v>0</v>
      </c>
    </row>
    <row r="1132" spans="1:24">
      <c r="A1132">
        <v>1131</v>
      </c>
      <c r="B1132" s="96" t="s">
        <v>2472</v>
      </c>
      <c r="C1132" s="95">
        <v>41717</v>
      </c>
      <c r="D1132" s="82">
        <v>9520000</v>
      </c>
      <c r="E1132" s="82">
        <v>9500000</v>
      </c>
      <c r="F1132" s="82">
        <v>9543000</v>
      </c>
      <c r="G1132" s="82">
        <v>9500000</v>
      </c>
      <c r="I1132" s="82">
        <f>G1132*1.1</f>
        <v>10450000</v>
      </c>
      <c r="J1132" s="82">
        <f>G1132/3</f>
        <v>3166666.6666666665</v>
      </c>
      <c r="K1132" s="7">
        <f>G1400</f>
        <v>10445000</v>
      </c>
      <c r="L1132" s="7">
        <f>K1132-I1132</f>
        <v>-5000</v>
      </c>
      <c r="M1132" s="7">
        <f t="shared" si="188"/>
        <v>395833.33333333326</v>
      </c>
      <c r="N1132" s="7">
        <f t="shared" si="197"/>
        <v>390833.33333333326</v>
      </c>
      <c r="O1132" s="7">
        <f t="shared" si="196"/>
        <v>-35000</v>
      </c>
      <c r="P1132" s="99">
        <f t="shared" si="189"/>
        <v>-3.6706869428421605E-3</v>
      </c>
      <c r="Q1132" s="99">
        <f t="shared" si="198"/>
        <v>-2.7654375094312567E-2</v>
      </c>
      <c r="R1132">
        <v>1</v>
      </c>
      <c r="S1132" s="7">
        <f t="shared" si="190"/>
        <v>10450000</v>
      </c>
      <c r="T1132" s="7">
        <f t="shared" si="191"/>
        <v>3166666.6666666665</v>
      </c>
      <c r="U1132" s="7">
        <f t="shared" si="192"/>
        <v>10445000</v>
      </c>
      <c r="V1132" s="7">
        <f t="shared" si="193"/>
        <v>-5000</v>
      </c>
      <c r="W1132" s="7">
        <f t="shared" si="194"/>
        <v>395833.33333333326</v>
      </c>
      <c r="X1132" s="7">
        <f t="shared" si="195"/>
        <v>390833.33333333326</v>
      </c>
    </row>
    <row r="1133" spans="1:24">
      <c r="A1133">
        <v>1132</v>
      </c>
      <c r="B1133" s="96" t="s">
        <v>2471</v>
      </c>
      <c r="C1133" s="95">
        <v>41718</v>
      </c>
      <c r="D1133" s="82">
        <v>9530000</v>
      </c>
      <c r="E1133" s="82">
        <v>9510000</v>
      </c>
      <c r="F1133" s="82">
        <v>9550000</v>
      </c>
      <c r="G1133" s="82">
        <v>9530000</v>
      </c>
      <c r="I1133" s="97">
        <v>0</v>
      </c>
      <c r="J1133" s="97">
        <v>0</v>
      </c>
      <c r="K1133" s="97">
        <v>0</v>
      </c>
      <c r="M1133" s="7">
        <f t="shared" si="188"/>
        <v>0</v>
      </c>
      <c r="N1133" s="7">
        <f t="shared" si="197"/>
        <v>0</v>
      </c>
      <c r="O1133" s="7">
        <f t="shared" si="196"/>
        <v>30000</v>
      </c>
      <c r="P1133" s="99">
        <f t="shared" si="189"/>
        <v>3.1578947368421052E-3</v>
      </c>
      <c r="Q1133" s="99">
        <f t="shared" si="198"/>
        <v>-3.5914557192687616E-2</v>
      </c>
      <c r="S1133" s="7">
        <f t="shared" si="190"/>
        <v>10483000</v>
      </c>
      <c r="T1133" s="7">
        <f t="shared" si="191"/>
        <v>3176666.6666666665</v>
      </c>
      <c r="U1133" s="7">
        <f t="shared" si="192"/>
        <v>10380000</v>
      </c>
      <c r="V1133" s="7">
        <f t="shared" si="193"/>
        <v>0</v>
      </c>
      <c r="W1133" s="7">
        <f t="shared" si="194"/>
        <v>0</v>
      </c>
      <c r="X1133" s="7">
        <f t="shared" si="195"/>
        <v>0</v>
      </c>
    </row>
    <row r="1134" spans="1:24">
      <c r="A1134">
        <v>1133</v>
      </c>
      <c r="B1134" s="96" t="s">
        <v>2470</v>
      </c>
      <c r="C1134" s="95">
        <v>41719</v>
      </c>
      <c r="D1134" s="82">
        <v>9570000</v>
      </c>
      <c r="E1134" s="82">
        <v>9550000</v>
      </c>
      <c r="F1134" s="82">
        <v>9570000</v>
      </c>
      <c r="G1134" s="82">
        <v>9550000</v>
      </c>
      <c r="I1134" s="97">
        <v>0</v>
      </c>
      <c r="J1134" s="97">
        <v>0</v>
      </c>
      <c r="K1134" s="97">
        <v>0</v>
      </c>
      <c r="M1134" s="7">
        <f t="shared" si="188"/>
        <v>0</v>
      </c>
      <c r="N1134" s="7">
        <f t="shared" si="197"/>
        <v>0</v>
      </c>
      <c r="O1134" s="7">
        <f t="shared" si="196"/>
        <v>20000</v>
      </c>
      <c r="P1134" s="99">
        <f t="shared" si="189"/>
        <v>2.0986358866736622E-3</v>
      </c>
      <c r="Q1134" s="99">
        <f t="shared" si="198"/>
        <v>-2.5142449257875975E-2</v>
      </c>
      <c r="S1134" s="7">
        <f t="shared" si="190"/>
        <v>10505000</v>
      </c>
      <c r="T1134" s="7">
        <f t="shared" si="191"/>
        <v>3183333.3333333335</v>
      </c>
      <c r="U1134" s="7">
        <f t="shared" si="192"/>
        <v>10390000</v>
      </c>
      <c r="V1134" s="7">
        <f t="shared" si="193"/>
        <v>0</v>
      </c>
      <c r="W1134" s="7">
        <f t="shared" si="194"/>
        <v>0</v>
      </c>
      <c r="X1134" s="7">
        <f t="shared" si="195"/>
        <v>0</v>
      </c>
    </row>
    <row r="1135" spans="1:24">
      <c r="A1135">
        <v>1134</v>
      </c>
      <c r="B1135" s="96" t="s">
        <v>2469</v>
      </c>
      <c r="C1135" s="95">
        <v>41722</v>
      </c>
      <c r="D1135" s="82">
        <v>9530000</v>
      </c>
      <c r="E1135" s="82">
        <v>9480000</v>
      </c>
      <c r="F1135" s="82">
        <v>9530000</v>
      </c>
      <c r="G1135" s="82">
        <v>9480000</v>
      </c>
      <c r="I1135" s="97">
        <v>0</v>
      </c>
      <c r="J1135" s="97">
        <v>0</v>
      </c>
      <c r="K1135" s="97">
        <v>0</v>
      </c>
      <c r="M1135" s="7">
        <f t="shared" si="188"/>
        <v>0</v>
      </c>
      <c r="N1135" s="7">
        <f t="shared" si="197"/>
        <v>0</v>
      </c>
      <c r="O1135" s="7">
        <f t="shared" si="196"/>
        <v>-70000</v>
      </c>
      <c r="P1135" s="99">
        <f t="shared" si="189"/>
        <v>-7.3298429319371729E-3</v>
      </c>
      <c r="Q1135" s="99">
        <f t="shared" si="198"/>
        <v>-2.7647393933862154E-2</v>
      </c>
      <c r="S1135" s="7">
        <f t="shared" si="190"/>
        <v>10428000</v>
      </c>
      <c r="T1135" s="7">
        <f t="shared" si="191"/>
        <v>3160000</v>
      </c>
      <c r="U1135" s="7">
        <f t="shared" si="192"/>
        <v>10420000</v>
      </c>
      <c r="V1135" s="7">
        <f t="shared" si="193"/>
        <v>0</v>
      </c>
      <c r="W1135" s="7">
        <f t="shared" si="194"/>
        <v>0</v>
      </c>
      <c r="X1135" s="7">
        <f t="shared" si="195"/>
        <v>0</v>
      </c>
    </row>
    <row r="1136" spans="1:24">
      <c r="A1136">
        <v>1135</v>
      </c>
      <c r="B1136" s="96" t="s">
        <v>2468</v>
      </c>
      <c r="C1136" s="95">
        <v>41723</v>
      </c>
      <c r="D1136" s="82">
        <v>9500000</v>
      </c>
      <c r="E1136" s="82">
        <v>9500000</v>
      </c>
      <c r="F1136" s="82">
        <v>9550000</v>
      </c>
      <c r="G1136" s="82">
        <v>9520000</v>
      </c>
      <c r="I1136" s="98">
        <v>0</v>
      </c>
      <c r="J1136" s="98">
        <v>0</v>
      </c>
      <c r="K1136" s="98">
        <v>0</v>
      </c>
      <c r="M1136" s="7">
        <f t="shared" si="188"/>
        <v>0</v>
      </c>
      <c r="N1136" s="7">
        <f t="shared" si="197"/>
        <v>0</v>
      </c>
      <c r="O1136" s="7">
        <f t="shared" si="196"/>
        <v>40000</v>
      </c>
      <c r="P1136" s="99">
        <f t="shared" si="189"/>
        <v>4.2194092827004216E-3</v>
      </c>
      <c r="Q1136" s="99">
        <f t="shared" si="198"/>
        <v>-1.8683957843396069E-2</v>
      </c>
      <c r="S1136" s="7">
        <f t="shared" si="190"/>
        <v>10472000</v>
      </c>
      <c r="T1136" s="7">
        <f t="shared" si="191"/>
        <v>3173333.3333333335</v>
      </c>
      <c r="U1136" s="7">
        <f t="shared" si="192"/>
        <v>10390000</v>
      </c>
      <c r="V1136" s="7">
        <f t="shared" si="193"/>
        <v>0</v>
      </c>
      <c r="W1136" s="7">
        <f t="shared" si="194"/>
        <v>0</v>
      </c>
      <c r="X1136" s="7">
        <f t="shared" si="195"/>
        <v>0</v>
      </c>
    </row>
    <row r="1137" spans="1:24">
      <c r="A1137">
        <v>1136</v>
      </c>
      <c r="B1137" s="96" t="s">
        <v>2467</v>
      </c>
      <c r="C1137" s="95">
        <v>41724</v>
      </c>
      <c r="D1137" s="82">
        <v>9530000</v>
      </c>
      <c r="E1137" s="82">
        <v>9510000</v>
      </c>
      <c r="F1137" s="82">
        <v>9540000</v>
      </c>
      <c r="G1137" s="82">
        <v>9510000</v>
      </c>
      <c r="I1137" s="82">
        <f>G1137*1.1</f>
        <v>10461000</v>
      </c>
      <c r="J1137" s="82">
        <f>G1137/3</f>
        <v>3170000</v>
      </c>
      <c r="K1137" s="7">
        <f>G1405</f>
        <v>10355000</v>
      </c>
      <c r="L1137" s="7">
        <f>K1137-I1137</f>
        <v>-106000</v>
      </c>
      <c r="M1137" s="7">
        <f t="shared" si="188"/>
        <v>396250</v>
      </c>
      <c r="N1137" s="7">
        <f t="shared" si="197"/>
        <v>290250</v>
      </c>
      <c r="O1137" s="7">
        <f t="shared" si="196"/>
        <v>-10000</v>
      </c>
      <c r="P1137" s="99">
        <f t="shared" si="189"/>
        <v>-1.0504201680672268E-3</v>
      </c>
      <c r="Q1137" s="99">
        <f t="shared" si="198"/>
        <v>-1.5245899685631444E-3</v>
      </c>
      <c r="R1137">
        <v>1</v>
      </c>
      <c r="S1137" s="7">
        <f t="shared" si="190"/>
        <v>10461000</v>
      </c>
      <c r="T1137" s="7">
        <f t="shared" si="191"/>
        <v>3170000</v>
      </c>
      <c r="U1137" s="7">
        <f t="shared" si="192"/>
        <v>10355000</v>
      </c>
      <c r="V1137" s="7">
        <f t="shared" si="193"/>
        <v>-106000</v>
      </c>
      <c r="W1137" s="7">
        <f t="shared" si="194"/>
        <v>396250</v>
      </c>
      <c r="X1137" s="7">
        <f t="shared" si="195"/>
        <v>290250</v>
      </c>
    </row>
    <row r="1138" spans="1:24">
      <c r="A1138">
        <v>1137</v>
      </c>
      <c r="B1138" s="96" t="s">
        <v>2466</v>
      </c>
      <c r="C1138" s="95">
        <v>41725</v>
      </c>
      <c r="D1138" s="82">
        <v>9520000</v>
      </c>
      <c r="E1138" s="82">
        <v>9520000</v>
      </c>
      <c r="F1138" s="82">
        <v>9520000</v>
      </c>
      <c r="G1138" s="82">
        <v>9520000</v>
      </c>
      <c r="I1138" s="97">
        <v>0</v>
      </c>
      <c r="J1138" s="97">
        <v>0</v>
      </c>
      <c r="K1138" s="97">
        <v>0</v>
      </c>
      <c r="M1138" s="7">
        <f t="shared" si="188"/>
        <v>0</v>
      </c>
      <c r="N1138" s="7">
        <f t="shared" si="197"/>
        <v>0</v>
      </c>
      <c r="O1138" s="7">
        <f t="shared" si="196"/>
        <v>10000</v>
      </c>
      <c r="P1138" s="99">
        <f t="shared" si="189"/>
        <v>1.0515247108307045E-3</v>
      </c>
      <c r="Q1138" s="99">
        <f t="shared" si="198"/>
        <v>1.0956768062117892E-3</v>
      </c>
      <c r="S1138" s="7">
        <f t="shared" si="190"/>
        <v>10472000</v>
      </c>
      <c r="T1138" s="7">
        <f t="shared" si="191"/>
        <v>3173333.3333333335</v>
      </c>
      <c r="U1138" s="7">
        <f t="shared" si="192"/>
        <v>10390000</v>
      </c>
      <c r="V1138" s="7">
        <f t="shared" si="193"/>
        <v>0</v>
      </c>
      <c r="W1138" s="7">
        <f t="shared" si="194"/>
        <v>0</v>
      </c>
      <c r="X1138" s="7">
        <f t="shared" si="195"/>
        <v>0</v>
      </c>
    </row>
    <row r="1139" spans="1:24">
      <c r="A1139">
        <v>1138</v>
      </c>
      <c r="B1139" s="96" t="s">
        <v>2465</v>
      </c>
      <c r="C1139" s="95">
        <v>41726</v>
      </c>
      <c r="D1139" s="82">
        <v>9500000</v>
      </c>
      <c r="E1139" s="82">
        <v>9500000</v>
      </c>
      <c r="F1139" s="82">
        <v>9500000</v>
      </c>
      <c r="G1139" s="82">
        <v>9500000</v>
      </c>
      <c r="I1139" s="97">
        <v>0</v>
      </c>
      <c r="J1139" s="97">
        <v>0</v>
      </c>
      <c r="K1139" s="97">
        <v>0</v>
      </c>
      <c r="M1139" s="7">
        <f t="shared" si="188"/>
        <v>0</v>
      </c>
      <c r="N1139" s="7">
        <f t="shared" si="197"/>
        <v>0</v>
      </c>
      <c r="O1139" s="7">
        <f t="shared" si="196"/>
        <v>-20000</v>
      </c>
      <c r="P1139" s="99">
        <f t="shared" si="189"/>
        <v>-2.1008403361344537E-3</v>
      </c>
      <c r="Q1139" s="99">
        <f t="shared" si="198"/>
        <v>-1.0106932197996112E-3</v>
      </c>
      <c r="S1139" s="7">
        <f t="shared" si="190"/>
        <v>10450000</v>
      </c>
      <c r="T1139" s="7">
        <f t="shared" si="191"/>
        <v>3166666.6666666665</v>
      </c>
      <c r="U1139" s="7">
        <f t="shared" si="192"/>
        <v>10340000</v>
      </c>
      <c r="V1139" s="7">
        <f t="shared" si="193"/>
        <v>0</v>
      </c>
      <c r="W1139" s="7">
        <f t="shared" si="194"/>
        <v>0</v>
      </c>
      <c r="X1139" s="7">
        <f t="shared" si="195"/>
        <v>0</v>
      </c>
    </row>
    <row r="1140" spans="1:24">
      <c r="A1140">
        <v>1139</v>
      </c>
      <c r="B1140" s="96" t="s">
        <v>2464</v>
      </c>
      <c r="C1140" s="95">
        <v>41727</v>
      </c>
      <c r="D1140" s="82">
        <v>9480000</v>
      </c>
      <c r="E1140" s="82">
        <v>9450000</v>
      </c>
      <c r="F1140" s="82">
        <v>9480000</v>
      </c>
      <c r="G1140" s="82">
        <v>9450000</v>
      </c>
      <c r="I1140" s="97">
        <v>0</v>
      </c>
      <c r="J1140" s="97">
        <v>0</v>
      </c>
      <c r="K1140" s="97">
        <v>0</v>
      </c>
      <c r="M1140" s="7">
        <f t="shared" si="188"/>
        <v>0</v>
      </c>
      <c r="N1140" s="7">
        <f t="shared" si="197"/>
        <v>0</v>
      </c>
      <c r="O1140" s="7">
        <f t="shared" si="196"/>
        <v>-50000</v>
      </c>
      <c r="P1140" s="99">
        <f t="shared" si="189"/>
        <v>-5.263157894736842E-3</v>
      </c>
      <c r="Q1140" s="99">
        <f t="shared" si="198"/>
        <v>-5.2101694426077271E-3</v>
      </c>
      <c r="S1140" s="7">
        <f t="shared" si="190"/>
        <v>10395000</v>
      </c>
      <c r="T1140" s="7">
        <f t="shared" si="191"/>
        <v>3150000</v>
      </c>
      <c r="U1140" s="7">
        <f t="shared" si="192"/>
        <v>10330000</v>
      </c>
      <c r="V1140" s="7">
        <f t="shared" si="193"/>
        <v>0</v>
      </c>
      <c r="W1140" s="7">
        <f t="shared" si="194"/>
        <v>0</v>
      </c>
      <c r="X1140" s="7">
        <f t="shared" si="195"/>
        <v>0</v>
      </c>
    </row>
    <row r="1141" spans="1:24">
      <c r="A1141">
        <v>1140</v>
      </c>
      <c r="B1141" s="96" t="s">
        <v>2463</v>
      </c>
      <c r="C1141" s="95">
        <v>41728</v>
      </c>
      <c r="D1141" s="82">
        <v>9440000</v>
      </c>
      <c r="E1141" s="82">
        <v>9440000</v>
      </c>
      <c r="F1141" s="82">
        <v>9450000</v>
      </c>
      <c r="G1141" s="82">
        <v>9440000</v>
      </c>
      <c r="I1141" s="98">
        <v>0</v>
      </c>
      <c r="J1141" s="98">
        <v>0</v>
      </c>
      <c r="K1141" s="98">
        <v>0</v>
      </c>
      <c r="M1141" s="7">
        <f t="shared" si="188"/>
        <v>0</v>
      </c>
      <c r="N1141" s="7">
        <f t="shared" si="197"/>
        <v>0</v>
      </c>
      <c r="O1141" s="7">
        <f t="shared" si="196"/>
        <v>-10000</v>
      </c>
      <c r="P1141" s="99">
        <f t="shared" si="189"/>
        <v>-1.0582010582010583E-3</v>
      </c>
      <c r="Q1141" s="99">
        <f t="shared" si="198"/>
        <v>-3.1434844054073967E-3</v>
      </c>
      <c r="S1141" s="7">
        <f t="shared" si="190"/>
        <v>10384000</v>
      </c>
      <c r="T1141" s="7">
        <f t="shared" si="191"/>
        <v>3146666.6666666665</v>
      </c>
      <c r="U1141" s="7">
        <f t="shared" si="192"/>
        <v>10320000</v>
      </c>
      <c r="V1141" s="7">
        <f t="shared" si="193"/>
        <v>0</v>
      </c>
      <c r="W1141" s="7">
        <f t="shared" si="194"/>
        <v>0</v>
      </c>
      <c r="X1141" s="7">
        <f t="shared" si="195"/>
        <v>0</v>
      </c>
    </row>
    <row r="1142" spans="1:24">
      <c r="A1142">
        <v>1141</v>
      </c>
      <c r="B1142" s="96" t="s">
        <v>2462</v>
      </c>
      <c r="C1142" s="95">
        <v>41729</v>
      </c>
      <c r="D1142" s="82">
        <v>9450000</v>
      </c>
      <c r="E1142" s="82">
        <v>9430000</v>
      </c>
      <c r="F1142" s="82">
        <v>9450000</v>
      </c>
      <c r="G1142" s="82">
        <v>9430000</v>
      </c>
      <c r="I1142" s="82">
        <f>G1142*1.1</f>
        <v>10373000</v>
      </c>
      <c r="J1142" s="82">
        <f>G1142/3</f>
        <v>3143333.3333333335</v>
      </c>
      <c r="K1142" s="7">
        <f>G1410</f>
        <v>10240000</v>
      </c>
      <c r="L1142" s="7">
        <f>K1142-I1142</f>
        <v>-133000</v>
      </c>
      <c r="M1142" s="7">
        <f t="shared" si="188"/>
        <v>392916.66666666674</v>
      </c>
      <c r="N1142" s="7">
        <f t="shared" si="197"/>
        <v>259916.66666666674</v>
      </c>
      <c r="O1142" s="7">
        <f t="shared" si="196"/>
        <v>-10000</v>
      </c>
      <c r="P1142" s="99">
        <f t="shared" si="189"/>
        <v>-1.0593220338983051E-3</v>
      </c>
      <c r="Q1142" s="99">
        <f t="shared" si="198"/>
        <v>-8.4210947463088763E-3</v>
      </c>
      <c r="R1142">
        <v>1</v>
      </c>
      <c r="S1142" s="7">
        <f t="shared" si="190"/>
        <v>10373000</v>
      </c>
      <c r="T1142" s="7">
        <f t="shared" si="191"/>
        <v>3143333.3333333335</v>
      </c>
      <c r="U1142" s="7">
        <f t="shared" si="192"/>
        <v>10240000</v>
      </c>
      <c r="V1142" s="7">
        <f t="shared" si="193"/>
        <v>-133000</v>
      </c>
      <c r="W1142" s="7">
        <f t="shared" si="194"/>
        <v>392916.66666666674</v>
      </c>
      <c r="X1142" s="7">
        <f t="shared" si="195"/>
        <v>259916.66666666674</v>
      </c>
    </row>
    <row r="1143" spans="1:24">
      <c r="A1143">
        <v>1142</v>
      </c>
      <c r="B1143" s="96" t="s">
        <v>2461</v>
      </c>
      <c r="C1143" s="95">
        <v>41730</v>
      </c>
      <c r="D1143" s="82">
        <v>9420000</v>
      </c>
      <c r="E1143" s="82">
        <v>9410000</v>
      </c>
      <c r="F1143" s="82">
        <v>9425000</v>
      </c>
      <c r="G1143" s="82">
        <v>9410000</v>
      </c>
      <c r="I1143" s="97">
        <v>0</v>
      </c>
      <c r="J1143" s="97">
        <v>0</v>
      </c>
      <c r="K1143" s="97">
        <v>0</v>
      </c>
      <c r="M1143" s="7">
        <f t="shared" si="188"/>
        <v>0</v>
      </c>
      <c r="N1143" s="7">
        <f t="shared" si="197"/>
        <v>0</v>
      </c>
      <c r="O1143" s="7">
        <f t="shared" si="196"/>
        <v>-20000</v>
      </c>
      <c r="P1143" s="99">
        <f t="shared" si="189"/>
        <v>-2.1208907741251328E-3</v>
      </c>
      <c r="Q1143" s="99">
        <f t="shared" si="198"/>
        <v>-8.4299966121399554E-3</v>
      </c>
      <c r="S1143" s="7">
        <f t="shared" si="190"/>
        <v>10351000</v>
      </c>
      <c r="T1143" s="7">
        <f t="shared" si="191"/>
        <v>3136666.6666666665</v>
      </c>
      <c r="U1143" s="7">
        <f t="shared" si="192"/>
        <v>10260000</v>
      </c>
      <c r="V1143" s="7">
        <f t="shared" si="193"/>
        <v>0</v>
      </c>
      <c r="W1143" s="7">
        <f t="shared" si="194"/>
        <v>0</v>
      </c>
      <c r="X1143" s="7">
        <f t="shared" si="195"/>
        <v>0</v>
      </c>
    </row>
    <row r="1144" spans="1:24">
      <c r="A1144">
        <v>1143</v>
      </c>
      <c r="B1144" s="96" t="s">
        <v>2460</v>
      </c>
      <c r="C1144" s="95">
        <v>41733</v>
      </c>
      <c r="D1144" s="82">
        <v>9430000</v>
      </c>
      <c r="E1144" s="82">
        <v>9430000</v>
      </c>
      <c r="F1144" s="82">
        <v>9445000</v>
      </c>
      <c r="G1144" s="82">
        <v>9445000</v>
      </c>
      <c r="I1144" s="97">
        <v>0</v>
      </c>
      <c r="J1144" s="97">
        <v>0</v>
      </c>
      <c r="K1144" s="97">
        <v>0</v>
      </c>
      <c r="M1144" s="7">
        <f t="shared" si="188"/>
        <v>0</v>
      </c>
      <c r="N1144" s="7">
        <f t="shared" si="197"/>
        <v>0</v>
      </c>
      <c r="O1144" s="7">
        <f t="shared" si="196"/>
        <v>35000</v>
      </c>
      <c r="P1144" s="99">
        <f t="shared" si="189"/>
        <v>3.7194473963868225E-3</v>
      </c>
      <c r="Q1144" s="99">
        <f t="shared" si="198"/>
        <v>-1.1602412097095793E-2</v>
      </c>
      <c r="S1144" s="7">
        <f t="shared" si="190"/>
        <v>10389500</v>
      </c>
      <c r="T1144" s="7">
        <f t="shared" si="191"/>
        <v>3148333.3333333335</v>
      </c>
      <c r="U1144" s="7">
        <f t="shared" si="192"/>
        <v>10140000</v>
      </c>
      <c r="V1144" s="7">
        <f t="shared" si="193"/>
        <v>0</v>
      </c>
      <c r="W1144" s="7">
        <f t="shared" si="194"/>
        <v>0</v>
      </c>
      <c r="X1144" s="7">
        <f t="shared" si="195"/>
        <v>0</v>
      </c>
    </row>
    <row r="1145" spans="1:24">
      <c r="A1145">
        <v>1144</v>
      </c>
      <c r="B1145" s="96" t="s">
        <v>2459</v>
      </c>
      <c r="C1145" s="95">
        <v>41734</v>
      </c>
      <c r="D1145" s="82">
        <v>9470000</v>
      </c>
      <c r="E1145" s="82">
        <v>9455000</v>
      </c>
      <c r="F1145" s="82">
        <v>9500000</v>
      </c>
      <c r="G1145" s="82">
        <v>9462000</v>
      </c>
      <c r="I1145" s="97">
        <v>0</v>
      </c>
      <c r="J1145" s="97">
        <v>0</v>
      </c>
      <c r="K1145" s="97">
        <v>0</v>
      </c>
      <c r="M1145" s="7">
        <f t="shared" si="188"/>
        <v>0</v>
      </c>
      <c r="N1145" s="7">
        <f t="shared" si="197"/>
        <v>0</v>
      </c>
      <c r="O1145" s="7">
        <f t="shared" si="196"/>
        <v>17000</v>
      </c>
      <c r="P1145" s="99">
        <f t="shared" si="189"/>
        <v>1.7998941238750663E-3</v>
      </c>
      <c r="Q1145" s="99">
        <f t="shared" si="198"/>
        <v>-5.7821243645745151E-3</v>
      </c>
      <c r="S1145" s="7">
        <f t="shared" si="190"/>
        <v>10408200</v>
      </c>
      <c r="T1145" s="7">
        <f t="shared" si="191"/>
        <v>3154000</v>
      </c>
      <c r="U1145" s="7">
        <f t="shared" si="192"/>
        <v>10090000</v>
      </c>
      <c r="V1145" s="7">
        <f t="shared" si="193"/>
        <v>0</v>
      </c>
      <c r="W1145" s="7">
        <f t="shared" si="194"/>
        <v>0</v>
      </c>
      <c r="X1145" s="7">
        <f t="shared" si="195"/>
        <v>0</v>
      </c>
    </row>
    <row r="1146" spans="1:24">
      <c r="A1146">
        <v>1145</v>
      </c>
      <c r="B1146" s="96" t="s">
        <v>2458</v>
      </c>
      <c r="C1146" s="95">
        <v>41735</v>
      </c>
      <c r="D1146" s="82">
        <v>9458000</v>
      </c>
      <c r="E1146" s="82">
        <v>9413000</v>
      </c>
      <c r="F1146" s="82">
        <v>9460000</v>
      </c>
      <c r="G1146" s="82">
        <v>9440000</v>
      </c>
      <c r="I1146" s="98">
        <v>0</v>
      </c>
      <c r="J1146" s="98">
        <v>0</v>
      </c>
      <c r="K1146" s="98">
        <v>0</v>
      </c>
      <c r="M1146" s="7">
        <f t="shared" si="188"/>
        <v>0</v>
      </c>
      <c r="N1146" s="7">
        <f t="shared" si="197"/>
        <v>0</v>
      </c>
      <c r="O1146" s="7">
        <f t="shared" si="196"/>
        <v>-22000</v>
      </c>
      <c r="P1146" s="99">
        <f t="shared" si="189"/>
        <v>-2.3250898330162756E-3</v>
      </c>
      <c r="Q1146" s="99">
        <f t="shared" si="198"/>
        <v>1.2809276540373922E-3</v>
      </c>
      <c r="S1146" s="7">
        <f t="shared" si="190"/>
        <v>10384000</v>
      </c>
      <c r="T1146" s="7">
        <f t="shared" si="191"/>
        <v>3146666.6666666665</v>
      </c>
      <c r="U1146" s="7">
        <f t="shared" si="192"/>
        <v>9830000</v>
      </c>
      <c r="V1146" s="7">
        <f t="shared" si="193"/>
        <v>0</v>
      </c>
      <c r="W1146" s="7">
        <f t="shared" si="194"/>
        <v>0</v>
      </c>
      <c r="X1146" s="7">
        <f t="shared" si="195"/>
        <v>0</v>
      </c>
    </row>
    <row r="1147" spans="1:24">
      <c r="A1147">
        <v>1146</v>
      </c>
      <c r="B1147" s="96" t="s">
        <v>2457</v>
      </c>
      <c r="C1147" s="95">
        <v>41736</v>
      </c>
      <c r="D1147" s="82">
        <v>9420000</v>
      </c>
      <c r="E1147" s="82">
        <v>9400000</v>
      </c>
      <c r="F1147" s="82">
        <v>9475000</v>
      </c>
      <c r="G1147" s="82">
        <v>9460000</v>
      </c>
      <c r="I1147" s="82">
        <f>G1147*1.1</f>
        <v>10406000</v>
      </c>
      <c r="J1147" s="82">
        <f>G1147/3</f>
        <v>3153333.3333333335</v>
      </c>
      <c r="K1147" s="7">
        <f>G1415</f>
        <v>9840000</v>
      </c>
      <c r="L1147" s="7">
        <f>K1147-I1147</f>
        <v>-566000</v>
      </c>
      <c r="M1147" s="7">
        <f t="shared" si="188"/>
        <v>394166.66666666674</v>
      </c>
      <c r="N1147" s="7">
        <f t="shared" si="197"/>
        <v>-171833.33333333326</v>
      </c>
      <c r="O1147" s="7">
        <f t="shared" si="196"/>
        <v>20000</v>
      </c>
      <c r="P1147" s="99">
        <f t="shared" si="189"/>
        <v>2.1186440677966102E-3</v>
      </c>
      <c r="Q1147" s="99">
        <f t="shared" si="198"/>
        <v>1.4038879222175171E-5</v>
      </c>
      <c r="R1147">
        <v>1</v>
      </c>
      <c r="S1147" s="7">
        <f t="shared" si="190"/>
        <v>10406000</v>
      </c>
      <c r="T1147" s="7">
        <f t="shared" si="191"/>
        <v>3153333.3333333335</v>
      </c>
      <c r="U1147" s="7">
        <f t="shared" si="192"/>
        <v>9840000</v>
      </c>
      <c r="V1147" s="7">
        <f t="shared" si="193"/>
        <v>-566000</v>
      </c>
      <c r="W1147" s="7">
        <f t="shared" si="194"/>
        <v>394166.66666666674</v>
      </c>
      <c r="X1147" s="7">
        <f t="shared" si="195"/>
        <v>-171833.33333333326</v>
      </c>
    </row>
    <row r="1148" spans="1:24">
      <c r="A1148">
        <v>1147</v>
      </c>
      <c r="B1148" s="96" t="s">
        <v>2456</v>
      </c>
      <c r="C1148" s="95">
        <v>41737</v>
      </c>
      <c r="D1148" s="82">
        <v>9475000</v>
      </c>
      <c r="E1148" s="82">
        <v>9470000</v>
      </c>
      <c r="F1148" s="82">
        <v>9658000</v>
      </c>
      <c r="G1148" s="82">
        <v>9658000</v>
      </c>
      <c r="I1148" s="97">
        <v>0</v>
      </c>
      <c r="J1148" s="97">
        <v>0</v>
      </c>
      <c r="K1148" s="97">
        <v>0</v>
      </c>
      <c r="M1148" s="7">
        <f t="shared" si="188"/>
        <v>0</v>
      </c>
      <c r="N1148" s="7">
        <f t="shared" si="197"/>
        <v>0</v>
      </c>
      <c r="O1148" s="7">
        <f t="shared" si="196"/>
        <v>198000</v>
      </c>
      <c r="P1148" s="99">
        <f t="shared" si="189"/>
        <v>2.0930232558139535E-2</v>
      </c>
      <c r="Q1148" s="99">
        <f t="shared" si="198"/>
        <v>3.1920049809170906E-3</v>
      </c>
      <c r="S1148" s="7">
        <f t="shared" si="190"/>
        <v>10623800</v>
      </c>
      <c r="T1148" s="7">
        <f t="shared" si="191"/>
        <v>3219333.3333333335</v>
      </c>
      <c r="U1148" s="7">
        <f t="shared" si="192"/>
        <v>9910000</v>
      </c>
      <c r="V1148" s="7">
        <f t="shared" si="193"/>
        <v>0</v>
      </c>
      <c r="W1148" s="7">
        <f t="shared" si="194"/>
        <v>0</v>
      </c>
      <c r="X1148" s="7">
        <f t="shared" si="195"/>
        <v>0</v>
      </c>
    </row>
    <row r="1149" spans="1:24">
      <c r="A1149">
        <v>1148</v>
      </c>
      <c r="B1149" s="96" t="s">
        <v>2455</v>
      </c>
      <c r="C1149" s="95">
        <v>41738</v>
      </c>
      <c r="D1149" s="82">
        <v>9700000</v>
      </c>
      <c r="E1149" s="82">
        <v>9595000</v>
      </c>
      <c r="F1149" s="82">
        <v>9770000</v>
      </c>
      <c r="G1149" s="82">
        <v>9640000</v>
      </c>
      <c r="I1149" s="97">
        <v>0</v>
      </c>
      <c r="J1149" s="97">
        <v>0</v>
      </c>
      <c r="K1149" s="97">
        <v>0</v>
      </c>
      <c r="M1149" s="7">
        <f t="shared" si="188"/>
        <v>0</v>
      </c>
      <c r="N1149" s="7">
        <f t="shared" si="197"/>
        <v>0</v>
      </c>
      <c r="O1149" s="7">
        <f t="shared" si="196"/>
        <v>-18000</v>
      </c>
      <c r="P1149" s="99">
        <f t="shared" si="189"/>
        <v>-1.8637399047421825E-3</v>
      </c>
      <c r="Q1149" s="99">
        <f t="shared" si="198"/>
        <v>2.6243128313181756E-2</v>
      </c>
      <c r="S1149" s="7">
        <f t="shared" si="190"/>
        <v>10604000</v>
      </c>
      <c r="T1149" s="7">
        <f t="shared" si="191"/>
        <v>3213333.3333333335</v>
      </c>
      <c r="U1149" s="7">
        <f t="shared" si="192"/>
        <v>9940000</v>
      </c>
      <c r="V1149" s="7">
        <f t="shared" si="193"/>
        <v>0</v>
      </c>
      <c r="W1149" s="7">
        <f t="shared" si="194"/>
        <v>0</v>
      </c>
      <c r="X1149" s="7">
        <f t="shared" si="195"/>
        <v>0</v>
      </c>
    </row>
    <row r="1150" spans="1:24">
      <c r="A1150">
        <v>1149</v>
      </c>
      <c r="B1150" s="96" t="s">
        <v>2454</v>
      </c>
      <c r="C1150" s="95">
        <v>41739</v>
      </c>
      <c r="D1150" s="82">
        <v>9650000</v>
      </c>
      <c r="E1150" s="82">
        <v>9638000</v>
      </c>
      <c r="F1150" s="82">
        <v>9703000</v>
      </c>
      <c r="G1150" s="82">
        <v>9683000</v>
      </c>
      <c r="I1150" s="97">
        <v>0</v>
      </c>
      <c r="J1150" s="97">
        <v>0</v>
      </c>
      <c r="K1150" s="97">
        <v>0</v>
      </c>
      <c r="M1150" s="7">
        <f t="shared" si="188"/>
        <v>0</v>
      </c>
      <c r="N1150" s="7">
        <f t="shared" si="197"/>
        <v>0</v>
      </c>
      <c r="O1150" s="7">
        <f t="shared" si="196"/>
        <v>43000</v>
      </c>
      <c r="P1150" s="99">
        <f t="shared" si="189"/>
        <v>4.4605809128630703E-3</v>
      </c>
      <c r="Q1150" s="99">
        <f t="shared" si="198"/>
        <v>2.0659941012052752E-2</v>
      </c>
      <c r="S1150" s="7">
        <f t="shared" si="190"/>
        <v>10651300</v>
      </c>
      <c r="T1150" s="7">
        <f t="shared" si="191"/>
        <v>3227666.6666666665</v>
      </c>
      <c r="U1150" s="7">
        <f t="shared" si="192"/>
        <v>9910000</v>
      </c>
      <c r="V1150" s="7">
        <f t="shared" si="193"/>
        <v>0</v>
      </c>
      <c r="W1150" s="7">
        <f t="shared" si="194"/>
        <v>0</v>
      </c>
      <c r="X1150" s="7">
        <f t="shared" si="195"/>
        <v>0</v>
      </c>
    </row>
    <row r="1151" spans="1:24">
      <c r="A1151">
        <v>1150</v>
      </c>
      <c r="B1151" s="96" t="s">
        <v>2453</v>
      </c>
      <c r="C1151" s="95">
        <v>41740</v>
      </c>
      <c r="D1151" s="82">
        <v>9685000</v>
      </c>
      <c r="E1151" s="82">
        <v>9672000</v>
      </c>
      <c r="F1151" s="82">
        <v>9704000</v>
      </c>
      <c r="G1151" s="82">
        <v>9675000</v>
      </c>
      <c r="I1151" s="98">
        <v>0</v>
      </c>
      <c r="J1151" s="98">
        <v>0</v>
      </c>
      <c r="K1151" s="98">
        <v>0</v>
      </c>
      <c r="M1151" s="7">
        <f t="shared" si="188"/>
        <v>0</v>
      </c>
      <c r="N1151" s="7">
        <f t="shared" si="197"/>
        <v>0</v>
      </c>
      <c r="O1151" s="7">
        <f t="shared" si="196"/>
        <v>-8000</v>
      </c>
      <c r="P1151" s="99">
        <f t="shared" si="189"/>
        <v>-8.2619023030052667E-4</v>
      </c>
      <c r="Q1151" s="99">
        <f t="shared" si="198"/>
        <v>2.3320627801040758E-2</v>
      </c>
      <c r="S1151" s="7">
        <f t="shared" si="190"/>
        <v>10642500</v>
      </c>
      <c r="T1151" s="7">
        <f t="shared" si="191"/>
        <v>3225000</v>
      </c>
      <c r="U1151" s="7">
        <f t="shared" si="192"/>
        <v>9970000</v>
      </c>
      <c r="V1151" s="7">
        <f t="shared" si="193"/>
        <v>0</v>
      </c>
      <c r="W1151" s="7">
        <f t="shared" si="194"/>
        <v>0</v>
      </c>
      <c r="X1151" s="7">
        <f t="shared" si="195"/>
        <v>0</v>
      </c>
    </row>
    <row r="1152" spans="1:24">
      <c r="A1152">
        <v>1151</v>
      </c>
      <c r="B1152" s="96" t="s">
        <v>2452</v>
      </c>
      <c r="C1152" s="95">
        <v>41741</v>
      </c>
      <c r="D1152" s="82">
        <v>9670000</v>
      </c>
      <c r="E1152" s="82">
        <v>9638000</v>
      </c>
      <c r="F1152" s="82">
        <v>9750000</v>
      </c>
      <c r="G1152" s="82">
        <v>9750000</v>
      </c>
      <c r="I1152" s="82">
        <f>G1152*1.1</f>
        <v>10725000</v>
      </c>
      <c r="J1152" s="82">
        <f>G1152/3</f>
        <v>3250000</v>
      </c>
      <c r="K1152" s="7">
        <f>G1420</f>
        <v>9950000</v>
      </c>
      <c r="L1152" s="7">
        <f>K1152-I1152</f>
        <v>-775000</v>
      </c>
      <c r="M1152" s="7">
        <f t="shared" si="188"/>
        <v>406250</v>
      </c>
      <c r="N1152" s="7">
        <f t="shared" si="197"/>
        <v>-368750</v>
      </c>
      <c r="O1152" s="7">
        <f t="shared" si="196"/>
        <v>75000</v>
      </c>
      <c r="P1152" s="99">
        <f t="shared" si="189"/>
        <v>7.7519379844961239E-3</v>
      </c>
      <c r="Q1152" s="99">
        <f t="shared" si="198"/>
        <v>2.4819527403756508E-2</v>
      </c>
      <c r="R1152">
        <v>1</v>
      </c>
      <c r="S1152" s="7">
        <f t="shared" si="190"/>
        <v>10725000</v>
      </c>
      <c r="T1152" s="7">
        <f t="shared" si="191"/>
        <v>3250000</v>
      </c>
      <c r="U1152" s="7">
        <f t="shared" si="192"/>
        <v>9950000</v>
      </c>
      <c r="V1152" s="7">
        <f t="shared" si="193"/>
        <v>-775000</v>
      </c>
      <c r="W1152" s="7">
        <f t="shared" si="194"/>
        <v>406250</v>
      </c>
      <c r="X1152" s="7">
        <f t="shared" si="195"/>
        <v>-368750</v>
      </c>
    </row>
    <row r="1153" spans="1:24">
      <c r="A1153">
        <v>1152</v>
      </c>
      <c r="B1153" s="96" t="s">
        <v>2451</v>
      </c>
      <c r="C1153" s="95">
        <v>41742</v>
      </c>
      <c r="D1153" s="82">
        <v>9770000</v>
      </c>
      <c r="E1153" s="82">
        <v>9728000</v>
      </c>
      <c r="F1153" s="82">
        <v>9790000</v>
      </c>
      <c r="G1153" s="82">
        <v>9780000</v>
      </c>
      <c r="I1153" s="97">
        <v>0</v>
      </c>
      <c r="J1153" s="97">
        <v>0</v>
      </c>
      <c r="K1153" s="97">
        <v>0</v>
      </c>
      <c r="M1153" s="7">
        <f t="shared" si="188"/>
        <v>0</v>
      </c>
      <c r="N1153" s="7">
        <f t="shared" si="197"/>
        <v>0</v>
      </c>
      <c r="O1153" s="7">
        <f t="shared" si="196"/>
        <v>30000</v>
      </c>
      <c r="P1153" s="99">
        <f t="shared" si="189"/>
        <v>3.0769230769230769E-3</v>
      </c>
      <c r="Q1153" s="99">
        <f t="shared" si="198"/>
        <v>3.0452821320456021E-2</v>
      </c>
      <c r="S1153" s="7">
        <f t="shared" si="190"/>
        <v>10758000</v>
      </c>
      <c r="T1153" s="7">
        <f t="shared" si="191"/>
        <v>3260000</v>
      </c>
      <c r="U1153" s="7">
        <f t="shared" si="192"/>
        <v>9890000</v>
      </c>
      <c r="V1153" s="7">
        <f t="shared" si="193"/>
        <v>0</v>
      </c>
      <c r="W1153" s="7">
        <f t="shared" si="194"/>
        <v>0</v>
      </c>
      <c r="X1153" s="7">
        <f t="shared" si="195"/>
        <v>0</v>
      </c>
    </row>
    <row r="1154" spans="1:24">
      <c r="A1154">
        <v>1153</v>
      </c>
      <c r="B1154" s="96" t="s">
        <v>2450</v>
      </c>
      <c r="C1154" s="95">
        <v>41743</v>
      </c>
      <c r="D1154" s="82">
        <v>9825000</v>
      </c>
      <c r="E1154" s="82">
        <v>9808000</v>
      </c>
      <c r="F1154" s="82">
        <v>9900000</v>
      </c>
      <c r="G1154" s="82">
        <v>9880000</v>
      </c>
      <c r="I1154" s="97">
        <v>0</v>
      </c>
      <c r="J1154" s="97">
        <v>0</v>
      </c>
      <c r="K1154" s="97">
        <v>0</v>
      </c>
      <c r="M1154" s="7">
        <f t="shared" ref="M1154:M1217" si="199">J1154*$AI$6/200</f>
        <v>0</v>
      </c>
      <c r="N1154" s="7">
        <f t="shared" si="197"/>
        <v>0</v>
      </c>
      <c r="O1154" s="7">
        <f t="shared" si="196"/>
        <v>100000</v>
      </c>
      <c r="P1154" s="99">
        <f t="shared" si="189"/>
        <v>1.0224948875255624E-2</v>
      </c>
      <c r="Q1154" s="99">
        <f t="shared" si="198"/>
        <v>1.2599511839239561E-2</v>
      </c>
      <c r="S1154" s="7">
        <f t="shared" si="190"/>
        <v>10868000</v>
      </c>
      <c r="T1154" s="7">
        <f t="shared" si="191"/>
        <v>3293333.3333333335</v>
      </c>
      <c r="U1154" s="7">
        <f t="shared" si="192"/>
        <v>9750000</v>
      </c>
      <c r="V1154" s="7">
        <f t="shared" si="193"/>
        <v>0</v>
      </c>
      <c r="W1154" s="7">
        <f t="shared" si="194"/>
        <v>0</v>
      </c>
      <c r="X1154" s="7">
        <f t="shared" si="195"/>
        <v>0</v>
      </c>
    </row>
    <row r="1155" spans="1:24">
      <c r="A1155">
        <v>1154</v>
      </c>
      <c r="B1155" s="96" t="s">
        <v>2449</v>
      </c>
      <c r="C1155" s="95">
        <v>41744</v>
      </c>
      <c r="D1155" s="82">
        <v>9850000</v>
      </c>
      <c r="E1155" s="82">
        <v>9783000</v>
      </c>
      <c r="F1155" s="82">
        <v>9850000</v>
      </c>
      <c r="G1155" s="82">
        <v>9835000</v>
      </c>
      <c r="I1155" s="97">
        <v>0</v>
      </c>
      <c r="J1155" s="97">
        <v>0</v>
      </c>
      <c r="K1155" s="97">
        <v>0</v>
      </c>
      <c r="M1155" s="7">
        <f t="shared" si="199"/>
        <v>0</v>
      </c>
      <c r="N1155" s="7">
        <f t="shared" si="197"/>
        <v>0</v>
      </c>
      <c r="O1155" s="7">
        <f t="shared" si="196"/>
        <v>-45000</v>
      </c>
      <c r="P1155" s="99">
        <f t="shared" ref="P1155:P1218" si="200">O1155/G1154</f>
        <v>-4.5546558704453437E-3</v>
      </c>
      <c r="Q1155" s="99">
        <f t="shared" si="198"/>
        <v>2.468820061923737E-2</v>
      </c>
      <c r="S1155" s="7">
        <f t="shared" ref="S1155:S1218" si="201">G1155*1.1</f>
        <v>10818500</v>
      </c>
      <c r="T1155" s="7">
        <f t="shared" ref="T1155:T1218" si="202">G1155/3</f>
        <v>3278333.3333333335</v>
      </c>
      <c r="U1155" s="7">
        <f t="shared" ref="U1155:U1218" si="203">G1423</f>
        <v>9830000</v>
      </c>
      <c r="V1155" s="7">
        <f t="shared" ref="V1155:V1218" si="204">(U1155-S1155)*R1155</f>
        <v>0</v>
      </c>
      <c r="W1155" s="7">
        <f t="shared" ref="W1155:W1218" si="205">(T1155*$AI$6/200)*R1155</f>
        <v>0</v>
      </c>
      <c r="X1155" s="7">
        <f t="shared" ref="X1155:X1218" si="206">V1155+W1155</f>
        <v>0</v>
      </c>
    </row>
    <row r="1156" spans="1:24">
      <c r="A1156">
        <v>1155</v>
      </c>
      <c r="B1156" s="96" t="s">
        <v>2448</v>
      </c>
      <c r="C1156" s="95">
        <v>41745</v>
      </c>
      <c r="D1156" s="82">
        <v>9820000</v>
      </c>
      <c r="E1156" s="82">
        <v>9760000</v>
      </c>
      <c r="F1156" s="82">
        <v>9845000</v>
      </c>
      <c r="G1156" s="82">
        <v>9760000</v>
      </c>
      <c r="I1156" s="98">
        <v>0</v>
      </c>
      <c r="J1156" s="98">
        <v>0</v>
      </c>
      <c r="K1156" s="98">
        <v>0</v>
      </c>
      <c r="M1156" s="7">
        <f t="shared" si="199"/>
        <v>0</v>
      </c>
      <c r="N1156" s="7">
        <f t="shared" si="197"/>
        <v>0</v>
      </c>
      <c r="O1156" s="7">
        <f t="shared" ref="O1156:O1219" si="207">G1156-G1155</f>
        <v>-75000</v>
      </c>
      <c r="P1156" s="99">
        <f t="shared" si="200"/>
        <v>-7.6258261311642093E-3</v>
      </c>
      <c r="Q1156" s="99">
        <f t="shared" si="198"/>
        <v>1.5672963835928956E-2</v>
      </c>
      <c r="S1156" s="7">
        <f t="shared" si="201"/>
        <v>10736000</v>
      </c>
      <c r="T1156" s="7">
        <f t="shared" si="202"/>
        <v>3253333.3333333335</v>
      </c>
      <c r="U1156" s="7">
        <f t="shared" si="203"/>
        <v>9920000</v>
      </c>
      <c r="V1156" s="7">
        <f t="shared" si="204"/>
        <v>0</v>
      </c>
      <c r="W1156" s="7">
        <f t="shared" si="205"/>
        <v>0</v>
      </c>
      <c r="X1156" s="7">
        <f t="shared" si="206"/>
        <v>0</v>
      </c>
    </row>
    <row r="1157" spans="1:24">
      <c r="A1157">
        <v>1156</v>
      </c>
      <c r="B1157" s="96" t="s">
        <v>2447</v>
      </c>
      <c r="C1157" s="95">
        <v>41746</v>
      </c>
      <c r="D1157" s="82">
        <v>9750000</v>
      </c>
      <c r="E1157" s="82">
        <v>9738000</v>
      </c>
      <c r="F1157" s="82">
        <v>9780000</v>
      </c>
      <c r="G1157" s="82">
        <v>9765000</v>
      </c>
      <c r="I1157" s="82">
        <f>G1157*1.1</f>
        <v>10741500</v>
      </c>
      <c r="J1157" s="82">
        <f>G1157/3</f>
        <v>3255000</v>
      </c>
      <c r="K1157" s="7">
        <f>G1425</f>
        <v>9725000</v>
      </c>
      <c r="L1157" s="7">
        <f>K1157-I1157</f>
        <v>-1016500</v>
      </c>
      <c r="M1157" s="7">
        <f t="shared" si="199"/>
        <v>406875</v>
      </c>
      <c r="N1157" s="7">
        <f t="shared" si="197"/>
        <v>-609625</v>
      </c>
      <c r="O1157" s="7">
        <f t="shared" si="207"/>
        <v>5000</v>
      </c>
      <c r="P1157" s="99">
        <f t="shared" si="200"/>
        <v>5.1229508196721314E-4</v>
      </c>
      <c r="Q1157" s="99">
        <f t="shared" si="198"/>
        <v>8.873327935065272E-3</v>
      </c>
      <c r="R1157">
        <v>1</v>
      </c>
      <c r="S1157" s="7">
        <f t="shared" si="201"/>
        <v>10741500</v>
      </c>
      <c r="T1157" s="7">
        <f t="shared" si="202"/>
        <v>3255000</v>
      </c>
      <c r="U1157" s="7">
        <f t="shared" si="203"/>
        <v>9725000</v>
      </c>
      <c r="V1157" s="7">
        <f t="shared" si="204"/>
        <v>-1016500</v>
      </c>
      <c r="W1157" s="7">
        <f t="shared" si="205"/>
        <v>406875</v>
      </c>
      <c r="X1157" s="7">
        <f t="shared" si="206"/>
        <v>-609625</v>
      </c>
    </row>
    <row r="1158" spans="1:24">
      <c r="A1158">
        <v>1157</v>
      </c>
      <c r="B1158" s="96" t="s">
        <v>2446</v>
      </c>
      <c r="C1158" s="95">
        <v>41747</v>
      </c>
      <c r="D1158" s="82">
        <v>9760000</v>
      </c>
      <c r="E1158" s="82">
        <v>9760000</v>
      </c>
      <c r="F1158" s="82">
        <v>9770000</v>
      </c>
      <c r="G1158" s="82">
        <v>9765000</v>
      </c>
      <c r="I1158" s="97">
        <v>0</v>
      </c>
      <c r="J1158" s="97">
        <v>0</v>
      </c>
      <c r="K1158" s="97">
        <v>0</v>
      </c>
      <c r="M1158" s="7">
        <f t="shared" si="199"/>
        <v>0</v>
      </c>
      <c r="N1158" s="7">
        <f t="shared" si="197"/>
        <v>0</v>
      </c>
      <c r="O1158" s="7">
        <f t="shared" si="207"/>
        <v>0</v>
      </c>
      <c r="P1158" s="99">
        <f t="shared" si="200"/>
        <v>0</v>
      </c>
      <c r="Q1158" s="99">
        <f t="shared" si="198"/>
        <v>1.6336850325363605E-3</v>
      </c>
      <c r="S1158" s="7">
        <f t="shared" si="201"/>
        <v>10741500</v>
      </c>
      <c r="T1158" s="7">
        <f t="shared" si="202"/>
        <v>3255000</v>
      </c>
      <c r="U1158" s="7">
        <f t="shared" si="203"/>
        <v>9795000</v>
      </c>
      <c r="V1158" s="7">
        <f t="shared" si="204"/>
        <v>0</v>
      </c>
      <c r="W1158" s="7">
        <f t="shared" si="205"/>
        <v>0</v>
      </c>
      <c r="X1158" s="7">
        <f t="shared" si="206"/>
        <v>0</v>
      </c>
    </row>
    <row r="1159" spans="1:24">
      <c r="A1159">
        <v>1158</v>
      </c>
      <c r="B1159" s="96" t="s">
        <v>2445</v>
      </c>
      <c r="C1159" s="95">
        <v>41748</v>
      </c>
      <c r="D1159" s="82">
        <v>9765000</v>
      </c>
      <c r="E1159" s="82">
        <v>9765000</v>
      </c>
      <c r="F1159" s="82">
        <v>9820000</v>
      </c>
      <c r="G1159" s="82">
        <v>9790000</v>
      </c>
      <c r="I1159" s="97">
        <v>0</v>
      </c>
      <c r="J1159" s="97">
        <v>0</v>
      </c>
      <c r="K1159" s="97">
        <v>0</v>
      </c>
      <c r="M1159" s="7">
        <f t="shared" si="199"/>
        <v>0</v>
      </c>
      <c r="N1159" s="7">
        <f t="shared" si="197"/>
        <v>0</v>
      </c>
      <c r="O1159" s="7">
        <f t="shared" si="207"/>
        <v>25000</v>
      </c>
      <c r="P1159" s="99">
        <f t="shared" si="200"/>
        <v>2.5601638504864311E-3</v>
      </c>
      <c r="Q1159" s="99">
        <f t="shared" si="198"/>
        <v>-1.4432380443867156E-3</v>
      </c>
      <c r="S1159" s="7">
        <f t="shared" si="201"/>
        <v>10769000</v>
      </c>
      <c r="T1159" s="7">
        <f t="shared" si="202"/>
        <v>3263333.3333333335</v>
      </c>
      <c r="U1159" s="7">
        <f t="shared" si="203"/>
        <v>9815000</v>
      </c>
      <c r="V1159" s="7">
        <f t="shared" si="204"/>
        <v>0</v>
      </c>
      <c r="W1159" s="7">
        <f t="shared" si="205"/>
        <v>0</v>
      </c>
      <c r="X1159" s="7">
        <f t="shared" si="206"/>
        <v>0</v>
      </c>
    </row>
    <row r="1160" spans="1:24">
      <c r="A1160">
        <v>1159</v>
      </c>
      <c r="B1160" s="96" t="s">
        <v>2444</v>
      </c>
      <c r="C1160" s="95">
        <v>41749</v>
      </c>
      <c r="D1160" s="82">
        <v>9780000</v>
      </c>
      <c r="E1160" s="82">
        <v>9778000</v>
      </c>
      <c r="F1160" s="82">
        <v>9820000</v>
      </c>
      <c r="G1160" s="82">
        <v>9800000</v>
      </c>
      <c r="I1160" s="97">
        <v>0</v>
      </c>
      <c r="J1160" s="97">
        <v>0</v>
      </c>
      <c r="K1160" s="97">
        <v>0</v>
      </c>
      <c r="M1160" s="7">
        <f t="shared" si="199"/>
        <v>0</v>
      </c>
      <c r="N1160" s="7">
        <f t="shared" ref="N1160:N1223" si="208">L1160+M1160</f>
        <v>0</v>
      </c>
      <c r="O1160" s="7">
        <f t="shared" si="207"/>
        <v>10000</v>
      </c>
      <c r="P1160" s="99">
        <f t="shared" si="200"/>
        <v>1.0214504596527069E-3</v>
      </c>
      <c r="Q1160" s="99">
        <f t="shared" ref="Q1160:Q1223" si="209">SUM(P1155:P1159)</f>
        <v>-9.1080230691559065E-3</v>
      </c>
      <c r="S1160" s="7">
        <f t="shared" si="201"/>
        <v>10780000</v>
      </c>
      <c r="T1160" s="7">
        <f t="shared" si="202"/>
        <v>3266666.6666666665</v>
      </c>
      <c r="U1160" s="7">
        <f t="shared" si="203"/>
        <v>9875000</v>
      </c>
      <c r="V1160" s="7">
        <f t="shared" si="204"/>
        <v>0</v>
      </c>
      <c r="W1160" s="7">
        <f t="shared" si="205"/>
        <v>0</v>
      </c>
      <c r="X1160" s="7">
        <f t="shared" si="206"/>
        <v>0</v>
      </c>
    </row>
    <row r="1161" spans="1:24">
      <c r="A1161">
        <v>1160</v>
      </c>
      <c r="B1161" s="96" t="s">
        <v>2443</v>
      </c>
      <c r="C1161" s="95">
        <v>41750</v>
      </c>
      <c r="D1161" s="82">
        <v>9770000</v>
      </c>
      <c r="E1161" s="82">
        <v>9725000</v>
      </c>
      <c r="F1161" s="82">
        <v>9857000</v>
      </c>
      <c r="G1161" s="82">
        <v>9855000</v>
      </c>
      <c r="I1161" s="98">
        <v>0</v>
      </c>
      <c r="J1161" s="98">
        <v>0</v>
      </c>
      <c r="K1161" s="98">
        <v>0</v>
      </c>
      <c r="M1161" s="7">
        <f t="shared" si="199"/>
        <v>0</v>
      </c>
      <c r="N1161" s="7">
        <f t="shared" si="208"/>
        <v>0</v>
      </c>
      <c r="O1161" s="7">
        <f t="shared" si="207"/>
        <v>55000</v>
      </c>
      <c r="P1161" s="99">
        <f t="shared" si="200"/>
        <v>5.6122448979591833E-3</v>
      </c>
      <c r="Q1161" s="99">
        <f t="shared" si="209"/>
        <v>-3.5319167390578587E-3</v>
      </c>
      <c r="S1161" s="7">
        <f t="shared" si="201"/>
        <v>10840500</v>
      </c>
      <c r="T1161" s="7">
        <f t="shared" si="202"/>
        <v>3285000</v>
      </c>
      <c r="U1161" s="7">
        <f t="shared" si="203"/>
        <v>9955000</v>
      </c>
      <c r="V1161" s="7">
        <f t="shared" si="204"/>
        <v>0</v>
      </c>
      <c r="W1161" s="7">
        <f t="shared" si="205"/>
        <v>0</v>
      </c>
      <c r="X1161" s="7">
        <f t="shared" si="206"/>
        <v>0</v>
      </c>
    </row>
    <row r="1162" spans="1:24">
      <c r="A1162">
        <v>1161</v>
      </c>
      <c r="B1162" s="96" t="s">
        <v>2442</v>
      </c>
      <c r="C1162" s="95">
        <v>41751</v>
      </c>
      <c r="D1162" s="82">
        <v>9845000</v>
      </c>
      <c r="E1162" s="82">
        <v>9844000</v>
      </c>
      <c r="F1162" s="82">
        <v>10000000</v>
      </c>
      <c r="G1162" s="82">
        <v>10000000</v>
      </c>
      <c r="I1162" s="82">
        <f>G1162*1.1</f>
        <v>11000000</v>
      </c>
      <c r="J1162" s="82">
        <f>G1162/3</f>
        <v>3333333.3333333335</v>
      </c>
      <c r="K1162" s="7">
        <f>G1430</f>
        <v>9940000</v>
      </c>
      <c r="L1162" s="7">
        <f>K1162-I1162</f>
        <v>-1060000</v>
      </c>
      <c r="M1162" s="7">
        <f t="shared" si="199"/>
        <v>416666.66666666674</v>
      </c>
      <c r="N1162" s="7">
        <f t="shared" si="208"/>
        <v>-643333.33333333326</v>
      </c>
      <c r="O1162" s="7">
        <f t="shared" si="207"/>
        <v>145000</v>
      </c>
      <c r="P1162" s="99">
        <f t="shared" si="200"/>
        <v>1.4713343480466767E-2</v>
      </c>
      <c r="Q1162" s="99">
        <f t="shared" si="209"/>
        <v>9.7061542900655357E-3</v>
      </c>
      <c r="R1162">
        <v>1</v>
      </c>
      <c r="S1162" s="7">
        <f t="shared" si="201"/>
        <v>11000000</v>
      </c>
      <c r="T1162" s="7">
        <f t="shared" si="202"/>
        <v>3333333.3333333335</v>
      </c>
      <c r="U1162" s="7">
        <f t="shared" si="203"/>
        <v>9940000</v>
      </c>
      <c r="V1162" s="7">
        <f t="shared" si="204"/>
        <v>-1060000</v>
      </c>
      <c r="W1162" s="7">
        <f t="shared" si="205"/>
        <v>416666.66666666674</v>
      </c>
      <c r="X1162" s="7">
        <f t="shared" si="206"/>
        <v>-643333.33333333326</v>
      </c>
    </row>
    <row r="1163" spans="1:24">
      <c r="A1163">
        <v>1162</v>
      </c>
      <c r="B1163" s="96" t="s">
        <v>2441</v>
      </c>
      <c r="C1163" s="95">
        <v>41752</v>
      </c>
      <c r="D1163" s="82">
        <v>10020000</v>
      </c>
      <c r="E1163" s="82">
        <v>9910000</v>
      </c>
      <c r="F1163" s="82">
        <v>10080000</v>
      </c>
      <c r="G1163" s="82">
        <v>9910000</v>
      </c>
      <c r="I1163" s="97">
        <v>0</v>
      </c>
      <c r="J1163" s="97">
        <v>0</v>
      </c>
      <c r="K1163" s="97">
        <v>0</v>
      </c>
      <c r="M1163" s="7">
        <f t="shared" si="199"/>
        <v>0</v>
      </c>
      <c r="N1163" s="7">
        <f t="shared" si="208"/>
        <v>0</v>
      </c>
      <c r="O1163" s="7">
        <f t="shared" si="207"/>
        <v>-90000</v>
      </c>
      <c r="P1163" s="99">
        <f t="shared" si="200"/>
        <v>-8.9999999999999993E-3</v>
      </c>
      <c r="Q1163" s="99">
        <f t="shared" si="209"/>
        <v>2.3907202688565089E-2</v>
      </c>
      <c r="S1163" s="7">
        <f t="shared" si="201"/>
        <v>10901000</v>
      </c>
      <c r="T1163" s="7">
        <f t="shared" si="202"/>
        <v>3303333.3333333335</v>
      </c>
      <c r="U1163" s="7">
        <f t="shared" si="203"/>
        <v>9905000</v>
      </c>
      <c r="V1163" s="7">
        <f t="shared" si="204"/>
        <v>0</v>
      </c>
      <c r="W1163" s="7">
        <f t="shared" si="205"/>
        <v>0</v>
      </c>
      <c r="X1163" s="7">
        <f t="shared" si="206"/>
        <v>0</v>
      </c>
    </row>
    <row r="1164" spans="1:24">
      <c r="A1164">
        <v>1163</v>
      </c>
      <c r="B1164" s="96" t="s">
        <v>2440</v>
      </c>
      <c r="C1164" s="95">
        <v>41753</v>
      </c>
      <c r="D1164" s="82">
        <v>9955000</v>
      </c>
      <c r="E1164" s="82">
        <v>9853000</v>
      </c>
      <c r="F1164" s="82">
        <v>9965000</v>
      </c>
      <c r="G1164" s="82">
        <v>9950000</v>
      </c>
      <c r="I1164" s="97">
        <v>0</v>
      </c>
      <c r="J1164" s="97">
        <v>0</v>
      </c>
      <c r="K1164" s="97">
        <v>0</v>
      </c>
      <c r="M1164" s="7">
        <f t="shared" si="199"/>
        <v>0</v>
      </c>
      <c r="N1164" s="7">
        <f t="shared" si="208"/>
        <v>0</v>
      </c>
      <c r="O1164" s="7">
        <f t="shared" si="207"/>
        <v>40000</v>
      </c>
      <c r="P1164" s="99">
        <f t="shared" si="200"/>
        <v>4.0363269424823411E-3</v>
      </c>
      <c r="Q1164" s="99">
        <f t="shared" si="209"/>
        <v>1.490720268856509E-2</v>
      </c>
      <c r="S1164" s="7">
        <f t="shared" si="201"/>
        <v>10945000</v>
      </c>
      <c r="T1164" s="7">
        <f t="shared" si="202"/>
        <v>3316666.6666666665</v>
      </c>
      <c r="U1164" s="7">
        <f t="shared" si="203"/>
        <v>9880000</v>
      </c>
      <c r="V1164" s="7">
        <f t="shared" si="204"/>
        <v>0</v>
      </c>
      <c r="W1164" s="7">
        <f t="shared" si="205"/>
        <v>0</v>
      </c>
      <c r="X1164" s="7">
        <f t="shared" si="206"/>
        <v>0</v>
      </c>
    </row>
    <row r="1165" spans="1:24">
      <c r="A1165">
        <v>1164</v>
      </c>
      <c r="B1165" s="96" t="s">
        <v>2439</v>
      </c>
      <c r="C1165" s="95">
        <v>41754</v>
      </c>
      <c r="D1165" s="82">
        <v>9940000</v>
      </c>
      <c r="E1165" s="82">
        <v>9935000</v>
      </c>
      <c r="F1165" s="82">
        <v>9970000</v>
      </c>
      <c r="G1165" s="82">
        <v>9960000</v>
      </c>
      <c r="I1165" s="97">
        <v>0</v>
      </c>
      <c r="J1165" s="97">
        <v>0</v>
      </c>
      <c r="K1165" s="97">
        <v>0</v>
      </c>
      <c r="M1165" s="7">
        <f t="shared" si="199"/>
        <v>0</v>
      </c>
      <c r="N1165" s="7">
        <f t="shared" si="208"/>
        <v>0</v>
      </c>
      <c r="O1165" s="7">
        <f t="shared" si="207"/>
        <v>10000</v>
      </c>
      <c r="P1165" s="99">
        <f t="shared" si="200"/>
        <v>1.0050251256281408E-3</v>
      </c>
      <c r="Q1165" s="99">
        <f t="shared" si="209"/>
        <v>1.6383365780560998E-2</v>
      </c>
      <c r="S1165" s="7">
        <f t="shared" si="201"/>
        <v>10956000</v>
      </c>
      <c r="T1165" s="7">
        <f t="shared" si="202"/>
        <v>3320000</v>
      </c>
      <c r="U1165" s="7">
        <f t="shared" si="203"/>
        <v>9900000</v>
      </c>
      <c r="V1165" s="7">
        <f t="shared" si="204"/>
        <v>0</v>
      </c>
      <c r="W1165" s="7">
        <f t="shared" si="205"/>
        <v>0</v>
      </c>
      <c r="X1165" s="7">
        <f t="shared" si="206"/>
        <v>0</v>
      </c>
    </row>
    <row r="1166" spans="1:24">
      <c r="A1166">
        <v>1165</v>
      </c>
      <c r="B1166" s="96" t="s">
        <v>2438</v>
      </c>
      <c r="C1166" s="95">
        <v>41755</v>
      </c>
      <c r="D1166" s="82">
        <v>9955000</v>
      </c>
      <c r="E1166" s="82">
        <v>9945000</v>
      </c>
      <c r="F1166" s="82">
        <v>10150000</v>
      </c>
      <c r="G1166" s="82">
        <v>10140000</v>
      </c>
      <c r="I1166" s="98">
        <v>0</v>
      </c>
      <c r="J1166" s="98">
        <v>0</v>
      </c>
      <c r="K1166" s="98">
        <v>0</v>
      </c>
      <c r="M1166" s="7">
        <f t="shared" si="199"/>
        <v>0</v>
      </c>
      <c r="N1166" s="7">
        <f t="shared" si="208"/>
        <v>0</v>
      </c>
      <c r="O1166" s="7">
        <f t="shared" si="207"/>
        <v>180000</v>
      </c>
      <c r="P1166" s="99">
        <f t="shared" si="200"/>
        <v>1.8072289156626505E-2</v>
      </c>
      <c r="Q1166" s="99">
        <f t="shared" si="209"/>
        <v>1.6366940446536429E-2</v>
      </c>
      <c r="S1166" s="7">
        <f t="shared" si="201"/>
        <v>11154000</v>
      </c>
      <c r="T1166" s="7">
        <f t="shared" si="202"/>
        <v>3380000</v>
      </c>
      <c r="U1166" s="7">
        <f t="shared" si="203"/>
        <v>9820000</v>
      </c>
      <c r="V1166" s="7">
        <f t="shared" si="204"/>
        <v>0</v>
      </c>
      <c r="W1166" s="7">
        <f t="shared" si="205"/>
        <v>0</v>
      </c>
      <c r="X1166" s="7">
        <f t="shared" si="206"/>
        <v>0</v>
      </c>
    </row>
    <row r="1167" spans="1:24">
      <c r="A1167">
        <v>1166</v>
      </c>
      <c r="B1167" s="96" t="s">
        <v>2437</v>
      </c>
      <c r="C1167" s="95">
        <v>41756</v>
      </c>
      <c r="D1167" s="82">
        <v>10150000</v>
      </c>
      <c r="E1167" s="82">
        <v>10115000</v>
      </c>
      <c r="F1167" s="82">
        <v>10460000</v>
      </c>
      <c r="G1167" s="82">
        <v>10455000</v>
      </c>
      <c r="I1167" s="82">
        <f>G1167*1.1</f>
        <v>11500500</v>
      </c>
      <c r="J1167" s="82">
        <f>G1167/3</f>
        <v>3485000</v>
      </c>
      <c r="K1167" s="7">
        <f>G1435</f>
        <v>9820000</v>
      </c>
      <c r="L1167" s="7">
        <f>K1167-I1167</f>
        <v>-1680500</v>
      </c>
      <c r="M1167" s="7">
        <f t="shared" si="199"/>
        <v>435625</v>
      </c>
      <c r="N1167" s="7">
        <f t="shared" si="208"/>
        <v>-1244875</v>
      </c>
      <c r="O1167" s="7">
        <f t="shared" si="207"/>
        <v>315000</v>
      </c>
      <c r="P1167" s="99">
        <f t="shared" si="200"/>
        <v>3.1065088757396449E-2</v>
      </c>
      <c r="Q1167" s="99">
        <f t="shared" si="209"/>
        <v>2.8826984705203756E-2</v>
      </c>
      <c r="R1167">
        <v>1</v>
      </c>
      <c r="S1167" s="7">
        <f t="shared" si="201"/>
        <v>11500500</v>
      </c>
      <c r="T1167" s="7">
        <f t="shared" si="202"/>
        <v>3485000</v>
      </c>
      <c r="U1167" s="7">
        <f t="shared" si="203"/>
        <v>9820000</v>
      </c>
      <c r="V1167" s="7">
        <f t="shared" si="204"/>
        <v>-1680500</v>
      </c>
      <c r="W1167" s="7">
        <f t="shared" si="205"/>
        <v>435625</v>
      </c>
      <c r="X1167" s="7">
        <f t="shared" si="206"/>
        <v>-1244875</v>
      </c>
    </row>
    <row r="1168" spans="1:24">
      <c r="A1168">
        <v>1167</v>
      </c>
      <c r="B1168" s="96" t="s">
        <v>2436</v>
      </c>
      <c r="C1168" s="95">
        <v>41757</v>
      </c>
      <c r="D1168" s="82">
        <v>10450000</v>
      </c>
      <c r="E1168" s="82">
        <v>10164000</v>
      </c>
      <c r="F1168" s="82">
        <v>10450000</v>
      </c>
      <c r="G1168" s="82">
        <v>10185000</v>
      </c>
      <c r="I1168" s="97">
        <v>0</v>
      </c>
      <c r="J1168" s="97">
        <v>0</v>
      </c>
      <c r="K1168" s="97">
        <v>0</v>
      </c>
      <c r="M1168" s="7">
        <f t="shared" si="199"/>
        <v>0</v>
      </c>
      <c r="N1168" s="7">
        <f t="shared" si="208"/>
        <v>0</v>
      </c>
      <c r="O1168" s="7">
        <f t="shared" si="207"/>
        <v>-270000</v>
      </c>
      <c r="P1168" s="99">
        <f t="shared" si="200"/>
        <v>-2.5824964131994262E-2</v>
      </c>
      <c r="Q1168" s="99">
        <f t="shared" si="209"/>
        <v>4.5178729982133438E-2</v>
      </c>
      <c r="S1168" s="7">
        <f t="shared" si="201"/>
        <v>11203500</v>
      </c>
      <c r="T1168" s="7">
        <f t="shared" si="202"/>
        <v>3395000</v>
      </c>
      <c r="U1168" s="7">
        <f t="shared" si="203"/>
        <v>9795000</v>
      </c>
      <c r="V1168" s="7">
        <f t="shared" si="204"/>
        <v>0</v>
      </c>
      <c r="W1168" s="7">
        <f t="shared" si="205"/>
        <v>0</v>
      </c>
      <c r="X1168" s="7">
        <f t="shared" si="206"/>
        <v>0</v>
      </c>
    </row>
    <row r="1169" spans="1:24">
      <c r="A1169">
        <v>1168</v>
      </c>
      <c r="B1169" s="96" t="s">
        <v>2435</v>
      </c>
      <c r="C1169" s="95">
        <v>41758</v>
      </c>
      <c r="D1169" s="82">
        <v>10160000</v>
      </c>
      <c r="E1169" s="82">
        <v>10090000</v>
      </c>
      <c r="F1169" s="82">
        <v>10180000</v>
      </c>
      <c r="G1169" s="82">
        <v>10160000</v>
      </c>
      <c r="I1169" s="97">
        <v>0</v>
      </c>
      <c r="J1169" s="97">
        <v>0</v>
      </c>
      <c r="K1169" s="97">
        <v>0</v>
      </c>
      <c r="M1169" s="7">
        <f t="shared" si="199"/>
        <v>0</v>
      </c>
      <c r="N1169" s="7">
        <f t="shared" si="208"/>
        <v>0</v>
      </c>
      <c r="O1169" s="7">
        <f t="shared" si="207"/>
        <v>-25000</v>
      </c>
      <c r="P1169" s="99">
        <f t="shared" si="200"/>
        <v>-2.4545900834560628E-3</v>
      </c>
      <c r="Q1169" s="99">
        <f t="shared" si="209"/>
        <v>2.8353765850139177E-2</v>
      </c>
      <c r="S1169" s="7">
        <f t="shared" si="201"/>
        <v>11176000</v>
      </c>
      <c r="T1169" s="7">
        <f t="shared" si="202"/>
        <v>3386666.6666666665</v>
      </c>
      <c r="U1169" s="7">
        <f t="shared" si="203"/>
        <v>9595000</v>
      </c>
      <c r="V1169" s="7">
        <f t="shared" si="204"/>
        <v>0</v>
      </c>
      <c r="W1169" s="7">
        <f t="shared" si="205"/>
        <v>0</v>
      </c>
      <c r="X1169" s="7">
        <f t="shared" si="206"/>
        <v>0</v>
      </c>
    </row>
    <row r="1170" spans="1:24">
      <c r="A1170">
        <v>1169</v>
      </c>
      <c r="B1170" s="96" t="s">
        <v>2434</v>
      </c>
      <c r="C1170" s="95">
        <v>41759</v>
      </c>
      <c r="D1170" s="82">
        <v>10110000</v>
      </c>
      <c r="E1170" s="82">
        <v>10090000</v>
      </c>
      <c r="F1170" s="82">
        <v>10210000</v>
      </c>
      <c r="G1170" s="82">
        <v>10110000</v>
      </c>
      <c r="I1170" s="97">
        <v>0</v>
      </c>
      <c r="J1170" s="97">
        <v>0</v>
      </c>
      <c r="K1170" s="97">
        <v>0</v>
      </c>
      <c r="M1170" s="7">
        <f t="shared" si="199"/>
        <v>0</v>
      </c>
      <c r="N1170" s="7">
        <f t="shared" si="208"/>
        <v>0</v>
      </c>
      <c r="O1170" s="7">
        <f t="shared" si="207"/>
        <v>-50000</v>
      </c>
      <c r="P1170" s="99">
        <f t="shared" si="200"/>
        <v>-4.921259842519685E-3</v>
      </c>
      <c r="Q1170" s="99">
        <f t="shared" si="209"/>
        <v>2.1862848824200767E-2</v>
      </c>
      <c r="S1170" s="7">
        <f t="shared" si="201"/>
        <v>11121000</v>
      </c>
      <c r="T1170" s="7">
        <f t="shared" si="202"/>
        <v>3370000</v>
      </c>
      <c r="U1170" s="7">
        <f t="shared" si="203"/>
        <v>9630000</v>
      </c>
      <c r="V1170" s="7">
        <f t="shared" si="204"/>
        <v>0</v>
      </c>
      <c r="W1170" s="7">
        <f t="shared" si="205"/>
        <v>0</v>
      </c>
      <c r="X1170" s="7">
        <f t="shared" si="206"/>
        <v>0</v>
      </c>
    </row>
    <row r="1171" spans="1:24">
      <c r="A1171">
        <v>1170</v>
      </c>
      <c r="B1171" s="96" t="s">
        <v>2433</v>
      </c>
      <c r="C1171" s="95">
        <v>41760</v>
      </c>
      <c r="D1171" s="82">
        <v>10120000</v>
      </c>
      <c r="E1171" s="82">
        <v>10085000</v>
      </c>
      <c r="F1171" s="82">
        <v>10130000</v>
      </c>
      <c r="G1171" s="82">
        <v>10120000</v>
      </c>
      <c r="I1171" s="98">
        <v>0</v>
      </c>
      <c r="J1171" s="98">
        <v>0</v>
      </c>
      <c r="K1171" s="98">
        <v>0</v>
      </c>
      <c r="M1171" s="7">
        <f t="shared" si="199"/>
        <v>0</v>
      </c>
      <c r="N1171" s="7">
        <f t="shared" si="208"/>
        <v>0</v>
      </c>
      <c r="O1171" s="7">
        <f t="shared" si="207"/>
        <v>10000</v>
      </c>
      <c r="P1171" s="99">
        <f t="shared" si="200"/>
        <v>9.8911968348170125E-4</v>
      </c>
      <c r="Q1171" s="99">
        <f t="shared" si="209"/>
        <v>1.5936563856052945E-2</v>
      </c>
      <c r="S1171" s="7">
        <f t="shared" si="201"/>
        <v>11132000</v>
      </c>
      <c r="T1171" s="7">
        <f t="shared" si="202"/>
        <v>3373333.3333333335</v>
      </c>
      <c r="U1171" s="7">
        <f t="shared" si="203"/>
        <v>9595000</v>
      </c>
      <c r="V1171" s="7">
        <f t="shared" si="204"/>
        <v>0</v>
      </c>
      <c r="W1171" s="7">
        <f t="shared" si="205"/>
        <v>0</v>
      </c>
      <c r="X1171" s="7">
        <f t="shared" si="206"/>
        <v>0</v>
      </c>
    </row>
    <row r="1172" spans="1:24">
      <c r="A1172">
        <v>1171</v>
      </c>
      <c r="B1172" s="96" t="s">
        <v>2432</v>
      </c>
      <c r="C1172" s="95">
        <v>41761</v>
      </c>
      <c r="D1172" s="82">
        <v>10130000</v>
      </c>
      <c r="E1172" s="82">
        <v>10120000</v>
      </c>
      <c r="F1172" s="82">
        <v>10130000</v>
      </c>
      <c r="G1172" s="82">
        <v>10130000</v>
      </c>
      <c r="I1172" s="82">
        <f>G1172*1.1</f>
        <v>11143000</v>
      </c>
      <c r="J1172" s="82">
        <f>G1172/3</f>
        <v>3376666.6666666665</v>
      </c>
      <c r="K1172" s="7">
        <f>G1440</f>
        <v>9550000</v>
      </c>
      <c r="L1172" s="7">
        <f>K1172-I1172</f>
        <v>-1593000</v>
      </c>
      <c r="M1172" s="7">
        <f t="shared" si="199"/>
        <v>422083.33333333326</v>
      </c>
      <c r="N1172" s="7">
        <f t="shared" si="208"/>
        <v>-1170916.6666666667</v>
      </c>
      <c r="O1172" s="7">
        <f t="shared" si="207"/>
        <v>10000</v>
      </c>
      <c r="P1172" s="99">
        <f t="shared" si="200"/>
        <v>9.8814229249011851E-4</v>
      </c>
      <c r="Q1172" s="99">
        <f t="shared" si="209"/>
        <v>-1.1466056170918594E-3</v>
      </c>
      <c r="R1172">
        <v>1</v>
      </c>
      <c r="S1172" s="7">
        <f t="shared" si="201"/>
        <v>11143000</v>
      </c>
      <c r="T1172" s="7">
        <f t="shared" si="202"/>
        <v>3376666.6666666665</v>
      </c>
      <c r="U1172" s="7">
        <f t="shared" si="203"/>
        <v>9550000</v>
      </c>
      <c r="V1172" s="7">
        <f t="shared" si="204"/>
        <v>-1593000</v>
      </c>
      <c r="W1172" s="7">
        <f t="shared" si="205"/>
        <v>422083.33333333326</v>
      </c>
      <c r="X1172" s="7">
        <f t="shared" si="206"/>
        <v>-1170916.6666666667</v>
      </c>
    </row>
    <row r="1173" spans="1:24">
      <c r="A1173">
        <v>1172</v>
      </c>
      <c r="B1173" s="96" t="s">
        <v>2431</v>
      </c>
      <c r="C1173" s="95">
        <v>41762</v>
      </c>
      <c r="D1173" s="82">
        <v>10220000</v>
      </c>
      <c r="E1173" s="82">
        <v>10200000</v>
      </c>
      <c r="F1173" s="82">
        <v>10300000</v>
      </c>
      <c r="G1173" s="82">
        <v>10220000</v>
      </c>
      <c r="I1173" s="97">
        <v>0</v>
      </c>
      <c r="J1173" s="97">
        <v>0</v>
      </c>
      <c r="K1173" s="97">
        <v>0</v>
      </c>
      <c r="M1173" s="7">
        <f t="shared" si="199"/>
        <v>0</v>
      </c>
      <c r="N1173" s="7">
        <f t="shared" si="208"/>
        <v>0</v>
      </c>
      <c r="O1173" s="7">
        <f t="shared" si="207"/>
        <v>90000</v>
      </c>
      <c r="P1173" s="99">
        <f t="shared" si="200"/>
        <v>8.8845014807502464E-3</v>
      </c>
      <c r="Q1173" s="99">
        <f t="shared" si="209"/>
        <v>-3.1223552081998188E-2</v>
      </c>
      <c r="S1173" s="7">
        <f t="shared" si="201"/>
        <v>11242000</v>
      </c>
      <c r="T1173" s="7">
        <f t="shared" si="202"/>
        <v>3406666.6666666665</v>
      </c>
      <c r="U1173" s="7">
        <f t="shared" si="203"/>
        <v>9415000</v>
      </c>
      <c r="V1173" s="7">
        <f t="shared" si="204"/>
        <v>0</v>
      </c>
      <c r="W1173" s="7">
        <f t="shared" si="205"/>
        <v>0</v>
      </c>
      <c r="X1173" s="7">
        <f t="shared" si="206"/>
        <v>0</v>
      </c>
    </row>
    <row r="1174" spans="1:24">
      <c r="A1174">
        <v>1173</v>
      </c>
      <c r="B1174" s="96" t="s">
        <v>2430</v>
      </c>
      <c r="C1174" s="95">
        <v>41763</v>
      </c>
      <c r="D1174" s="82">
        <v>10130000</v>
      </c>
      <c r="E1174" s="82">
        <v>10130000</v>
      </c>
      <c r="F1174" s="82">
        <v>10240000</v>
      </c>
      <c r="G1174" s="82">
        <v>10130000</v>
      </c>
      <c r="I1174" s="97">
        <v>0</v>
      </c>
      <c r="J1174" s="97">
        <v>0</v>
      </c>
      <c r="K1174" s="97">
        <v>0</v>
      </c>
      <c r="M1174" s="7">
        <f t="shared" si="199"/>
        <v>0</v>
      </c>
      <c r="N1174" s="7">
        <f t="shared" si="208"/>
        <v>0</v>
      </c>
      <c r="O1174" s="7">
        <f t="shared" si="207"/>
        <v>-90000</v>
      </c>
      <c r="P1174" s="99">
        <f t="shared" si="200"/>
        <v>-8.8062622309197647E-3</v>
      </c>
      <c r="Q1174" s="99">
        <f t="shared" si="209"/>
        <v>3.4859135307463186E-3</v>
      </c>
      <c r="S1174" s="7">
        <f t="shared" si="201"/>
        <v>11143000</v>
      </c>
      <c r="T1174" s="7">
        <f t="shared" si="202"/>
        <v>3376666.6666666665</v>
      </c>
      <c r="U1174" s="7">
        <f t="shared" si="203"/>
        <v>9420000</v>
      </c>
      <c r="V1174" s="7">
        <f t="shared" si="204"/>
        <v>0</v>
      </c>
      <c r="W1174" s="7">
        <f t="shared" si="205"/>
        <v>0</v>
      </c>
      <c r="X1174" s="7">
        <f t="shared" si="206"/>
        <v>0</v>
      </c>
    </row>
    <row r="1175" spans="1:24">
      <c r="A1175">
        <v>1174</v>
      </c>
      <c r="B1175" s="96" t="s">
        <v>2429</v>
      </c>
      <c r="C1175" s="95">
        <v>41764</v>
      </c>
      <c r="D1175" s="82">
        <v>10190000</v>
      </c>
      <c r="E1175" s="82">
        <v>10130000</v>
      </c>
      <c r="F1175" s="82">
        <v>10195000</v>
      </c>
      <c r="G1175" s="82">
        <v>10190000</v>
      </c>
      <c r="I1175" s="97">
        <v>0</v>
      </c>
      <c r="J1175" s="97">
        <v>0</v>
      </c>
      <c r="K1175" s="97">
        <v>0</v>
      </c>
      <c r="M1175" s="7">
        <f t="shared" si="199"/>
        <v>0</v>
      </c>
      <c r="N1175" s="7">
        <f t="shared" si="208"/>
        <v>0</v>
      </c>
      <c r="O1175" s="7">
        <f t="shared" si="207"/>
        <v>60000</v>
      </c>
      <c r="P1175" s="99">
        <f t="shared" si="200"/>
        <v>5.9230009871668312E-3</v>
      </c>
      <c r="Q1175" s="99">
        <f t="shared" si="209"/>
        <v>-2.8657586167173833E-3</v>
      </c>
      <c r="S1175" s="7">
        <f t="shared" si="201"/>
        <v>11209000</v>
      </c>
      <c r="T1175" s="7">
        <f t="shared" si="202"/>
        <v>3396666.6666666665</v>
      </c>
      <c r="U1175" s="7">
        <f t="shared" si="203"/>
        <v>9120000</v>
      </c>
      <c r="V1175" s="7">
        <f t="shared" si="204"/>
        <v>0</v>
      </c>
      <c r="W1175" s="7">
        <f t="shared" si="205"/>
        <v>0</v>
      </c>
      <c r="X1175" s="7">
        <f t="shared" si="206"/>
        <v>0</v>
      </c>
    </row>
    <row r="1176" spans="1:24">
      <c r="A1176">
        <v>1175</v>
      </c>
      <c r="B1176" s="96" t="s">
        <v>2428</v>
      </c>
      <c r="C1176" s="95">
        <v>41765</v>
      </c>
      <c r="D1176" s="82">
        <v>10110000</v>
      </c>
      <c r="E1176" s="82">
        <v>10110000</v>
      </c>
      <c r="F1176" s="82">
        <v>10190000</v>
      </c>
      <c r="G1176" s="82">
        <v>10110000</v>
      </c>
      <c r="I1176" s="98">
        <v>0</v>
      </c>
      <c r="J1176" s="98">
        <v>0</v>
      </c>
      <c r="K1176" s="98">
        <v>0</v>
      </c>
      <c r="M1176" s="7">
        <f t="shared" si="199"/>
        <v>0</v>
      </c>
      <c r="N1176" s="7">
        <f t="shared" si="208"/>
        <v>0</v>
      </c>
      <c r="O1176" s="7">
        <f t="shared" si="207"/>
        <v>-80000</v>
      </c>
      <c r="P1176" s="99">
        <f t="shared" si="200"/>
        <v>-7.8508341511285568E-3</v>
      </c>
      <c r="Q1176" s="99">
        <f t="shared" si="209"/>
        <v>7.9785022129691338E-3</v>
      </c>
      <c r="S1176" s="7">
        <f t="shared" si="201"/>
        <v>11121000</v>
      </c>
      <c r="T1176" s="7">
        <f t="shared" si="202"/>
        <v>3370000</v>
      </c>
      <c r="U1176" s="7">
        <f t="shared" si="203"/>
        <v>9120000</v>
      </c>
      <c r="V1176" s="7">
        <f t="shared" si="204"/>
        <v>0</v>
      </c>
      <c r="W1176" s="7">
        <f t="shared" si="205"/>
        <v>0</v>
      </c>
      <c r="X1176" s="7">
        <f t="shared" si="206"/>
        <v>0</v>
      </c>
    </row>
    <row r="1177" spans="1:24">
      <c r="A1177">
        <v>1176</v>
      </c>
      <c r="B1177" s="96" t="s">
        <v>2427</v>
      </c>
      <c r="C1177" s="95">
        <v>41766</v>
      </c>
      <c r="D1177" s="82">
        <v>10040000</v>
      </c>
      <c r="E1177" s="82">
        <v>10037000</v>
      </c>
      <c r="F1177" s="82">
        <v>10130000</v>
      </c>
      <c r="G1177" s="82">
        <v>10040000</v>
      </c>
      <c r="I1177" s="82">
        <f>G1177*1.1</f>
        <v>11044000</v>
      </c>
      <c r="J1177" s="82">
        <f>G1177/3</f>
        <v>3346666.6666666665</v>
      </c>
      <c r="K1177" s="7">
        <f>G1445</f>
        <v>9220000</v>
      </c>
      <c r="L1177" s="7">
        <f>K1177-I1177</f>
        <v>-1824000</v>
      </c>
      <c r="M1177" s="7">
        <f t="shared" si="199"/>
        <v>418333.33333333326</v>
      </c>
      <c r="N1177" s="7">
        <f t="shared" si="208"/>
        <v>-1405666.6666666667</v>
      </c>
      <c r="O1177" s="7">
        <f t="shared" si="207"/>
        <v>-70000</v>
      </c>
      <c r="P1177" s="99">
        <f t="shared" si="200"/>
        <v>-6.923837784371909E-3</v>
      </c>
      <c r="Q1177" s="99">
        <f t="shared" si="209"/>
        <v>-8.6145162164112579E-4</v>
      </c>
      <c r="R1177">
        <v>1</v>
      </c>
      <c r="S1177" s="7">
        <f t="shared" si="201"/>
        <v>11044000</v>
      </c>
      <c r="T1177" s="7">
        <f t="shared" si="202"/>
        <v>3346666.6666666665</v>
      </c>
      <c r="U1177" s="7">
        <f t="shared" si="203"/>
        <v>9220000</v>
      </c>
      <c r="V1177" s="7">
        <f t="shared" si="204"/>
        <v>-1824000</v>
      </c>
      <c r="W1177" s="7">
        <f t="shared" si="205"/>
        <v>418333.33333333326</v>
      </c>
      <c r="X1177" s="7">
        <f t="shared" si="206"/>
        <v>-1405666.6666666667</v>
      </c>
    </row>
    <row r="1178" spans="1:24">
      <c r="A1178">
        <v>1177</v>
      </c>
      <c r="B1178" s="96" t="s">
        <v>2426</v>
      </c>
      <c r="C1178" s="95">
        <v>41767</v>
      </c>
      <c r="D1178" s="82">
        <v>9910000</v>
      </c>
      <c r="E1178" s="82">
        <v>9910000</v>
      </c>
      <c r="F1178" s="82">
        <v>9990000</v>
      </c>
      <c r="G1178" s="82">
        <v>9910000</v>
      </c>
      <c r="I1178" s="97">
        <v>0</v>
      </c>
      <c r="J1178" s="97">
        <v>0</v>
      </c>
      <c r="K1178" s="97">
        <v>0</v>
      </c>
      <c r="M1178" s="7">
        <f t="shared" si="199"/>
        <v>0</v>
      </c>
      <c r="N1178" s="7">
        <f t="shared" si="208"/>
        <v>0</v>
      </c>
      <c r="O1178" s="7">
        <f t="shared" si="207"/>
        <v>-130000</v>
      </c>
      <c r="P1178" s="99">
        <f t="shared" si="200"/>
        <v>-1.2948207171314742E-2</v>
      </c>
      <c r="Q1178" s="99">
        <f t="shared" si="209"/>
        <v>-8.7734316985031528E-3</v>
      </c>
      <c r="S1178" s="7">
        <f t="shared" si="201"/>
        <v>10901000</v>
      </c>
      <c r="T1178" s="7">
        <f t="shared" si="202"/>
        <v>3303333.3333333335</v>
      </c>
      <c r="U1178" s="7">
        <f t="shared" si="203"/>
        <v>9350000</v>
      </c>
      <c r="V1178" s="7">
        <f t="shared" si="204"/>
        <v>0</v>
      </c>
      <c r="W1178" s="7">
        <f t="shared" si="205"/>
        <v>0</v>
      </c>
      <c r="X1178" s="7">
        <f t="shared" si="206"/>
        <v>0</v>
      </c>
    </row>
    <row r="1179" spans="1:24">
      <c r="A1179">
        <v>1178</v>
      </c>
      <c r="B1179" s="96" t="s">
        <v>2425</v>
      </c>
      <c r="C1179" s="95">
        <v>41768</v>
      </c>
      <c r="D1179" s="82">
        <v>9910000</v>
      </c>
      <c r="E1179" s="82">
        <v>9910000</v>
      </c>
      <c r="F1179" s="82">
        <v>9910000</v>
      </c>
      <c r="G1179" s="82">
        <v>9910000</v>
      </c>
      <c r="I1179" s="97">
        <v>0</v>
      </c>
      <c r="J1179" s="97">
        <v>0</v>
      </c>
      <c r="K1179" s="97">
        <v>0</v>
      </c>
      <c r="M1179" s="7">
        <f t="shared" si="199"/>
        <v>0</v>
      </c>
      <c r="N1179" s="7">
        <f t="shared" si="208"/>
        <v>0</v>
      </c>
      <c r="O1179" s="7">
        <f t="shared" si="207"/>
        <v>0</v>
      </c>
      <c r="P1179" s="99">
        <f t="shared" si="200"/>
        <v>0</v>
      </c>
      <c r="Q1179" s="99">
        <f t="shared" si="209"/>
        <v>-3.0606140350568141E-2</v>
      </c>
      <c r="S1179" s="7">
        <f t="shared" si="201"/>
        <v>10901000</v>
      </c>
      <c r="T1179" s="7">
        <f t="shared" si="202"/>
        <v>3303333.3333333335</v>
      </c>
      <c r="U1179" s="7">
        <f t="shared" si="203"/>
        <v>9330000</v>
      </c>
      <c r="V1179" s="7">
        <f t="shared" si="204"/>
        <v>0</v>
      </c>
      <c r="W1179" s="7">
        <f t="shared" si="205"/>
        <v>0</v>
      </c>
      <c r="X1179" s="7">
        <f t="shared" si="206"/>
        <v>0</v>
      </c>
    </row>
    <row r="1180" spans="1:24">
      <c r="A1180">
        <v>1179</v>
      </c>
      <c r="B1180" s="96" t="s">
        <v>2424</v>
      </c>
      <c r="C1180" s="95">
        <v>41769</v>
      </c>
      <c r="D1180" s="82">
        <v>9800000</v>
      </c>
      <c r="E1180" s="82">
        <v>9770000</v>
      </c>
      <c r="F1180" s="82">
        <v>9910000</v>
      </c>
      <c r="G1180" s="82">
        <v>9800000</v>
      </c>
      <c r="I1180" s="97">
        <v>0</v>
      </c>
      <c r="J1180" s="97">
        <v>0</v>
      </c>
      <c r="K1180" s="97">
        <v>0</v>
      </c>
      <c r="M1180" s="7">
        <f t="shared" si="199"/>
        <v>0</v>
      </c>
      <c r="N1180" s="7">
        <f t="shared" si="208"/>
        <v>0</v>
      </c>
      <c r="O1180" s="7">
        <f t="shared" si="207"/>
        <v>-110000</v>
      </c>
      <c r="P1180" s="99">
        <f t="shared" si="200"/>
        <v>-1.1099899091826439E-2</v>
      </c>
      <c r="Q1180" s="99">
        <f t="shared" si="209"/>
        <v>-2.1799878119648376E-2</v>
      </c>
      <c r="S1180" s="7">
        <f t="shared" si="201"/>
        <v>10780000</v>
      </c>
      <c r="T1180" s="7">
        <f t="shared" si="202"/>
        <v>3266666.6666666665</v>
      </c>
      <c r="U1180" s="7">
        <f t="shared" si="203"/>
        <v>9400000</v>
      </c>
      <c r="V1180" s="7">
        <f t="shared" si="204"/>
        <v>0</v>
      </c>
      <c r="W1180" s="7">
        <f t="shared" si="205"/>
        <v>0</v>
      </c>
      <c r="X1180" s="7">
        <f t="shared" si="206"/>
        <v>0</v>
      </c>
    </row>
    <row r="1181" spans="1:24">
      <c r="A1181">
        <v>1180</v>
      </c>
      <c r="B1181" s="96" t="s">
        <v>2423</v>
      </c>
      <c r="C1181" s="95">
        <v>41770</v>
      </c>
      <c r="D1181" s="82">
        <v>9690000</v>
      </c>
      <c r="E1181" s="82">
        <v>9670000</v>
      </c>
      <c r="F1181" s="82">
        <v>9770000</v>
      </c>
      <c r="G1181" s="82">
        <v>9690000</v>
      </c>
      <c r="I1181" s="98">
        <v>0</v>
      </c>
      <c r="J1181" s="98">
        <v>0</v>
      </c>
      <c r="K1181" s="98">
        <v>0</v>
      </c>
      <c r="M1181" s="7">
        <f t="shared" si="199"/>
        <v>0</v>
      </c>
      <c r="N1181" s="7">
        <f t="shared" si="208"/>
        <v>0</v>
      </c>
      <c r="O1181" s="7">
        <f t="shared" si="207"/>
        <v>-110000</v>
      </c>
      <c r="P1181" s="99">
        <f t="shared" si="200"/>
        <v>-1.1224489795918367E-2</v>
      </c>
      <c r="Q1181" s="99">
        <f t="shared" si="209"/>
        <v>-3.8822778198641647E-2</v>
      </c>
      <c r="S1181" s="7">
        <f t="shared" si="201"/>
        <v>10659000</v>
      </c>
      <c r="T1181" s="7">
        <f t="shared" si="202"/>
        <v>3230000</v>
      </c>
      <c r="U1181" s="7">
        <f t="shared" si="203"/>
        <v>9500000</v>
      </c>
      <c r="V1181" s="7">
        <f t="shared" si="204"/>
        <v>0</v>
      </c>
      <c r="W1181" s="7">
        <f t="shared" si="205"/>
        <v>0</v>
      </c>
      <c r="X1181" s="7">
        <f t="shared" si="206"/>
        <v>0</v>
      </c>
    </row>
    <row r="1182" spans="1:24">
      <c r="A1182">
        <v>1181</v>
      </c>
      <c r="B1182" s="96" t="s">
        <v>2422</v>
      </c>
      <c r="C1182" s="95">
        <v>41771</v>
      </c>
      <c r="D1182" s="82">
        <v>9810000</v>
      </c>
      <c r="E1182" s="82">
        <v>9685000</v>
      </c>
      <c r="F1182" s="82">
        <v>9850000</v>
      </c>
      <c r="G1182" s="82">
        <v>9810000</v>
      </c>
      <c r="I1182" s="82">
        <f>G1182*1.1</f>
        <v>10791000</v>
      </c>
      <c r="J1182" s="82">
        <f>G1182/3</f>
        <v>3270000</v>
      </c>
      <c r="K1182" s="7">
        <f>G1450</f>
        <v>9340000</v>
      </c>
      <c r="L1182" s="7">
        <f>K1182-I1182</f>
        <v>-1451000</v>
      </c>
      <c r="M1182" s="7">
        <f t="shared" si="199"/>
        <v>408750</v>
      </c>
      <c r="N1182" s="7">
        <f t="shared" si="208"/>
        <v>-1042250</v>
      </c>
      <c r="O1182" s="7">
        <f t="shared" si="207"/>
        <v>120000</v>
      </c>
      <c r="P1182" s="99">
        <f t="shared" si="200"/>
        <v>1.238390092879257E-2</v>
      </c>
      <c r="Q1182" s="99">
        <f t="shared" si="209"/>
        <v>-4.2196433843431455E-2</v>
      </c>
      <c r="R1182">
        <v>1</v>
      </c>
      <c r="S1182" s="7">
        <f t="shared" si="201"/>
        <v>10791000</v>
      </c>
      <c r="T1182" s="7">
        <f t="shared" si="202"/>
        <v>3270000</v>
      </c>
      <c r="U1182" s="7">
        <f t="shared" si="203"/>
        <v>9340000</v>
      </c>
      <c r="V1182" s="7">
        <f t="shared" si="204"/>
        <v>-1451000</v>
      </c>
      <c r="W1182" s="7">
        <f t="shared" si="205"/>
        <v>408750</v>
      </c>
      <c r="X1182" s="7">
        <f t="shared" si="206"/>
        <v>-1042250</v>
      </c>
    </row>
    <row r="1183" spans="1:24">
      <c r="A1183">
        <v>1182</v>
      </c>
      <c r="B1183" s="96" t="s">
        <v>2421</v>
      </c>
      <c r="C1183" s="95">
        <v>41772</v>
      </c>
      <c r="D1183" s="82">
        <v>9810000</v>
      </c>
      <c r="E1183" s="82">
        <v>9810000</v>
      </c>
      <c r="F1183" s="82">
        <v>9810000</v>
      </c>
      <c r="G1183" s="82">
        <v>9810000</v>
      </c>
      <c r="I1183" s="97">
        <v>0</v>
      </c>
      <c r="J1183" s="97">
        <v>0</v>
      </c>
      <c r="K1183" s="97">
        <v>0</v>
      </c>
      <c r="M1183" s="7">
        <f t="shared" si="199"/>
        <v>0</v>
      </c>
      <c r="N1183" s="7">
        <f t="shared" si="208"/>
        <v>0</v>
      </c>
      <c r="O1183" s="7">
        <f t="shared" si="207"/>
        <v>0</v>
      </c>
      <c r="P1183" s="99">
        <f t="shared" si="200"/>
        <v>0</v>
      </c>
      <c r="Q1183" s="99">
        <f t="shared" si="209"/>
        <v>-2.2888695130266982E-2</v>
      </c>
      <c r="S1183" s="7">
        <f t="shared" si="201"/>
        <v>10791000</v>
      </c>
      <c r="T1183" s="7">
        <f t="shared" si="202"/>
        <v>3270000</v>
      </c>
      <c r="U1183" s="7">
        <f t="shared" si="203"/>
        <v>9380000</v>
      </c>
      <c r="V1183" s="7">
        <f t="shared" si="204"/>
        <v>0</v>
      </c>
      <c r="W1183" s="7">
        <f t="shared" si="205"/>
        <v>0</v>
      </c>
      <c r="X1183" s="7">
        <f t="shared" si="206"/>
        <v>0</v>
      </c>
    </row>
    <row r="1184" spans="1:24">
      <c r="A1184">
        <v>1183</v>
      </c>
      <c r="B1184" s="96" t="s">
        <v>2420</v>
      </c>
      <c r="C1184" s="95">
        <v>41773</v>
      </c>
      <c r="D1184" s="82">
        <v>9900000</v>
      </c>
      <c r="E1184" s="82">
        <v>9780000</v>
      </c>
      <c r="F1184" s="82">
        <v>9930000</v>
      </c>
      <c r="G1184" s="82">
        <v>9900000</v>
      </c>
      <c r="I1184" s="97">
        <v>0</v>
      </c>
      <c r="J1184" s="97">
        <v>0</v>
      </c>
      <c r="K1184" s="97">
        <v>0</v>
      </c>
      <c r="M1184" s="7">
        <f t="shared" si="199"/>
        <v>0</v>
      </c>
      <c r="N1184" s="7">
        <f t="shared" si="208"/>
        <v>0</v>
      </c>
      <c r="O1184" s="7">
        <f t="shared" si="207"/>
        <v>90000</v>
      </c>
      <c r="P1184" s="99">
        <f t="shared" si="200"/>
        <v>9.1743119266055051E-3</v>
      </c>
      <c r="Q1184" s="99">
        <f t="shared" si="209"/>
        <v>-9.9404879589522349E-3</v>
      </c>
      <c r="S1184" s="7">
        <f t="shared" si="201"/>
        <v>10890000</v>
      </c>
      <c r="T1184" s="7">
        <f t="shared" si="202"/>
        <v>3300000</v>
      </c>
      <c r="U1184" s="7">
        <f t="shared" si="203"/>
        <v>9360000</v>
      </c>
      <c r="V1184" s="7">
        <f t="shared" si="204"/>
        <v>0</v>
      </c>
      <c r="W1184" s="7">
        <f t="shared" si="205"/>
        <v>0</v>
      </c>
      <c r="X1184" s="7">
        <f t="shared" si="206"/>
        <v>0</v>
      </c>
    </row>
    <row r="1185" spans="1:24">
      <c r="A1185">
        <v>1184</v>
      </c>
      <c r="B1185" s="96" t="s">
        <v>2419</v>
      </c>
      <c r="C1185" s="95">
        <v>41774</v>
      </c>
      <c r="D1185" s="82">
        <v>9860000</v>
      </c>
      <c r="E1185" s="82">
        <v>9830000</v>
      </c>
      <c r="F1185" s="82">
        <v>9890000</v>
      </c>
      <c r="G1185" s="82">
        <v>9860000</v>
      </c>
      <c r="I1185" s="97">
        <v>0</v>
      </c>
      <c r="J1185" s="97">
        <v>0</v>
      </c>
      <c r="K1185" s="97">
        <v>0</v>
      </c>
      <c r="M1185" s="7">
        <f t="shared" si="199"/>
        <v>0</v>
      </c>
      <c r="N1185" s="7">
        <f t="shared" si="208"/>
        <v>0</v>
      </c>
      <c r="O1185" s="7">
        <f t="shared" si="207"/>
        <v>-40000</v>
      </c>
      <c r="P1185" s="99">
        <f t="shared" si="200"/>
        <v>-4.0404040404040404E-3</v>
      </c>
      <c r="Q1185" s="99">
        <f t="shared" si="209"/>
        <v>-7.6617603234672982E-4</v>
      </c>
      <c r="S1185" s="7">
        <f t="shared" si="201"/>
        <v>10846000</v>
      </c>
      <c r="T1185" s="7">
        <f t="shared" si="202"/>
        <v>3286666.6666666665</v>
      </c>
      <c r="U1185" s="7">
        <f t="shared" si="203"/>
        <v>9410000</v>
      </c>
      <c r="V1185" s="7">
        <f t="shared" si="204"/>
        <v>0</v>
      </c>
      <c r="W1185" s="7">
        <f t="shared" si="205"/>
        <v>0</v>
      </c>
      <c r="X1185" s="7">
        <f t="shared" si="206"/>
        <v>0</v>
      </c>
    </row>
    <row r="1186" spans="1:24">
      <c r="A1186">
        <v>1185</v>
      </c>
      <c r="B1186" s="96" t="s">
        <v>2418</v>
      </c>
      <c r="C1186" s="95">
        <v>41775</v>
      </c>
      <c r="D1186" s="82">
        <v>9860000</v>
      </c>
      <c r="E1186" s="82">
        <v>9860000</v>
      </c>
      <c r="F1186" s="82">
        <v>9860000</v>
      </c>
      <c r="G1186" s="82">
        <v>9860000</v>
      </c>
      <c r="I1186" s="98">
        <v>0</v>
      </c>
      <c r="J1186" s="98">
        <v>0</v>
      </c>
      <c r="K1186" s="98">
        <v>0</v>
      </c>
      <c r="M1186" s="7">
        <f t="shared" si="199"/>
        <v>0</v>
      </c>
      <c r="N1186" s="7">
        <f t="shared" si="208"/>
        <v>0</v>
      </c>
      <c r="O1186" s="7">
        <f t="shared" si="207"/>
        <v>0</v>
      </c>
      <c r="P1186" s="99">
        <f t="shared" si="200"/>
        <v>0</v>
      </c>
      <c r="Q1186" s="99">
        <f t="shared" si="209"/>
        <v>6.2933190190756685E-3</v>
      </c>
      <c r="S1186" s="7">
        <f t="shared" si="201"/>
        <v>10846000</v>
      </c>
      <c r="T1186" s="7">
        <f t="shared" si="202"/>
        <v>3286666.6666666665</v>
      </c>
      <c r="U1186" s="7">
        <f t="shared" si="203"/>
        <v>9585000</v>
      </c>
      <c r="V1186" s="7">
        <f t="shared" si="204"/>
        <v>0</v>
      </c>
      <c r="W1186" s="7">
        <f t="shared" si="205"/>
        <v>0</v>
      </c>
      <c r="X1186" s="7">
        <f t="shared" si="206"/>
        <v>0</v>
      </c>
    </row>
    <row r="1187" spans="1:24">
      <c r="A1187">
        <v>1186</v>
      </c>
      <c r="B1187" s="96" t="s">
        <v>2417</v>
      </c>
      <c r="C1187" s="95">
        <v>41776</v>
      </c>
      <c r="D1187" s="82">
        <v>9920000</v>
      </c>
      <c r="E1187" s="82">
        <v>9920000</v>
      </c>
      <c r="F1187" s="82">
        <v>9990000</v>
      </c>
      <c r="G1187" s="82">
        <v>9920000</v>
      </c>
      <c r="I1187" s="82">
        <f>G1187*1.1</f>
        <v>10912000</v>
      </c>
      <c r="J1187" s="82">
        <f>G1187/3</f>
        <v>3306666.6666666665</v>
      </c>
      <c r="K1187" s="7">
        <f>G1455</f>
        <v>9600000</v>
      </c>
      <c r="L1187" s="7">
        <f>K1187-I1187</f>
        <v>-1312000</v>
      </c>
      <c r="M1187" s="7">
        <f t="shared" si="199"/>
        <v>413333.33333333326</v>
      </c>
      <c r="N1187" s="7">
        <f t="shared" si="208"/>
        <v>-898666.66666666674</v>
      </c>
      <c r="O1187" s="7">
        <f t="shared" si="207"/>
        <v>60000</v>
      </c>
      <c r="P1187" s="99">
        <f t="shared" si="200"/>
        <v>6.0851926977687626E-3</v>
      </c>
      <c r="Q1187" s="99">
        <f t="shared" si="209"/>
        <v>1.7517808814994033E-2</v>
      </c>
      <c r="R1187">
        <v>1</v>
      </c>
      <c r="S1187" s="7">
        <f t="shared" si="201"/>
        <v>10912000</v>
      </c>
      <c r="T1187" s="7">
        <f t="shared" si="202"/>
        <v>3306666.6666666665</v>
      </c>
      <c r="U1187" s="7">
        <f t="shared" si="203"/>
        <v>9600000</v>
      </c>
      <c r="V1187" s="7">
        <f t="shared" si="204"/>
        <v>-1312000</v>
      </c>
      <c r="W1187" s="7">
        <f t="shared" si="205"/>
        <v>413333.33333333326</v>
      </c>
      <c r="X1187" s="7">
        <f t="shared" si="206"/>
        <v>-898666.66666666674</v>
      </c>
    </row>
    <row r="1188" spans="1:24">
      <c r="A1188">
        <v>1187</v>
      </c>
      <c r="B1188" s="96" t="s">
        <v>2416</v>
      </c>
      <c r="C1188" s="95">
        <v>41777</v>
      </c>
      <c r="D1188" s="82">
        <v>9845000</v>
      </c>
      <c r="E1188" s="82">
        <v>9835000</v>
      </c>
      <c r="F1188" s="82">
        <v>9930000</v>
      </c>
      <c r="G1188" s="82">
        <v>9845000</v>
      </c>
      <c r="I1188" s="97">
        <v>0</v>
      </c>
      <c r="J1188" s="97">
        <v>0</v>
      </c>
      <c r="K1188" s="97">
        <v>0</v>
      </c>
      <c r="M1188" s="7">
        <f t="shared" si="199"/>
        <v>0</v>
      </c>
      <c r="N1188" s="7">
        <f t="shared" si="208"/>
        <v>0</v>
      </c>
      <c r="O1188" s="7">
        <f t="shared" si="207"/>
        <v>-75000</v>
      </c>
      <c r="P1188" s="99">
        <f t="shared" si="200"/>
        <v>-7.5604838709677422E-3</v>
      </c>
      <c r="Q1188" s="99">
        <f t="shared" si="209"/>
        <v>1.1219100583970227E-2</v>
      </c>
      <c r="S1188" s="7">
        <f t="shared" si="201"/>
        <v>10829500</v>
      </c>
      <c r="T1188" s="7">
        <f t="shared" si="202"/>
        <v>3281666.6666666665</v>
      </c>
      <c r="U1188" s="7">
        <f t="shared" si="203"/>
        <v>9620000</v>
      </c>
      <c r="V1188" s="7">
        <f t="shared" si="204"/>
        <v>0</v>
      </c>
      <c r="W1188" s="7">
        <f t="shared" si="205"/>
        <v>0</v>
      </c>
      <c r="X1188" s="7">
        <f t="shared" si="206"/>
        <v>0</v>
      </c>
    </row>
    <row r="1189" spans="1:24">
      <c r="A1189">
        <v>1188</v>
      </c>
      <c r="B1189" s="96" t="s">
        <v>2415</v>
      </c>
      <c r="C1189" s="95">
        <v>41781</v>
      </c>
      <c r="D1189" s="82">
        <v>9900000</v>
      </c>
      <c r="E1189" s="82">
        <v>9860000</v>
      </c>
      <c r="F1189" s="82">
        <v>9900000</v>
      </c>
      <c r="G1189" s="82">
        <v>9900000</v>
      </c>
      <c r="I1189" s="97">
        <v>0</v>
      </c>
      <c r="J1189" s="97">
        <v>0</v>
      </c>
      <c r="K1189" s="97">
        <v>0</v>
      </c>
      <c r="M1189" s="7">
        <f t="shared" si="199"/>
        <v>0</v>
      </c>
      <c r="N1189" s="7">
        <f t="shared" si="208"/>
        <v>0</v>
      </c>
      <c r="O1189" s="7">
        <f t="shared" si="207"/>
        <v>55000</v>
      </c>
      <c r="P1189" s="99">
        <f t="shared" si="200"/>
        <v>5.5865921787709499E-3</v>
      </c>
      <c r="Q1189" s="99">
        <f t="shared" si="209"/>
        <v>3.6586167130024851E-3</v>
      </c>
      <c r="S1189" s="7">
        <f t="shared" si="201"/>
        <v>10890000</v>
      </c>
      <c r="T1189" s="7">
        <f t="shared" si="202"/>
        <v>3300000</v>
      </c>
      <c r="U1189" s="7">
        <f t="shared" si="203"/>
        <v>9550000</v>
      </c>
      <c r="V1189" s="7">
        <f t="shared" si="204"/>
        <v>0</v>
      </c>
      <c r="W1189" s="7">
        <f t="shared" si="205"/>
        <v>0</v>
      </c>
      <c r="X1189" s="7">
        <f t="shared" si="206"/>
        <v>0</v>
      </c>
    </row>
    <row r="1190" spans="1:24">
      <c r="A1190">
        <v>1189</v>
      </c>
      <c r="B1190" s="96" t="s">
        <v>2414</v>
      </c>
      <c r="C1190" s="95">
        <v>41778</v>
      </c>
      <c r="D1190" s="82">
        <v>9930000</v>
      </c>
      <c r="E1190" s="82">
        <v>9910000</v>
      </c>
      <c r="F1190" s="82">
        <v>9940000</v>
      </c>
      <c r="G1190" s="82">
        <v>9930000</v>
      </c>
      <c r="I1190" s="97">
        <v>0</v>
      </c>
      <c r="J1190" s="97">
        <v>0</v>
      </c>
      <c r="K1190" s="97">
        <v>0</v>
      </c>
      <c r="M1190" s="7">
        <f t="shared" si="199"/>
        <v>0</v>
      </c>
      <c r="N1190" s="7">
        <f t="shared" si="208"/>
        <v>0</v>
      </c>
      <c r="O1190" s="7">
        <f t="shared" si="207"/>
        <v>30000</v>
      </c>
      <c r="P1190" s="99">
        <f t="shared" si="200"/>
        <v>3.0303030303030303E-3</v>
      </c>
      <c r="Q1190" s="99">
        <f t="shared" si="209"/>
        <v>7.0896965167929933E-5</v>
      </c>
      <c r="S1190" s="7">
        <f t="shared" si="201"/>
        <v>10923000</v>
      </c>
      <c r="T1190" s="7">
        <f t="shared" si="202"/>
        <v>3310000</v>
      </c>
      <c r="U1190" s="7">
        <f t="shared" si="203"/>
        <v>9510000</v>
      </c>
      <c r="V1190" s="7">
        <f t="shared" si="204"/>
        <v>0</v>
      </c>
      <c r="W1190" s="7">
        <f t="shared" si="205"/>
        <v>0</v>
      </c>
      <c r="X1190" s="7">
        <f t="shared" si="206"/>
        <v>0</v>
      </c>
    </row>
    <row r="1191" spans="1:24">
      <c r="A1191">
        <v>1190</v>
      </c>
      <c r="B1191" s="96" t="s">
        <v>2413</v>
      </c>
      <c r="C1191" s="95">
        <v>41779</v>
      </c>
      <c r="D1191" s="82">
        <v>9885000</v>
      </c>
      <c r="E1191" s="82">
        <v>9850000</v>
      </c>
      <c r="F1191" s="82">
        <v>9920000</v>
      </c>
      <c r="G1191" s="82">
        <v>9885000</v>
      </c>
      <c r="I1191" s="98">
        <v>0</v>
      </c>
      <c r="J1191" s="98">
        <v>0</v>
      </c>
      <c r="K1191" s="98">
        <v>0</v>
      </c>
      <c r="M1191" s="7">
        <f t="shared" si="199"/>
        <v>0</v>
      </c>
      <c r="N1191" s="7">
        <f t="shared" si="208"/>
        <v>0</v>
      </c>
      <c r="O1191" s="7">
        <f t="shared" si="207"/>
        <v>-45000</v>
      </c>
      <c r="P1191" s="99">
        <f t="shared" si="200"/>
        <v>-4.5317220543806651E-3</v>
      </c>
      <c r="Q1191" s="99">
        <f t="shared" si="209"/>
        <v>7.1416040358750002E-3</v>
      </c>
      <c r="S1191" s="7">
        <f t="shared" si="201"/>
        <v>10873500</v>
      </c>
      <c r="T1191" s="7">
        <f t="shared" si="202"/>
        <v>3295000</v>
      </c>
      <c r="U1191" s="7">
        <f t="shared" si="203"/>
        <v>9720000</v>
      </c>
      <c r="V1191" s="7">
        <f t="shared" si="204"/>
        <v>0</v>
      </c>
      <c r="W1191" s="7">
        <f t="shared" si="205"/>
        <v>0</v>
      </c>
      <c r="X1191" s="7">
        <f t="shared" si="206"/>
        <v>0</v>
      </c>
    </row>
    <row r="1192" spans="1:24">
      <c r="A1192">
        <v>1191</v>
      </c>
      <c r="B1192" s="96" t="s">
        <v>2412</v>
      </c>
      <c r="C1192" s="95">
        <v>41783</v>
      </c>
      <c r="D1192" s="82">
        <v>9875000</v>
      </c>
      <c r="E1192" s="82">
        <v>9855000</v>
      </c>
      <c r="F1192" s="82">
        <v>9880000</v>
      </c>
      <c r="G1192" s="82">
        <v>9875000</v>
      </c>
      <c r="I1192" s="82">
        <f>G1192*1.1</f>
        <v>10862500</v>
      </c>
      <c r="J1192" s="82">
        <f>G1192/3</f>
        <v>3291666.6666666665</v>
      </c>
      <c r="K1192" s="7">
        <f>G1460</f>
        <v>9770000</v>
      </c>
      <c r="L1192" s="7">
        <f>K1192-I1192</f>
        <v>-1092500</v>
      </c>
      <c r="M1192" s="7">
        <f t="shared" si="199"/>
        <v>411458.33333333326</v>
      </c>
      <c r="N1192" s="7">
        <f t="shared" si="208"/>
        <v>-681041.66666666674</v>
      </c>
      <c r="O1192" s="7">
        <f t="shared" si="207"/>
        <v>-10000</v>
      </c>
      <c r="P1192" s="99">
        <f t="shared" si="200"/>
        <v>-1.0116337885685382E-3</v>
      </c>
      <c r="Q1192" s="99">
        <f t="shared" si="209"/>
        <v>2.6098819814943351E-3</v>
      </c>
      <c r="R1192">
        <v>1</v>
      </c>
      <c r="S1192" s="7">
        <f t="shared" si="201"/>
        <v>10862500</v>
      </c>
      <c r="T1192" s="7">
        <f t="shared" si="202"/>
        <v>3291666.6666666665</v>
      </c>
      <c r="U1192" s="7">
        <f t="shared" si="203"/>
        <v>9770000</v>
      </c>
      <c r="V1192" s="7">
        <f t="shared" si="204"/>
        <v>-1092500</v>
      </c>
      <c r="W1192" s="7">
        <f t="shared" si="205"/>
        <v>411458.33333333326</v>
      </c>
      <c r="X1192" s="7">
        <f t="shared" si="206"/>
        <v>-681041.66666666674</v>
      </c>
    </row>
    <row r="1193" spans="1:24">
      <c r="A1193">
        <v>1192</v>
      </c>
      <c r="B1193" s="96" t="s">
        <v>2411</v>
      </c>
      <c r="C1193" s="95">
        <v>41780</v>
      </c>
      <c r="D1193" s="82">
        <v>9880000</v>
      </c>
      <c r="E1193" s="82">
        <v>9880000</v>
      </c>
      <c r="F1193" s="82">
        <v>9935000</v>
      </c>
      <c r="G1193" s="82">
        <v>9880000</v>
      </c>
      <c r="I1193" s="97">
        <v>0</v>
      </c>
      <c r="J1193" s="97">
        <v>0</v>
      </c>
      <c r="K1193" s="97">
        <v>0</v>
      </c>
      <c r="M1193" s="7">
        <f t="shared" si="199"/>
        <v>0</v>
      </c>
      <c r="N1193" s="7">
        <f t="shared" si="208"/>
        <v>0</v>
      </c>
      <c r="O1193" s="7">
        <f t="shared" si="207"/>
        <v>5000</v>
      </c>
      <c r="P1193" s="99">
        <f t="shared" si="200"/>
        <v>5.0632911392405066E-4</v>
      </c>
      <c r="Q1193" s="99">
        <f t="shared" si="209"/>
        <v>-4.4869445048429657E-3</v>
      </c>
      <c r="S1193" s="7">
        <f t="shared" si="201"/>
        <v>10868000</v>
      </c>
      <c r="T1193" s="7">
        <f t="shared" si="202"/>
        <v>3293333.3333333335</v>
      </c>
      <c r="U1193" s="7">
        <f t="shared" si="203"/>
        <v>9715000</v>
      </c>
      <c r="V1193" s="7">
        <f t="shared" si="204"/>
        <v>0</v>
      </c>
      <c r="W1193" s="7">
        <f t="shared" si="205"/>
        <v>0</v>
      </c>
      <c r="X1193" s="7">
        <f t="shared" si="206"/>
        <v>0</v>
      </c>
    </row>
    <row r="1194" spans="1:24">
      <c r="A1194">
        <v>1193</v>
      </c>
      <c r="B1194" s="96" t="s">
        <v>2410</v>
      </c>
      <c r="C1194" s="95">
        <v>41784</v>
      </c>
      <c r="D1194" s="82">
        <v>9875000</v>
      </c>
      <c r="E1194" s="82">
        <v>9870000</v>
      </c>
      <c r="F1194" s="82">
        <v>9880000</v>
      </c>
      <c r="G1194" s="82">
        <v>9875000</v>
      </c>
      <c r="I1194" s="97">
        <v>0</v>
      </c>
      <c r="J1194" s="97">
        <v>0</v>
      </c>
      <c r="K1194" s="97">
        <v>0</v>
      </c>
      <c r="M1194" s="7">
        <f t="shared" si="199"/>
        <v>0</v>
      </c>
      <c r="N1194" s="7">
        <f t="shared" si="208"/>
        <v>0</v>
      </c>
      <c r="O1194" s="7">
        <f t="shared" si="207"/>
        <v>-5000</v>
      </c>
      <c r="P1194" s="99">
        <f t="shared" si="200"/>
        <v>-5.0607287449392713E-4</v>
      </c>
      <c r="Q1194" s="99">
        <f t="shared" si="209"/>
        <v>3.579868480048827E-3</v>
      </c>
      <c r="S1194" s="7">
        <f t="shared" si="201"/>
        <v>10862500</v>
      </c>
      <c r="T1194" s="7">
        <f t="shared" si="202"/>
        <v>3291666.6666666665</v>
      </c>
      <c r="U1194" s="7">
        <f t="shared" si="203"/>
        <v>9630000</v>
      </c>
      <c r="V1194" s="7">
        <f t="shared" si="204"/>
        <v>0</v>
      </c>
      <c r="W1194" s="7">
        <f t="shared" si="205"/>
        <v>0</v>
      </c>
      <c r="X1194" s="7">
        <f t="shared" si="206"/>
        <v>0</v>
      </c>
    </row>
    <row r="1195" spans="1:24">
      <c r="A1195">
        <v>1194</v>
      </c>
      <c r="B1195" s="96" t="s">
        <v>2409</v>
      </c>
      <c r="C1195" s="95">
        <v>41785</v>
      </c>
      <c r="D1195" s="82">
        <v>9870000</v>
      </c>
      <c r="E1195" s="82">
        <v>9870000</v>
      </c>
      <c r="F1195" s="82">
        <v>9905000</v>
      </c>
      <c r="G1195" s="82">
        <v>9870000</v>
      </c>
      <c r="I1195" s="97">
        <v>0</v>
      </c>
      <c r="J1195" s="97">
        <v>0</v>
      </c>
      <c r="K1195" s="97">
        <v>0</v>
      </c>
      <c r="M1195" s="7">
        <f t="shared" si="199"/>
        <v>0</v>
      </c>
      <c r="N1195" s="7">
        <f t="shared" si="208"/>
        <v>0</v>
      </c>
      <c r="O1195" s="7">
        <f t="shared" si="207"/>
        <v>-5000</v>
      </c>
      <c r="P1195" s="99">
        <f t="shared" si="200"/>
        <v>-5.0632911392405066E-4</v>
      </c>
      <c r="Q1195" s="99">
        <f t="shared" si="209"/>
        <v>-2.5127965732160496E-3</v>
      </c>
      <c r="S1195" s="7">
        <f t="shared" si="201"/>
        <v>10857000</v>
      </c>
      <c r="T1195" s="7">
        <f t="shared" si="202"/>
        <v>3290000</v>
      </c>
      <c r="U1195" s="7">
        <f t="shared" si="203"/>
        <v>9665000</v>
      </c>
      <c r="V1195" s="7">
        <f t="shared" si="204"/>
        <v>0</v>
      </c>
      <c r="W1195" s="7">
        <f t="shared" si="205"/>
        <v>0</v>
      </c>
      <c r="X1195" s="7">
        <f t="shared" si="206"/>
        <v>0</v>
      </c>
    </row>
    <row r="1196" spans="1:24">
      <c r="A1196">
        <v>1195</v>
      </c>
      <c r="B1196" s="96" t="s">
        <v>2408</v>
      </c>
      <c r="C1196" s="95">
        <v>41786</v>
      </c>
      <c r="D1196" s="82">
        <v>9760000</v>
      </c>
      <c r="E1196" s="82">
        <v>9760000</v>
      </c>
      <c r="F1196" s="82">
        <v>9850000</v>
      </c>
      <c r="G1196" s="82">
        <v>9760000</v>
      </c>
      <c r="I1196" s="98">
        <v>0</v>
      </c>
      <c r="J1196" s="98">
        <v>0</v>
      </c>
      <c r="K1196" s="98">
        <v>0</v>
      </c>
      <c r="M1196" s="7">
        <f t="shared" si="199"/>
        <v>0</v>
      </c>
      <c r="N1196" s="7">
        <f t="shared" si="208"/>
        <v>0</v>
      </c>
      <c r="O1196" s="7">
        <f t="shared" si="207"/>
        <v>-110000</v>
      </c>
      <c r="P1196" s="99">
        <f t="shared" si="200"/>
        <v>-1.1144883485309016E-2</v>
      </c>
      <c r="Q1196" s="99">
        <f t="shared" si="209"/>
        <v>-6.04942871744313E-3</v>
      </c>
      <c r="S1196" s="7">
        <f t="shared" si="201"/>
        <v>10736000</v>
      </c>
      <c r="T1196" s="7">
        <f t="shared" si="202"/>
        <v>3253333.3333333335</v>
      </c>
      <c r="U1196" s="7">
        <f t="shared" si="203"/>
        <v>9690000</v>
      </c>
      <c r="V1196" s="7">
        <f t="shared" si="204"/>
        <v>0</v>
      </c>
      <c r="W1196" s="7">
        <f t="shared" si="205"/>
        <v>0</v>
      </c>
      <c r="X1196" s="7">
        <f t="shared" si="206"/>
        <v>0</v>
      </c>
    </row>
    <row r="1197" spans="1:24">
      <c r="A1197">
        <v>1196</v>
      </c>
      <c r="B1197" s="96" t="s">
        <v>2407</v>
      </c>
      <c r="C1197" s="95">
        <v>41787</v>
      </c>
      <c r="D1197" s="82">
        <v>9680000</v>
      </c>
      <c r="E1197" s="82">
        <v>9680000</v>
      </c>
      <c r="F1197" s="82">
        <v>9770000</v>
      </c>
      <c r="G1197" s="82">
        <v>9680000</v>
      </c>
      <c r="I1197" s="82">
        <f>G1197*1.1</f>
        <v>10648000</v>
      </c>
      <c r="J1197" s="82">
        <f>G1197/3</f>
        <v>3226666.6666666665</v>
      </c>
      <c r="K1197" s="7">
        <f>G1465</f>
        <v>9640000</v>
      </c>
      <c r="L1197" s="7">
        <f>K1197-I1197</f>
        <v>-1008000</v>
      </c>
      <c r="M1197" s="7">
        <f t="shared" si="199"/>
        <v>403333.33333333326</v>
      </c>
      <c r="N1197" s="7">
        <f t="shared" si="208"/>
        <v>-604666.66666666674</v>
      </c>
      <c r="O1197" s="7">
        <f t="shared" si="207"/>
        <v>-80000</v>
      </c>
      <c r="P1197" s="99">
        <f t="shared" si="200"/>
        <v>-8.1967213114754103E-3</v>
      </c>
      <c r="Q1197" s="99">
        <f t="shared" si="209"/>
        <v>-1.2662590148371481E-2</v>
      </c>
      <c r="R1197">
        <v>1</v>
      </c>
      <c r="S1197" s="7">
        <f t="shared" si="201"/>
        <v>10648000</v>
      </c>
      <c r="T1197" s="7">
        <f t="shared" si="202"/>
        <v>3226666.6666666665</v>
      </c>
      <c r="U1197" s="7">
        <f t="shared" si="203"/>
        <v>9640000</v>
      </c>
      <c r="V1197" s="7">
        <f t="shared" si="204"/>
        <v>-1008000</v>
      </c>
      <c r="W1197" s="7">
        <f t="shared" si="205"/>
        <v>403333.33333333326</v>
      </c>
      <c r="X1197" s="7">
        <f t="shared" si="206"/>
        <v>-604666.66666666674</v>
      </c>
    </row>
    <row r="1198" spans="1:24">
      <c r="A1198">
        <v>1197</v>
      </c>
      <c r="B1198" s="96" t="s">
        <v>2406</v>
      </c>
      <c r="C1198" s="95">
        <v>41788</v>
      </c>
      <c r="D1198" s="82">
        <v>9620000</v>
      </c>
      <c r="E1198" s="82">
        <v>9560000</v>
      </c>
      <c r="F1198" s="82">
        <v>9640000</v>
      </c>
      <c r="G1198" s="82">
        <v>9620000</v>
      </c>
      <c r="I1198" s="97">
        <v>0</v>
      </c>
      <c r="J1198" s="97">
        <v>0</v>
      </c>
      <c r="K1198" s="97">
        <v>0</v>
      </c>
      <c r="M1198" s="7">
        <f t="shared" si="199"/>
        <v>0</v>
      </c>
      <c r="N1198" s="7">
        <f t="shared" si="208"/>
        <v>0</v>
      </c>
      <c r="O1198" s="7">
        <f t="shared" si="207"/>
        <v>-60000</v>
      </c>
      <c r="P1198" s="99">
        <f t="shared" si="200"/>
        <v>-6.1983471074380167E-3</v>
      </c>
      <c r="Q1198" s="99">
        <f t="shared" si="209"/>
        <v>-1.9847677671278353E-2</v>
      </c>
      <c r="S1198" s="7">
        <f t="shared" si="201"/>
        <v>10582000</v>
      </c>
      <c r="T1198" s="7">
        <f t="shared" si="202"/>
        <v>3206666.6666666665</v>
      </c>
      <c r="U1198" s="7">
        <f t="shared" si="203"/>
        <v>9705000</v>
      </c>
      <c r="V1198" s="7">
        <f t="shared" si="204"/>
        <v>0</v>
      </c>
      <c r="W1198" s="7">
        <f t="shared" si="205"/>
        <v>0</v>
      </c>
      <c r="X1198" s="7">
        <f t="shared" si="206"/>
        <v>0</v>
      </c>
    </row>
    <row r="1199" spans="1:24">
      <c r="A1199">
        <v>1198</v>
      </c>
      <c r="B1199" s="96" t="s">
        <v>2405</v>
      </c>
      <c r="C1199" s="95">
        <v>41790</v>
      </c>
      <c r="D1199" s="82">
        <v>9580000</v>
      </c>
      <c r="E1199" s="82">
        <v>9570000</v>
      </c>
      <c r="F1199" s="82">
        <v>9600000</v>
      </c>
      <c r="G1199" s="82">
        <v>9580000</v>
      </c>
      <c r="I1199" s="97">
        <v>0</v>
      </c>
      <c r="J1199" s="97">
        <v>0</v>
      </c>
      <c r="K1199" s="97">
        <v>0</v>
      </c>
      <c r="M1199" s="7">
        <f t="shared" si="199"/>
        <v>0</v>
      </c>
      <c r="N1199" s="7">
        <f t="shared" si="208"/>
        <v>0</v>
      </c>
      <c r="O1199" s="7">
        <f t="shared" si="207"/>
        <v>-40000</v>
      </c>
      <c r="P1199" s="99">
        <f t="shared" si="200"/>
        <v>-4.1580041580041582E-3</v>
      </c>
      <c r="Q1199" s="99">
        <f t="shared" si="209"/>
        <v>-2.6552353892640421E-2</v>
      </c>
      <c r="S1199" s="7">
        <f t="shared" si="201"/>
        <v>10538000</v>
      </c>
      <c r="T1199" s="7">
        <f t="shared" si="202"/>
        <v>3193333.3333333335</v>
      </c>
      <c r="U1199" s="7">
        <f t="shared" si="203"/>
        <v>9630000</v>
      </c>
      <c r="V1199" s="7">
        <f t="shared" si="204"/>
        <v>0</v>
      </c>
      <c r="W1199" s="7">
        <f t="shared" si="205"/>
        <v>0</v>
      </c>
      <c r="X1199" s="7">
        <f t="shared" si="206"/>
        <v>0</v>
      </c>
    </row>
    <row r="1200" spans="1:24">
      <c r="A1200">
        <v>1199</v>
      </c>
      <c r="B1200" s="96" t="s">
        <v>2404</v>
      </c>
      <c r="C1200" s="95">
        <v>41791</v>
      </c>
      <c r="D1200" s="82">
        <v>9580000</v>
      </c>
      <c r="E1200" s="82">
        <v>9575000</v>
      </c>
      <c r="F1200" s="82">
        <v>9620000</v>
      </c>
      <c r="G1200" s="82">
        <v>9580000</v>
      </c>
      <c r="I1200" s="97">
        <v>0</v>
      </c>
      <c r="J1200" s="97">
        <v>0</v>
      </c>
      <c r="K1200" s="97">
        <v>0</v>
      </c>
      <c r="M1200" s="7">
        <f t="shared" si="199"/>
        <v>0</v>
      </c>
      <c r="N1200" s="7">
        <f t="shared" si="208"/>
        <v>0</v>
      </c>
      <c r="O1200" s="7">
        <f t="shared" si="207"/>
        <v>0</v>
      </c>
      <c r="P1200" s="99">
        <f t="shared" si="200"/>
        <v>0</v>
      </c>
      <c r="Q1200" s="99">
        <f t="shared" si="209"/>
        <v>-3.0204285176150654E-2</v>
      </c>
      <c r="S1200" s="7">
        <f t="shared" si="201"/>
        <v>10538000</v>
      </c>
      <c r="T1200" s="7">
        <f t="shared" si="202"/>
        <v>3193333.3333333335</v>
      </c>
      <c r="U1200" s="7">
        <f t="shared" si="203"/>
        <v>9630000</v>
      </c>
      <c r="V1200" s="7">
        <f t="shared" si="204"/>
        <v>0</v>
      </c>
      <c r="W1200" s="7">
        <f t="shared" si="205"/>
        <v>0</v>
      </c>
      <c r="X1200" s="7">
        <f t="shared" si="206"/>
        <v>0</v>
      </c>
    </row>
    <row r="1201" spans="1:24">
      <c r="A1201">
        <v>1200</v>
      </c>
      <c r="B1201" s="96" t="s">
        <v>2403</v>
      </c>
      <c r="C1201" s="95">
        <v>41792</v>
      </c>
      <c r="D1201" s="82">
        <v>9570000</v>
      </c>
      <c r="E1201" s="82">
        <v>9520000</v>
      </c>
      <c r="F1201" s="82">
        <v>9570000</v>
      </c>
      <c r="G1201" s="82">
        <v>9570000</v>
      </c>
      <c r="I1201" s="98">
        <v>0</v>
      </c>
      <c r="J1201" s="98">
        <v>0</v>
      </c>
      <c r="K1201" s="98">
        <v>0</v>
      </c>
      <c r="M1201" s="7">
        <f t="shared" si="199"/>
        <v>0</v>
      </c>
      <c r="N1201" s="7">
        <f t="shared" si="208"/>
        <v>0</v>
      </c>
      <c r="O1201" s="7">
        <f t="shared" si="207"/>
        <v>-10000</v>
      </c>
      <c r="P1201" s="99">
        <f t="shared" si="200"/>
        <v>-1.0438413361169101E-3</v>
      </c>
      <c r="Q1201" s="99">
        <f t="shared" si="209"/>
        <v>-2.9697956062226603E-2</v>
      </c>
      <c r="S1201" s="7">
        <f t="shared" si="201"/>
        <v>10527000</v>
      </c>
      <c r="T1201" s="7">
        <f t="shared" si="202"/>
        <v>3190000</v>
      </c>
      <c r="U1201" s="7">
        <f t="shared" si="203"/>
        <v>9630000</v>
      </c>
      <c r="V1201" s="7">
        <f t="shared" si="204"/>
        <v>0</v>
      </c>
      <c r="W1201" s="7">
        <f t="shared" si="205"/>
        <v>0</v>
      </c>
      <c r="X1201" s="7">
        <f t="shared" si="206"/>
        <v>0</v>
      </c>
    </row>
    <row r="1202" spans="1:24">
      <c r="A1202">
        <v>1201</v>
      </c>
      <c r="B1202" s="96" t="s">
        <v>2402</v>
      </c>
      <c r="C1202" s="95">
        <v>41793</v>
      </c>
      <c r="D1202" s="82">
        <v>9570000</v>
      </c>
      <c r="E1202" s="82">
        <v>9565000</v>
      </c>
      <c r="F1202" s="82">
        <v>9610000</v>
      </c>
      <c r="G1202" s="82">
        <v>9570000</v>
      </c>
      <c r="I1202" s="82">
        <f>G1202*1.1</f>
        <v>10527000</v>
      </c>
      <c r="J1202" s="82">
        <f>G1202/3</f>
        <v>3190000</v>
      </c>
      <c r="K1202" s="7">
        <f>G1470</f>
        <v>9560000</v>
      </c>
      <c r="L1202" s="7">
        <f>K1202-I1202</f>
        <v>-967000</v>
      </c>
      <c r="M1202" s="7">
        <f t="shared" si="199"/>
        <v>398750</v>
      </c>
      <c r="N1202" s="7">
        <f t="shared" si="208"/>
        <v>-568250</v>
      </c>
      <c r="O1202" s="7">
        <f t="shared" si="207"/>
        <v>0</v>
      </c>
      <c r="P1202" s="99">
        <f t="shared" si="200"/>
        <v>0</v>
      </c>
      <c r="Q1202" s="99">
        <f t="shared" si="209"/>
        <v>-1.9596913913034496E-2</v>
      </c>
      <c r="R1202">
        <v>1</v>
      </c>
      <c r="S1202" s="7">
        <f t="shared" si="201"/>
        <v>10527000</v>
      </c>
      <c r="T1202" s="7">
        <f t="shared" si="202"/>
        <v>3190000</v>
      </c>
      <c r="U1202" s="7">
        <f t="shared" si="203"/>
        <v>9560000</v>
      </c>
      <c r="V1202" s="7">
        <f t="shared" si="204"/>
        <v>-967000</v>
      </c>
      <c r="W1202" s="7">
        <f t="shared" si="205"/>
        <v>398750</v>
      </c>
      <c r="X1202" s="7">
        <f t="shared" si="206"/>
        <v>-568250</v>
      </c>
    </row>
    <row r="1203" spans="1:24">
      <c r="A1203">
        <v>1202</v>
      </c>
      <c r="B1203" s="96" t="s">
        <v>2401</v>
      </c>
      <c r="C1203" s="95">
        <v>41797</v>
      </c>
      <c r="D1203" s="82">
        <v>9515000</v>
      </c>
      <c r="E1203" s="82">
        <v>9515000</v>
      </c>
      <c r="F1203" s="82">
        <v>9590000</v>
      </c>
      <c r="G1203" s="82">
        <v>9515000</v>
      </c>
      <c r="I1203" s="97">
        <v>0</v>
      </c>
      <c r="J1203" s="97">
        <v>0</v>
      </c>
      <c r="K1203" s="97">
        <v>0</v>
      </c>
      <c r="M1203" s="7">
        <f t="shared" si="199"/>
        <v>0</v>
      </c>
      <c r="N1203" s="7">
        <f t="shared" si="208"/>
        <v>0</v>
      </c>
      <c r="O1203" s="7">
        <f t="shared" si="207"/>
        <v>-55000</v>
      </c>
      <c r="P1203" s="99">
        <f t="shared" si="200"/>
        <v>-5.7471264367816091E-3</v>
      </c>
      <c r="Q1203" s="99">
        <f t="shared" si="209"/>
        <v>-1.1400192601559085E-2</v>
      </c>
      <c r="S1203" s="7">
        <f t="shared" si="201"/>
        <v>10466500</v>
      </c>
      <c r="T1203" s="7">
        <f t="shared" si="202"/>
        <v>3171666.6666666665</v>
      </c>
      <c r="U1203" s="7">
        <f t="shared" si="203"/>
        <v>9480000</v>
      </c>
      <c r="V1203" s="7">
        <f t="shared" si="204"/>
        <v>0</v>
      </c>
      <c r="W1203" s="7">
        <f t="shared" si="205"/>
        <v>0</v>
      </c>
      <c r="X1203" s="7">
        <f t="shared" si="206"/>
        <v>0</v>
      </c>
    </row>
    <row r="1204" spans="1:24">
      <c r="A1204">
        <v>1203</v>
      </c>
      <c r="B1204" s="96" t="s">
        <v>2400</v>
      </c>
      <c r="C1204" s="95">
        <v>41798</v>
      </c>
      <c r="D1204" s="82">
        <v>9470000</v>
      </c>
      <c r="E1204" s="82">
        <v>9420000</v>
      </c>
      <c r="F1204" s="82">
        <v>9470000</v>
      </c>
      <c r="G1204" s="82">
        <v>9470000</v>
      </c>
      <c r="I1204" s="97">
        <v>0</v>
      </c>
      <c r="J1204" s="97">
        <v>0</v>
      </c>
      <c r="K1204" s="97">
        <v>0</v>
      </c>
      <c r="M1204" s="7">
        <f t="shared" si="199"/>
        <v>0</v>
      </c>
      <c r="N1204" s="7">
        <f t="shared" si="208"/>
        <v>0</v>
      </c>
      <c r="O1204" s="7">
        <f t="shared" si="207"/>
        <v>-45000</v>
      </c>
      <c r="P1204" s="99">
        <f t="shared" si="200"/>
        <v>-4.7293746715712038E-3</v>
      </c>
      <c r="Q1204" s="99">
        <f t="shared" si="209"/>
        <v>-1.0948971930902678E-2</v>
      </c>
      <c r="S1204" s="7">
        <f t="shared" si="201"/>
        <v>10417000</v>
      </c>
      <c r="T1204" s="7">
        <f t="shared" si="202"/>
        <v>3156666.6666666665</v>
      </c>
      <c r="U1204" s="7">
        <f t="shared" si="203"/>
        <v>9520000</v>
      </c>
      <c r="V1204" s="7">
        <f t="shared" si="204"/>
        <v>0</v>
      </c>
      <c r="W1204" s="7">
        <f t="shared" si="205"/>
        <v>0</v>
      </c>
      <c r="X1204" s="7">
        <f t="shared" si="206"/>
        <v>0</v>
      </c>
    </row>
    <row r="1205" spans="1:24">
      <c r="A1205">
        <v>1204</v>
      </c>
      <c r="B1205" s="96" t="s">
        <v>2399</v>
      </c>
      <c r="C1205" s="95">
        <v>41799</v>
      </c>
      <c r="D1205" s="82">
        <v>9445000</v>
      </c>
      <c r="E1205" s="82">
        <v>9440000</v>
      </c>
      <c r="F1205" s="82">
        <v>9530000</v>
      </c>
      <c r="G1205" s="82">
        <v>9445000</v>
      </c>
      <c r="I1205" s="97">
        <v>0</v>
      </c>
      <c r="J1205" s="97">
        <v>0</v>
      </c>
      <c r="K1205" s="97">
        <v>0</v>
      </c>
      <c r="M1205" s="7">
        <f t="shared" si="199"/>
        <v>0</v>
      </c>
      <c r="N1205" s="7">
        <f t="shared" si="208"/>
        <v>0</v>
      </c>
      <c r="O1205" s="7">
        <f t="shared" si="207"/>
        <v>-25000</v>
      </c>
      <c r="P1205" s="99">
        <f t="shared" si="200"/>
        <v>-2.6399155227032735E-3</v>
      </c>
      <c r="Q1205" s="99">
        <f t="shared" si="209"/>
        <v>-1.1520342444469724E-2</v>
      </c>
      <c r="S1205" s="7">
        <f t="shared" si="201"/>
        <v>10389500</v>
      </c>
      <c r="T1205" s="7">
        <f t="shared" si="202"/>
        <v>3148333.3333333335</v>
      </c>
      <c r="U1205" s="7">
        <f t="shared" si="203"/>
        <v>9530000</v>
      </c>
      <c r="V1205" s="7">
        <f t="shared" si="204"/>
        <v>0</v>
      </c>
      <c r="W1205" s="7">
        <f t="shared" si="205"/>
        <v>0</v>
      </c>
      <c r="X1205" s="7">
        <f t="shared" si="206"/>
        <v>0</v>
      </c>
    </row>
    <row r="1206" spans="1:24">
      <c r="A1206">
        <v>1205</v>
      </c>
      <c r="B1206" s="96" t="s">
        <v>2398</v>
      </c>
      <c r="C1206" s="95">
        <v>41800</v>
      </c>
      <c r="D1206" s="82">
        <v>9410000</v>
      </c>
      <c r="E1206" s="82">
        <v>9358000</v>
      </c>
      <c r="F1206" s="82">
        <v>9410000</v>
      </c>
      <c r="G1206" s="82">
        <v>9410000</v>
      </c>
      <c r="I1206" s="98">
        <v>0</v>
      </c>
      <c r="J1206" s="98">
        <v>0</v>
      </c>
      <c r="K1206" s="98">
        <v>0</v>
      </c>
      <c r="M1206" s="7">
        <f t="shared" si="199"/>
        <v>0</v>
      </c>
      <c r="N1206" s="7">
        <f t="shared" si="208"/>
        <v>0</v>
      </c>
      <c r="O1206" s="7">
        <f t="shared" si="207"/>
        <v>-35000</v>
      </c>
      <c r="P1206" s="99">
        <f t="shared" si="200"/>
        <v>-3.7056643726839597E-3</v>
      </c>
      <c r="Q1206" s="99">
        <f t="shared" si="209"/>
        <v>-1.4160257967172997E-2</v>
      </c>
      <c r="S1206" s="7">
        <f t="shared" si="201"/>
        <v>10351000</v>
      </c>
      <c r="T1206" s="7">
        <f t="shared" si="202"/>
        <v>3136666.6666666665</v>
      </c>
      <c r="U1206" s="7">
        <f t="shared" si="203"/>
        <v>9575000</v>
      </c>
      <c r="V1206" s="7">
        <f t="shared" si="204"/>
        <v>0</v>
      </c>
      <c r="W1206" s="7">
        <f t="shared" si="205"/>
        <v>0</v>
      </c>
      <c r="X1206" s="7">
        <f t="shared" si="206"/>
        <v>0</v>
      </c>
    </row>
    <row r="1207" spans="1:24">
      <c r="A1207">
        <v>1206</v>
      </c>
      <c r="B1207" s="96" t="s">
        <v>2397</v>
      </c>
      <c r="C1207" s="95">
        <v>41801</v>
      </c>
      <c r="D1207" s="82">
        <v>9518000</v>
      </c>
      <c r="E1207" s="82">
        <v>9485000</v>
      </c>
      <c r="F1207" s="82">
        <v>9555000</v>
      </c>
      <c r="G1207" s="82">
        <v>9518000</v>
      </c>
      <c r="I1207" s="82">
        <f>G1207*1.1</f>
        <v>10469800</v>
      </c>
      <c r="J1207" s="82">
        <f>G1207/3</f>
        <v>3172666.6666666665</v>
      </c>
      <c r="K1207" s="7">
        <f>G1475</f>
        <v>9570000</v>
      </c>
      <c r="L1207" s="7">
        <f>K1207-I1207</f>
        <v>-899800</v>
      </c>
      <c r="M1207" s="7">
        <f t="shared" si="199"/>
        <v>396583.33333333326</v>
      </c>
      <c r="N1207" s="7">
        <f t="shared" si="208"/>
        <v>-503216.66666666674</v>
      </c>
      <c r="O1207" s="7">
        <f t="shared" si="207"/>
        <v>108000</v>
      </c>
      <c r="P1207" s="99">
        <f t="shared" si="200"/>
        <v>1.1477151965993623E-2</v>
      </c>
      <c r="Q1207" s="99">
        <f t="shared" si="209"/>
        <v>-1.6822081003740046E-2</v>
      </c>
      <c r="R1207">
        <v>1</v>
      </c>
      <c r="S1207" s="7">
        <f t="shared" si="201"/>
        <v>10469800</v>
      </c>
      <c r="T1207" s="7">
        <f t="shared" si="202"/>
        <v>3172666.6666666665</v>
      </c>
      <c r="U1207" s="7">
        <f t="shared" si="203"/>
        <v>9570000</v>
      </c>
      <c r="V1207" s="7">
        <f t="shared" si="204"/>
        <v>-899800</v>
      </c>
      <c r="W1207" s="7">
        <f t="shared" si="205"/>
        <v>396583.33333333326</v>
      </c>
      <c r="X1207" s="7">
        <f t="shared" si="206"/>
        <v>-503216.66666666674</v>
      </c>
    </row>
    <row r="1208" spans="1:24">
      <c r="A1208">
        <v>1207</v>
      </c>
      <c r="B1208" s="96" t="s">
        <v>2396</v>
      </c>
      <c r="C1208" s="95">
        <v>41802</v>
      </c>
      <c r="D1208" s="82">
        <v>9600000</v>
      </c>
      <c r="E1208" s="82">
        <v>9538000</v>
      </c>
      <c r="F1208" s="82">
        <v>9607000</v>
      </c>
      <c r="G1208" s="82">
        <v>9600000</v>
      </c>
      <c r="I1208" s="97">
        <v>0</v>
      </c>
      <c r="J1208" s="97">
        <v>0</v>
      </c>
      <c r="K1208" s="97">
        <v>0</v>
      </c>
      <c r="M1208" s="7">
        <f t="shared" si="199"/>
        <v>0</v>
      </c>
      <c r="N1208" s="7">
        <f t="shared" si="208"/>
        <v>0</v>
      </c>
      <c r="O1208" s="7">
        <f t="shared" si="207"/>
        <v>82000</v>
      </c>
      <c r="P1208" s="99">
        <f t="shared" si="200"/>
        <v>8.6152553057364991E-3</v>
      </c>
      <c r="Q1208" s="99">
        <f t="shared" si="209"/>
        <v>-5.3449290377464223E-3</v>
      </c>
      <c r="S1208" s="7">
        <f t="shared" si="201"/>
        <v>10560000</v>
      </c>
      <c r="T1208" s="7">
        <f t="shared" si="202"/>
        <v>3200000</v>
      </c>
      <c r="U1208" s="7">
        <f t="shared" si="203"/>
        <v>9580000</v>
      </c>
      <c r="V1208" s="7">
        <f t="shared" si="204"/>
        <v>0</v>
      </c>
      <c r="W1208" s="7">
        <f t="shared" si="205"/>
        <v>0</v>
      </c>
      <c r="X1208" s="7">
        <f t="shared" si="206"/>
        <v>0</v>
      </c>
    </row>
    <row r="1209" spans="1:24">
      <c r="A1209">
        <v>1208</v>
      </c>
      <c r="B1209" s="96" t="s">
        <v>2395</v>
      </c>
      <c r="C1209" s="95">
        <v>41804</v>
      </c>
      <c r="D1209" s="82">
        <v>9594000</v>
      </c>
      <c r="E1209" s="82">
        <v>9585000</v>
      </c>
      <c r="F1209" s="82">
        <v>9685000</v>
      </c>
      <c r="G1209" s="82">
        <v>9594000</v>
      </c>
      <c r="I1209" s="97">
        <v>0</v>
      </c>
      <c r="J1209" s="97">
        <v>0</v>
      </c>
      <c r="K1209" s="97">
        <v>0</v>
      </c>
      <c r="M1209" s="7">
        <f t="shared" si="199"/>
        <v>0</v>
      </c>
      <c r="N1209" s="7">
        <f t="shared" si="208"/>
        <v>0</v>
      </c>
      <c r="O1209" s="7">
        <f t="shared" si="207"/>
        <v>-6000</v>
      </c>
      <c r="P1209" s="99">
        <f t="shared" si="200"/>
        <v>-6.2500000000000001E-4</v>
      </c>
      <c r="Q1209" s="99">
        <f t="shared" si="209"/>
        <v>9.0174527047716859E-3</v>
      </c>
      <c r="S1209" s="7">
        <f t="shared" si="201"/>
        <v>10553400</v>
      </c>
      <c r="T1209" s="7">
        <f t="shared" si="202"/>
        <v>3198000</v>
      </c>
      <c r="U1209" s="7">
        <f t="shared" si="203"/>
        <v>9530000</v>
      </c>
      <c r="V1209" s="7">
        <f t="shared" si="204"/>
        <v>0</v>
      </c>
      <c r="W1209" s="7">
        <f t="shared" si="205"/>
        <v>0</v>
      </c>
      <c r="X1209" s="7">
        <f t="shared" si="206"/>
        <v>0</v>
      </c>
    </row>
    <row r="1210" spans="1:24">
      <c r="A1210">
        <v>1209</v>
      </c>
      <c r="B1210" s="96" t="s">
        <v>2394</v>
      </c>
      <c r="C1210" s="95">
        <v>41805</v>
      </c>
      <c r="D1210" s="82">
        <v>9610000</v>
      </c>
      <c r="E1210" s="82">
        <v>9557000</v>
      </c>
      <c r="F1210" s="82">
        <v>9622000</v>
      </c>
      <c r="G1210" s="82">
        <v>9610000</v>
      </c>
      <c r="I1210" s="97">
        <v>0</v>
      </c>
      <c r="J1210" s="97">
        <v>0</v>
      </c>
      <c r="K1210" s="97">
        <v>0</v>
      </c>
      <c r="M1210" s="7">
        <f t="shared" si="199"/>
        <v>0</v>
      </c>
      <c r="N1210" s="7">
        <f t="shared" si="208"/>
        <v>0</v>
      </c>
      <c r="O1210" s="7">
        <f t="shared" si="207"/>
        <v>16000</v>
      </c>
      <c r="P1210" s="99">
        <f t="shared" si="200"/>
        <v>1.6677089847821555E-3</v>
      </c>
      <c r="Q1210" s="99">
        <f t="shared" si="209"/>
        <v>1.3121827376342888E-2</v>
      </c>
      <c r="S1210" s="7">
        <f t="shared" si="201"/>
        <v>10571000</v>
      </c>
      <c r="T1210" s="7">
        <f t="shared" si="202"/>
        <v>3203333.3333333335</v>
      </c>
      <c r="U1210" s="7">
        <f t="shared" si="203"/>
        <v>9480000</v>
      </c>
      <c r="V1210" s="7">
        <f t="shared" si="204"/>
        <v>0</v>
      </c>
      <c r="W1210" s="7">
        <f t="shared" si="205"/>
        <v>0</v>
      </c>
      <c r="X1210" s="7">
        <f t="shared" si="206"/>
        <v>0</v>
      </c>
    </row>
    <row r="1211" spans="1:24">
      <c r="A1211">
        <v>1210</v>
      </c>
      <c r="B1211" s="96" t="s">
        <v>2393</v>
      </c>
      <c r="C1211" s="95">
        <v>41806</v>
      </c>
      <c r="D1211" s="82">
        <v>9512000</v>
      </c>
      <c r="E1211" s="82">
        <v>9512000</v>
      </c>
      <c r="F1211" s="82">
        <v>9605000</v>
      </c>
      <c r="G1211" s="82">
        <v>9512000</v>
      </c>
      <c r="I1211" s="98">
        <v>0</v>
      </c>
      <c r="J1211" s="98">
        <v>0</v>
      </c>
      <c r="K1211" s="98">
        <v>0</v>
      </c>
      <c r="M1211" s="7">
        <f t="shared" si="199"/>
        <v>0</v>
      </c>
      <c r="N1211" s="7">
        <f t="shared" si="208"/>
        <v>0</v>
      </c>
      <c r="O1211" s="7">
        <f t="shared" si="207"/>
        <v>-98000</v>
      </c>
      <c r="P1211" s="99">
        <f t="shared" si="200"/>
        <v>-1.0197710718002082E-2</v>
      </c>
      <c r="Q1211" s="99">
        <f t="shared" si="209"/>
        <v>1.7429451883828318E-2</v>
      </c>
      <c r="S1211" s="7">
        <f t="shared" si="201"/>
        <v>10463200</v>
      </c>
      <c r="T1211" s="7">
        <f t="shared" si="202"/>
        <v>3170666.6666666665</v>
      </c>
      <c r="U1211" s="7">
        <f t="shared" si="203"/>
        <v>9465000</v>
      </c>
      <c r="V1211" s="7">
        <f t="shared" si="204"/>
        <v>0</v>
      </c>
      <c r="W1211" s="7">
        <f t="shared" si="205"/>
        <v>0</v>
      </c>
      <c r="X1211" s="7">
        <f t="shared" si="206"/>
        <v>0</v>
      </c>
    </row>
    <row r="1212" spans="1:24">
      <c r="A1212">
        <v>1211</v>
      </c>
      <c r="B1212" s="96" t="s">
        <v>2392</v>
      </c>
      <c r="C1212" s="95">
        <v>41807</v>
      </c>
      <c r="D1212" s="82">
        <v>9480000</v>
      </c>
      <c r="E1212" s="82">
        <v>9415000</v>
      </c>
      <c r="F1212" s="82">
        <v>9510000</v>
      </c>
      <c r="G1212" s="82">
        <v>9480000</v>
      </c>
      <c r="I1212" s="82">
        <f>G1212*1.1</f>
        <v>10428000</v>
      </c>
      <c r="J1212" s="82">
        <f>G1212/3</f>
        <v>3160000</v>
      </c>
      <c r="K1212" s="7">
        <f>G1480</f>
        <v>9445000</v>
      </c>
      <c r="L1212" s="7">
        <f>K1212-I1212</f>
        <v>-983000</v>
      </c>
      <c r="M1212" s="7">
        <f t="shared" si="199"/>
        <v>395000</v>
      </c>
      <c r="N1212" s="7">
        <f t="shared" si="208"/>
        <v>-588000</v>
      </c>
      <c r="O1212" s="7">
        <f t="shared" si="207"/>
        <v>-32000</v>
      </c>
      <c r="P1212" s="99">
        <f t="shared" si="200"/>
        <v>-3.3641715727502101E-3</v>
      </c>
      <c r="Q1212" s="99">
        <f t="shared" si="209"/>
        <v>1.0937405538510197E-2</v>
      </c>
      <c r="R1212">
        <v>1</v>
      </c>
      <c r="S1212" s="7">
        <f t="shared" si="201"/>
        <v>10428000</v>
      </c>
      <c r="T1212" s="7">
        <f t="shared" si="202"/>
        <v>3160000</v>
      </c>
      <c r="U1212" s="7">
        <f t="shared" si="203"/>
        <v>9445000</v>
      </c>
      <c r="V1212" s="7">
        <f t="shared" si="204"/>
        <v>-983000</v>
      </c>
      <c r="W1212" s="7">
        <f t="shared" si="205"/>
        <v>395000</v>
      </c>
      <c r="X1212" s="7">
        <f t="shared" si="206"/>
        <v>-588000</v>
      </c>
    </row>
    <row r="1213" spans="1:24">
      <c r="A1213">
        <v>1212</v>
      </c>
      <c r="B1213" s="96" t="s">
        <v>2391</v>
      </c>
      <c r="C1213" s="95">
        <v>41808</v>
      </c>
      <c r="D1213" s="82">
        <v>9490000</v>
      </c>
      <c r="E1213" s="82">
        <v>9468000</v>
      </c>
      <c r="F1213" s="82">
        <v>9525000</v>
      </c>
      <c r="G1213" s="82">
        <v>9490000</v>
      </c>
      <c r="I1213" s="97">
        <v>0</v>
      </c>
      <c r="J1213" s="97">
        <v>0</v>
      </c>
      <c r="K1213" s="97">
        <v>0</v>
      </c>
      <c r="M1213" s="7">
        <f t="shared" si="199"/>
        <v>0</v>
      </c>
      <c r="N1213" s="7">
        <f t="shared" si="208"/>
        <v>0</v>
      </c>
      <c r="O1213" s="7">
        <f t="shared" si="207"/>
        <v>10000</v>
      </c>
      <c r="P1213" s="99">
        <f t="shared" si="200"/>
        <v>1.0548523206751054E-3</v>
      </c>
      <c r="Q1213" s="99">
        <f t="shared" si="209"/>
        <v>-3.9039180002336379E-3</v>
      </c>
      <c r="S1213" s="7">
        <f t="shared" si="201"/>
        <v>10439000</v>
      </c>
      <c r="T1213" s="7">
        <f t="shared" si="202"/>
        <v>3163333.3333333335</v>
      </c>
      <c r="U1213" s="7">
        <f t="shared" si="203"/>
        <v>9460000</v>
      </c>
      <c r="V1213" s="7">
        <f t="shared" si="204"/>
        <v>0</v>
      </c>
      <c r="W1213" s="7">
        <f t="shared" si="205"/>
        <v>0</v>
      </c>
      <c r="X1213" s="7">
        <f t="shared" si="206"/>
        <v>0</v>
      </c>
    </row>
    <row r="1214" spans="1:24">
      <c r="A1214">
        <v>1213</v>
      </c>
      <c r="B1214" s="96" t="s">
        <v>2390</v>
      </c>
      <c r="C1214" s="95">
        <v>41809</v>
      </c>
      <c r="D1214" s="82">
        <v>9530000</v>
      </c>
      <c r="E1214" s="82">
        <v>9487000</v>
      </c>
      <c r="F1214" s="82">
        <v>9538000</v>
      </c>
      <c r="G1214" s="82">
        <v>9530000</v>
      </c>
      <c r="I1214" s="97">
        <v>0</v>
      </c>
      <c r="J1214" s="97">
        <v>0</v>
      </c>
      <c r="K1214" s="97">
        <v>0</v>
      </c>
      <c r="M1214" s="7">
        <f t="shared" si="199"/>
        <v>0</v>
      </c>
      <c r="N1214" s="7">
        <f t="shared" si="208"/>
        <v>0</v>
      </c>
      <c r="O1214" s="7">
        <f t="shared" si="207"/>
        <v>40000</v>
      </c>
      <c r="P1214" s="99">
        <f t="shared" si="200"/>
        <v>4.2149631190727078E-3</v>
      </c>
      <c r="Q1214" s="99">
        <f t="shared" si="209"/>
        <v>-1.1464320985295031E-2</v>
      </c>
      <c r="S1214" s="7">
        <f t="shared" si="201"/>
        <v>10483000</v>
      </c>
      <c r="T1214" s="7">
        <f t="shared" si="202"/>
        <v>3176666.6666666665</v>
      </c>
      <c r="U1214" s="7">
        <f t="shared" si="203"/>
        <v>9420000</v>
      </c>
      <c r="V1214" s="7">
        <f t="shared" si="204"/>
        <v>0</v>
      </c>
      <c r="W1214" s="7">
        <f t="shared" si="205"/>
        <v>0</v>
      </c>
      <c r="X1214" s="7">
        <f t="shared" si="206"/>
        <v>0</v>
      </c>
    </row>
    <row r="1215" spans="1:24">
      <c r="A1215">
        <v>1214</v>
      </c>
      <c r="B1215" s="96" t="s">
        <v>2389</v>
      </c>
      <c r="C1215" s="95">
        <v>41811</v>
      </c>
      <c r="D1215" s="82">
        <v>9790000</v>
      </c>
      <c r="E1215" s="82">
        <v>9757000</v>
      </c>
      <c r="F1215" s="82">
        <v>9830000</v>
      </c>
      <c r="G1215" s="82">
        <v>9790000</v>
      </c>
      <c r="I1215" s="97">
        <v>0</v>
      </c>
      <c r="J1215" s="97">
        <v>0</v>
      </c>
      <c r="K1215" s="97">
        <v>0</v>
      </c>
      <c r="M1215" s="7">
        <f t="shared" si="199"/>
        <v>0</v>
      </c>
      <c r="N1215" s="7">
        <f t="shared" si="208"/>
        <v>0</v>
      </c>
      <c r="O1215" s="7">
        <f t="shared" si="207"/>
        <v>260000</v>
      </c>
      <c r="P1215" s="99">
        <f t="shared" si="200"/>
        <v>2.7282266526757609E-2</v>
      </c>
      <c r="Q1215" s="99">
        <f t="shared" si="209"/>
        <v>-6.624357866222323E-3</v>
      </c>
      <c r="S1215" s="7">
        <f t="shared" si="201"/>
        <v>10769000</v>
      </c>
      <c r="T1215" s="7">
        <f t="shared" si="202"/>
        <v>3263333.3333333335</v>
      </c>
      <c r="U1215" s="7">
        <f t="shared" si="203"/>
        <v>9400000</v>
      </c>
      <c r="V1215" s="7">
        <f t="shared" si="204"/>
        <v>0</v>
      </c>
      <c r="W1215" s="7">
        <f t="shared" si="205"/>
        <v>0</v>
      </c>
      <c r="X1215" s="7">
        <f t="shared" si="206"/>
        <v>0</v>
      </c>
    </row>
    <row r="1216" spans="1:24">
      <c r="A1216">
        <v>1215</v>
      </c>
      <c r="B1216" s="96" t="s">
        <v>2388</v>
      </c>
      <c r="C1216" s="95">
        <v>41812</v>
      </c>
      <c r="D1216" s="82">
        <v>9730000</v>
      </c>
      <c r="E1216" s="82">
        <v>9705000</v>
      </c>
      <c r="F1216" s="82">
        <v>9780000</v>
      </c>
      <c r="G1216" s="82">
        <v>9730000</v>
      </c>
      <c r="I1216" s="98">
        <v>0</v>
      </c>
      <c r="J1216" s="98">
        <v>0</v>
      </c>
      <c r="K1216" s="98">
        <v>0</v>
      </c>
      <c r="M1216" s="7">
        <f t="shared" si="199"/>
        <v>0</v>
      </c>
      <c r="N1216" s="7">
        <f t="shared" si="208"/>
        <v>0</v>
      </c>
      <c r="O1216" s="7">
        <f t="shared" si="207"/>
        <v>-60000</v>
      </c>
      <c r="P1216" s="99">
        <f t="shared" si="200"/>
        <v>-6.1287027579162408E-3</v>
      </c>
      <c r="Q1216" s="99">
        <f t="shared" si="209"/>
        <v>1.899019967575313E-2</v>
      </c>
      <c r="S1216" s="7">
        <f t="shared" si="201"/>
        <v>10703000</v>
      </c>
      <c r="T1216" s="7">
        <f t="shared" si="202"/>
        <v>3243333.3333333335</v>
      </c>
      <c r="U1216" s="7">
        <f t="shared" si="203"/>
        <v>9375000</v>
      </c>
      <c r="V1216" s="7">
        <f t="shared" si="204"/>
        <v>0</v>
      </c>
      <c r="W1216" s="7">
        <f t="shared" si="205"/>
        <v>0</v>
      </c>
      <c r="X1216" s="7">
        <f t="shared" si="206"/>
        <v>0</v>
      </c>
    </row>
    <row r="1217" spans="1:24">
      <c r="A1217">
        <v>1216</v>
      </c>
      <c r="B1217" s="96" t="s">
        <v>2387</v>
      </c>
      <c r="C1217" s="95">
        <v>41813</v>
      </c>
      <c r="D1217" s="82">
        <v>9673000</v>
      </c>
      <c r="E1217" s="82">
        <v>9673000</v>
      </c>
      <c r="F1217" s="82">
        <v>9732000</v>
      </c>
      <c r="G1217" s="82">
        <v>9673000</v>
      </c>
      <c r="I1217" s="82">
        <f>G1217*1.1</f>
        <v>10640300</v>
      </c>
      <c r="J1217" s="82">
        <f>G1217/3</f>
        <v>3224333.3333333335</v>
      </c>
      <c r="K1217" s="7">
        <f>G1485</f>
        <v>9345000</v>
      </c>
      <c r="L1217" s="7">
        <f>K1217-I1217</f>
        <v>-1295300</v>
      </c>
      <c r="M1217" s="7">
        <f t="shared" si="199"/>
        <v>403041.66666666674</v>
      </c>
      <c r="N1217" s="7">
        <f t="shared" si="208"/>
        <v>-892258.33333333326</v>
      </c>
      <c r="O1217" s="7">
        <f t="shared" si="207"/>
        <v>-57000</v>
      </c>
      <c r="P1217" s="99">
        <f t="shared" si="200"/>
        <v>-5.8581706063720448E-3</v>
      </c>
      <c r="Q1217" s="99">
        <f t="shared" si="209"/>
        <v>2.3059207635838973E-2</v>
      </c>
      <c r="R1217">
        <v>1</v>
      </c>
      <c r="S1217" s="7">
        <f t="shared" si="201"/>
        <v>10640300</v>
      </c>
      <c r="T1217" s="7">
        <f t="shared" si="202"/>
        <v>3224333.3333333335</v>
      </c>
      <c r="U1217" s="7">
        <f t="shared" si="203"/>
        <v>9345000</v>
      </c>
      <c r="V1217" s="7">
        <f t="shared" si="204"/>
        <v>-1295300</v>
      </c>
      <c r="W1217" s="7">
        <f t="shared" si="205"/>
        <v>403041.66666666674</v>
      </c>
      <c r="X1217" s="7">
        <f t="shared" si="206"/>
        <v>-892258.33333333326</v>
      </c>
    </row>
    <row r="1218" spans="1:24">
      <c r="A1218">
        <v>1217</v>
      </c>
      <c r="B1218" s="96" t="s">
        <v>2386</v>
      </c>
      <c r="C1218" s="95">
        <v>41814</v>
      </c>
      <c r="D1218" s="82">
        <v>9692000</v>
      </c>
      <c r="E1218" s="82">
        <v>9648000</v>
      </c>
      <c r="F1218" s="82">
        <v>9762000</v>
      </c>
      <c r="G1218" s="82">
        <v>9692000</v>
      </c>
      <c r="I1218" s="97">
        <v>0</v>
      </c>
      <c r="J1218" s="97">
        <v>0</v>
      </c>
      <c r="K1218" s="97">
        <v>0</v>
      </c>
      <c r="M1218" s="7">
        <f t="shared" ref="M1218:M1281" si="210">J1218*$AI$6/200</f>
        <v>0</v>
      </c>
      <c r="N1218" s="7">
        <f t="shared" si="208"/>
        <v>0</v>
      </c>
      <c r="O1218" s="7">
        <f t="shared" si="207"/>
        <v>19000</v>
      </c>
      <c r="P1218" s="99">
        <f t="shared" si="200"/>
        <v>1.9642303318515453E-3</v>
      </c>
      <c r="Q1218" s="99">
        <f t="shared" si="209"/>
        <v>2.0565208602217135E-2</v>
      </c>
      <c r="S1218" s="7">
        <f t="shared" si="201"/>
        <v>10661200</v>
      </c>
      <c r="T1218" s="7">
        <f t="shared" si="202"/>
        <v>3230666.6666666665</v>
      </c>
      <c r="U1218" s="7">
        <f t="shared" si="203"/>
        <v>9340000</v>
      </c>
      <c r="V1218" s="7">
        <f t="shared" si="204"/>
        <v>0</v>
      </c>
      <c r="W1218" s="7">
        <f t="shared" si="205"/>
        <v>0</v>
      </c>
      <c r="X1218" s="7">
        <f t="shared" si="206"/>
        <v>0</v>
      </c>
    </row>
    <row r="1219" spans="1:24">
      <c r="A1219">
        <v>1218</v>
      </c>
      <c r="B1219" s="96" t="s">
        <v>2385</v>
      </c>
      <c r="C1219" s="95">
        <v>41815</v>
      </c>
      <c r="D1219" s="82">
        <v>9673000</v>
      </c>
      <c r="E1219" s="82">
        <v>9658000</v>
      </c>
      <c r="F1219" s="82">
        <v>9685000</v>
      </c>
      <c r="G1219" s="82">
        <v>9673000</v>
      </c>
      <c r="I1219" s="97">
        <v>0</v>
      </c>
      <c r="J1219" s="97">
        <v>0</v>
      </c>
      <c r="K1219" s="97">
        <v>0</v>
      </c>
      <c r="M1219" s="7">
        <f t="shared" si="210"/>
        <v>0</v>
      </c>
      <c r="N1219" s="7">
        <f t="shared" si="208"/>
        <v>0</v>
      </c>
      <c r="O1219" s="7">
        <f t="shared" si="207"/>
        <v>-19000</v>
      </c>
      <c r="P1219" s="99">
        <f t="shared" ref="P1219:P1282" si="211">O1219/G1218</f>
        <v>-1.960379694593479E-3</v>
      </c>
      <c r="Q1219" s="99">
        <f t="shared" si="209"/>
        <v>2.1474586613393576E-2</v>
      </c>
      <c r="S1219" s="7">
        <f t="shared" ref="S1219:S1282" si="212">G1219*1.1</f>
        <v>10640300</v>
      </c>
      <c r="T1219" s="7">
        <f t="shared" ref="T1219:T1282" si="213">G1219/3</f>
        <v>3224333.3333333335</v>
      </c>
      <c r="U1219" s="7">
        <f t="shared" ref="U1219:U1282" si="214">G1487</f>
        <v>9440000</v>
      </c>
      <c r="V1219" s="7">
        <f t="shared" ref="V1219:V1282" si="215">(U1219-S1219)*R1219</f>
        <v>0</v>
      </c>
      <c r="W1219" s="7">
        <f t="shared" ref="W1219:W1282" si="216">(T1219*$AI$6/200)*R1219</f>
        <v>0</v>
      </c>
      <c r="X1219" s="7">
        <f t="shared" ref="X1219:X1282" si="217">V1219+W1219</f>
        <v>0</v>
      </c>
    </row>
    <row r="1220" spans="1:24">
      <c r="A1220">
        <v>1219</v>
      </c>
      <c r="B1220" s="96" t="s">
        <v>2384</v>
      </c>
      <c r="C1220" s="95">
        <v>41816</v>
      </c>
      <c r="D1220" s="82">
        <v>9655000</v>
      </c>
      <c r="E1220" s="82">
        <v>9648000</v>
      </c>
      <c r="F1220" s="82">
        <v>9682000</v>
      </c>
      <c r="G1220" s="82">
        <v>9655000</v>
      </c>
      <c r="I1220" s="97">
        <v>0</v>
      </c>
      <c r="J1220" s="97">
        <v>0</v>
      </c>
      <c r="K1220" s="97">
        <v>0</v>
      </c>
      <c r="M1220" s="7">
        <f t="shared" si="210"/>
        <v>0</v>
      </c>
      <c r="N1220" s="7">
        <f t="shared" si="208"/>
        <v>0</v>
      </c>
      <c r="O1220" s="7">
        <f t="shared" ref="O1220:O1283" si="218">G1220-G1219</f>
        <v>-18000</v>
      </c>
      <c r="P1220" s="99">
        <f t="shared" si="211"/>
        <v>-1.8608497880698853E-3</v>
      </c>
      <c r="Q1220" s="99">
        <f t="shared" si="209"/>
        <v>1.5299243799727393E-2</v>
      </c>
      <c r="S1220" s="7">
        <f t="shared" si="212"/>
        <v>10620500</v>
      </c>
      <c r="T1220" s="7">
        <f t="shared" si="213"/>
        <v>3218333.3333333335</v>
      </c>
      <c r="U1220" s="7">
        <f t="shared" si="214"/>
        <v>9490000</v>
      </c>
      <c r="V1220" s="7">
        <f t="shared" si="215"/>
        <v>0</v>
      </c>
      <c r="W1220" s="7">
        <f t="shared" si="216"/>
        <v>0</v>
      </c>
      <c r="X1220" s="7">
        <f t="shared" si="217"/>
        <v>0</v>
      </c>
    </row>
    <row r="1221" spans="1:24">
      <c r="A1221">
        <v>1220</v>
      </c>
      <c r="B1221" s="96" t="s">
        <v>2383</v>
      </c>
      <c r="C1221" s="95">
        <v>41825</v>
      </c>
      <c r="D1221" s="82">
        <v>9575000</v>
      </c>
      <c r="E1221" s="82">
        <v>9562000</v>
      </c>
      <c r="F1221" s="82">
        <v>9592000</v>
      </c>
      <c r="G1221" s="82">
        <v>9575000</v>
      </c>
      <c r="I1221" s="98">
        <v>0</v>
      </c>
      <c r="J1221" s="98">
        <v>0</v>
      </c>
      <c r="K1221" s="98">
        <v>0</v>
      </c>
      <c r="M1221" s="7">
        <f t="shared" si="210"/>
        <v>0</v>
      </c>
      <c r="N1221" s="7">
        <f t="shared" si="208"/>
        <v>0</v>
      </c>
      <c r="O1221" s="7">
        <f t="shared" si="218"/>
        <v>-80000</v>
      </c>
      <c r="P1221" s="99">
        <f t="shared" si="211"/>
        <v>-8.285862247540134E-3</v>
      </c>
      <c r="Q1221" s="99">
        <f t="shared" si="209"/>
        <v>-1.3843872515100105E-2</v>
      </c>
      <c r="S1221" s="7">
        <f t="shared" si="212"/>
        <v>10532500</v>
      </c>
      <c r="T1221" s="7">
        <f t="shared" si="213"/>
        <v>3191666.6666666665</v>
      </c>
      <c r="U1221" s="7">
        <f t="shared" si="214"/>
        <v>9490000</v>
      </c>
      <c r="V1221" s="7">
        <f t="shared" si="215"/>
        <v>0</v>
      </c>
      <c r="W1221" s="7">
        <f t="shared" si="216"/>
        <v>0</v>
      </c>
      <c r="X1221" s="7">
        <f t="shared" si="217"/>
        <v>0</v>
      </c>
    </row>
    <row r="1222" spans="1:24">
      <c r="A1222">
        <v>1221</v>
      </c>
      <c r="B1222" s="96" t="s">
        <v>2382</v>
      </c>
      <c r="C1222" s="95">
        <v>41826</v>
      </c>
      <c r="D1222" s="82">
        <v>9523000</v>
      </c>
      <c r="E1222" s="82">
        <v>9495000</v>
      </c>
      <c r="F1222" s="82">
        <v>9570000</v>
      </c>
      <c r="G1222" s="82">
        <v>9523000</v>
      </c>
      <c r="I1222" s="82">
        <f>G1222*1.1</f>
        <v>10475300</v>
      </c>
      <c r="J1222" s="82">
        <f>G1222/3</f>
        <v>3174333.3333333335</v>
      </c>
      <c r="K1222" s="7">
        <f>G1490</f>
        <v>9500000</v>
      </c>
      <c r="L1222" s="7">
        <f>K1222-I1222</f>
        <v>-975300</v>
      </c>
      <c r="M1222" s="7">
        <f t="shared" si="210"/>
        <v>396791.66666666674</v>
      </c>
      <c r="N1222" s="7">
        <f t="shared" si="208"/>
        <v>-578508.33333333326</v>
      </c>
      <c r="O1222" s="7">
        <f t="shared" si="218"/>
        <v>-52000</v>
      </c>
      <c r="P1222" s="99">
        <f t="shared" si="211"/>
        <v>-5.4308093994778067E-3</v>
      </c>
      <c r="Q1222" s="99">
        <f t="shared" si="209"/>
        <v>-1.6001032004723997E-2</v>
      </c>
      <c r="R1222">
        <v>1</v>
      </c>
      <c r="S1222" s="7">
        <f t="shared" si="212"/>
        <v>10475300</v>
      </c>
      <c r="T1222" s="7">
        <f t="shared" si="213"/>
        <v>3174333.3333333335</v>
      </c>
      <c r="U1222" s="7">
        <f t="shared" si="214"/>
        <v>9500000</v>
      </c>
      <c r="V1222" s="7">
        <f t="shared" si="215"/>
        <v>-975300</v>
      </c>
      <c r="W1222" s="7">
        <f t="shared" si="216"/>
        <v>396791.66666666674</v>
      </c>
      <c r="X1222" s="7">
        <f t="shared" si="217"/>
        <v>-578508.33333333326</v>
      </c>
    </row>
    <row r="1223" spans="1:24">
      <c r="A1223">
        <v>1222</v>
      </c>
      <c r="B1223" s="96" t="s">
        <v>2381</v>
      </c>
      <c r="C1223" s="95">
        <v>41827</v>
      </c>
      <c r="D1223" s="82">
        <v>9495000</v>
      </c>
      <c r="E1223" s="82">
        <v>9482000</v>
      </c>
      <c r="F1223" s="82">
        <v>9512000</v>
      </c>
      <c r="G1223" s="82">
        <v>9495000</v>
      </c>
      <c r="I1223" s="97">
        <v>0</v>
      </c>
      <c r="J1223" s="97">
        <v>0</v>
      </c>
      <c r="K1223" s="97">
        <v>0</v>
      </c>
      <c r="M1223" s="7">
        <f t="shared" si="210"/>
        <v>0</v>
      </c>
      <c r="N1223" s="7">
        <f t="shared" si="208"/>
        <v>0</v>
      </c>
      <c r="O1223" s="7">
        <f t="shared" si="218"/>
        <v>-28000</v>
      </c>
      <c r="P1223" s="99">
        <f t="shared" si="211"/>
        <v>-2.9402499212433058E-3</v>
      </c>
      <c r="Q1223" s="99">
        <f t="shared" si="209"/>
        <v>-1.557367079782976E-2</v>
      </c>
      <c r="S1223" s="7">
        <f t="shared" si="212"/>
        <v>10444500</v>
      </c>
      <c r="T1223" s="7">
        <f t="shared" si="213"/>
        <v>3165000</v>
      </c>
      <c r="U1223" s="7">
        <f t="shared" si="214"/>
        <v>9480000</v>
      </c>
      <c r="V1223" s="7">
        <f t="shared" si="215"/>
        <v>0</v>
      </c>
      <c r="W1223" s="7">
        <f t="shared" si="216"/>
        <v>0</v>
      </c>
      <c r="X1223" s="7">
        <f t="shared" si="217"/>
        <v>0</v>
      </c>
    </row>
    <row r="1224" spans="1:24">
      <c r="A1224">
        <v>1223</v>
      </c>
      <c r="B1224" s="96" t="s">
        <v>2380</v>
      </c>
      <c r="C1224" s="95">
        <v>41828</v>
      </c>
      <c r="D1224" s="82">
        <v>9570000</v>
      </c>
      <c r="E1224" s="82">
        <v>9515000</v>
      </c>
      <c r="F1224" s="82">
        <v>9592000</v>
      </c>
      <c r="G1224" s="82">
        <v>9570000</v>
      </c>
      <c r="I1224" s="97">
        <v>0</v>
      </c>
      <c r="J1224" s="97">
        <v>0</v>
      </c>
      <c r="K1224" s="97">
        <v>0</v>
      </c>
      <c r="M1224" s="7">
        <f t="shared" si="210"/>
        <v>0</v>
      </c>
      <c r="N1224" s="7">
        <f t="shared" ref="N1224:N1287" si="219">L1224+M1224</f>
        <v>0</v>
      </c>
      <c r="O1224" s="7">
        <f t="shared" si="218"/>
        <v>75000</v>
      </c>
      <c r="P1224" s="99">
        <f t="shared" si="211"/>
        <v>7.8988941548183249E-3</v>
      </c>
      <c r="Q1224" s="99">
        <f t="shared" ref="Q1224:Q1287" si="220">SUM(P1219:P1223)</f>
        <v>-2.0478151050924612E-2</v>
      </c>
      <c r="S1224" s="7">
        <f t="shared" si="212"/>
        <v>10527000</v>
      </c>
      <c r="T1224" s="7">
        <f t="shared" si="213"/>
        <v>3190000</v>
      </c>
      <c r="U1224" s="7">
        <f t="shared" si="214"/>
        <v>9410000</v>
      </c>
      <c r="V1224" s="7">
        <f t="shared" si="215"/>
        <v>0</v>
      </c>
      <c r="W1224" s="7">
        <f t="shared" si="216"/>
        <v>0</v>
      </c>
      <c r="X1224" s="7">
        <f t="shared" si="217"/>
        <v>0</v>
      </c>
    </row>
    <row r="1225" spans="1:24">
      <c r="A1225">
        <v>1224</v>
      </c>
      <c r="B1225" s="96" t="s">
        <v>2379</v>
      </c>
      <c r="C1225" s="95">
        <v>41829</v>
      </c>
      <c r="D1225" s="82">
        <v>9564000</v>
      </c>
      <c r="E1225" s="82">
        <v>9550000</v>
      </c>
      <c r="F1225" s="82">
        <v>9598000</v>
      </c>
      <c r="G1225" s="82">
        <v>9564000</v>
      </c>
      <c r="I1225" s="97">
        <v>0</v>
      </c>
      <c r="J1225" s="97">
        <v>0</v>
      </c>
      <c r="K1225" s="97">
        <v>0</v>
      </c>
      <c r="M1225" s="7">
        <f t="shared" si="210"/>
        <v>0</v>
      </c>
      <c r="N1225" s="7">
        <f t="shared" si="219"/>
        <v>0</v>
      </c>
      <c r="O1225" s="7">
        <f t="shared" si="218"/>
        <v>-6000</v>
      </c>
      <c r="P1225" s="99">
        <f t="shared" si="211"/>
        <v>-6.2695924764890286E-4</v>
      </c>
      <c r="Q1225" s="99">
        <f t="shared" si="220"/>
        <v>-1.0618877201512805E-2</v>
      </c>
      <c r="S1225" s="7">
        <f t="shared" si="212"/>
        <v>10520400</v>
      </c>
      <c r="T1225" s="7">
        <f t="shared" si="213"/>
        <v>3188000</v>
      </c>
      <c r="U1225" s="7">
        <f t="shared" si="214"/>
        <v>9330000</v>
      </c>
      <c r="V1225" s="7">
        <f t="shared" si="215"/>
        <v>0</v>
      </c>
      <c r="W1225" s="7">
        <f t="shared" si="216"/>
        <v>0</v>
      </c>
      <c r="X1225" s="7">
        <f t="shared" si="217"/>
        <v>0</v>
      </c>
    </row>
    <row r="1226" spans="1:24">
      <c r="A1226">
        <v>1225</v>
      </c>
      <c r="B1226" s="96" t="s">
        <v>2378</v>
      </c>
      <c r="C1226" s="95">
        <v>41830</v>
      </c>
      <c r="D1226" s="82">
        <v>9645000</v>
      </c>
      <c r="E1226" s="82">
        <v>9570000</v>
      </c>
      <c r="F1226" s="82">
        <v>9645000</v>
      </c>
      <c r="G1226" s="82">
        <v>9645000</v>
      </c>
      <c r="I1226" s="98">
        <v>0</v>
      </c>
      <c r="J1226" s="98">
        <v>0</v>
      </c>
      <c r="K1226" s="98">
        <v>0</v>
      </c>
      <c r="M1226" s="7">
        <f t="shared" si="210"/>
        <v>0</v>
      </c>
      <c r="N1226" s="7">
        <f t="shared" si="219"/>
        <v>0</v>
      </c>
      <c r="O1226" s="7">
        <f t="shared" si="218"/>
        <v>81000</v>
      </c>
      <c r="P1226" s="99">
        <f t="shared" si="211"/>
        <v>8.4692597239648688E-3</v>
      </c>
      <c r="Q1226" s="99">
        <f t="shared" si="220"/>
        <v>-9.3849866610918233E-3</v>
      </c>
      <c r="S1226" s="7">
        <f t="shared" si="212"/>
        <v>10609500</v>
      </c>
      <c r="T1226" s="7">
        <f t="shared" si="213"/>
        <v>3215000</v>
      </c>
      <c r="U1226" s="7">
        <f t="shared" si="214"/>
        <v>9410000</v>
      </c>
      <c r="V1226" s="7">
        <f t="shared" si="215"/>
        <v>0</v>
      </c>
      <c r="W1226" s="7">
        <f t="shared" si="216"/>
        <v>0</v>
      </c>
      <c r="X1226" s="7">
        <f t="shared" si="217"/>
        <v>0</v>
      </c>
    </row>
    <row r="1227" spans="1:24">
      <c r="A1227">
        <v>1226</v>
      </c>
      <c r="B1227" s="96" t="s">
        <v>2377</v>
      </c>
      <c r="C1227" s="95">
        <v>41832</v>
      </c>
      <c r="D1227" s="82">
        <v>9647000</v>
      </c>
      <c r="E1227" s="82">
        <v>9610000</v>
      </c>
      <c r="F1227" s="82">
        <v>9647000</v>
      </c>
      <c r="G1227" s="82">
        <v>9647000</v>
      </c>
      <c r="I1227" s="82">
        <f>G1227*1.1</f>
        <v>10611700</v>
      </c>
      <c r="J1227" s="82">
        <f>G1227/3</f>
        <v>3215666.6666666665</v>
      </c>
      <c r="K1227" s="7">
        <f>G1495</f>
        <v>9345000</v>
      </c>
      <c r="L1227" s="7">
        <f>K1227-I1227</f>
        <v>-1266700</v>
      </c>
      <c r="M1227" s="7">
        <f t="shared" si="210"/>
        <v>401958.33333333326</v>
      </c>
      <c r="N1227" s="7">
        <f t="shared" si="219"/>
        <v>-864741.66666666674</v>
      </c>
      <c r="O1227" s="7">
        <f t="shared" si="218"/>
        <v>2000</v>
      </c>
      <c r="P1227" s="99">
        <f t="shared" si="211"/>
        <v>2.0736132711249351E-4</v>
      </c>
      <c r="Q1227" s="99">
        <f t="shared" si="220"/>
        <v>7.3701353104131777E-3</v>
      </c>
      <c r="R1227">
        <v>1</v>
      </c>
      <c r="S1227" s="7">
        <f t="shared" si="212"/>
        <v>10611700</v>
      </c>
      <c r="T1227" s="7">
        <f t="shared" si="213"/>
        <v>3215666.6666666665</v>
      </c>
      <c r="U1227" s="7">
        <f t="shared" si="214"/>
        <v>9345000</v>
      </c>
      <c r="V1227" s="7">
        <f t="shared" si="215"/>
        <v>-1266700</v>
      </c>
      <c r="W1227" s="7">
        <f t="shared" si="216"/>
        <v>401958.33333333326</v>
      </c>
      <c r="X1227" s="7">
        <f t="shared" si="217"/>
        <v>-864741.66666666674</v>
      </c>
    </row>
    <row r="1228" spans="1:24">
      <c r="A1228">
        <v>1227</v>
      </c>
      <c r="B1228" s="96" t="s">
        <v>2376</v>
      </c>
      <c r="C1228" s="95">
        <v>41833</v>
      </c>
      <c r="D1228" s="82">
        <v>9680000</v>
      </c>
      <c r="E1228" s="82">
        <v>9650000</v>
      </c>
      <c r="F1228" s="82">
        <v>9685000</v>
      </c>
      <c r="G1228" s="82">
        <v>9680000</v>
      </c>
      <c r="I1228" s="97">
        <v>0</v>
      </c>
      <c r="J1228" s="97">
        <v>0</v>
      </c>
      <c r="K1228" s="97">
        <v>0</v>
      </c>
      <c r="M1228" s="7">
        <f t="shared" si="210"/>
        <v>0</v>
      </c>
      <c r="N1228" s="7">
        <f t="shared" si="219"/>
        <v>0</v>
      </c>
      <c r="O1228" s="7">
        <f t="shared" si="218"/>
        <v>33000</v>
      </c>
      <c r="P1228" s="99">
        <f t="shared" si="211"/>
        <v>3.4207525655644243E-3</v>
      </c>
      <c r="Q1228" s="99">
        <f t="shared" si="220"/>
        <v>1.3008306037003477E-2</v>
      </c>
      <c r="S1228" s="7">
        <f t="shared" si="212"/>
        <v>10648000</v>
      </c>
      <c r="T1228" s="7">
        <f t="shared" si="213"/>
        <v>3226666.6666666665</v>
      </c>
      <c r="U1228" s="7">
        <f t="shared" si="214"/>
        <v>9375000</v>
      </c>
      <c r="V1228" s="7">
        <f t="shared" si="215"/>
        <v>0</v>
      </c>
      <c r="W1228" s="7">
        <f t="shared" si="216"/>
        <v>0</v>
      </c>
      <c r="X1228" s="7">
        <f t="shared" si="217"/>
        <v>0</v>
      </c>
    </row>
    <row r="1229" spans="1:24">
      <c r="A1229">
        <v>1228</v>
      </c>
      <c r="B1229" s="96" t="s">
        <v>2375</v>
      </c>
      <c r="C1229" s="95">
        <v>41834</v>
      </c>
      <c r="D1229" s="82">
        <v>9590000</v>
      </c>
      <c r="E1229" s="82">
        <v>9590000</v>
      </c>
      <c r="F1229" s="82">
        <v>9660000</v>
      </c>
      <c r="G1229" s="82">
        <v>9590000</v>
      </c>
      <c r="I1229" s="97">
        <v>0</v>
      </c>
      <c r="J1229" s="97">
        <v>0</v>
      </c>
      <c r="K1229" s="97">
        <v>0</v>
      </c>
      <c r="M1229" s="7">
        <f t="shared" si="210"/>
        <v>0</v>
      </c>
      <c r="N1229" s="7">
        <f t="shared" si="219"/>
        <v>0</v>
      </c>
      <c r="O1229" s="7">
        <f t="shared" si="218"/>
        <v>-90000</v>
      </c>
      <c r="P1229" s="99">
        <f t="shared" si="211"/>
        <v>-9.2975206611570251E-3</v>
      </c>
      <c r="Q1229" s="99">
        <f t="shared" si="220"/>
        <v>1.9369308523811208E-2</v>
      </c>
      <c r="S1229" s="7">
        <f t="shared" si="212"/>
        <v>10549000</v>
      </c>
      <c r="T1229" s="7">
        <f t="shared" si="213"/>
        <v>3196666.6666666665</v>
      </c>
      <c r="U1229" s="7">
        <f t="shared" si="214"/>
        <v>9330000</v>
      </c>
      <c r="V1229" s="7">
        <f t="shared" si="215"/>
        <v>0</v>
      </c>
      <c r="W1229" s="7">
        <f t="shared" si="216"/>
        <v>0</v>
      </c>
      <c r="X1229" s="7">
        <f t="shared" si="217"/>
        <v>0</v>
      </c>
    </row>
    <row r="1230" spans="1:24">
      <c r="A1230">
        <v>1229</v>
      </c>
      <c r="B1230" s="96" t="s">
        <v>2374</v>
      </c>
      <c r="C1230" s="95">
        <v>41835</v>
      </c>
      <c r="D1230" s="82">
        <v>9522000</v>
      </c>
      <c r="E1230" s="82">
        <v>9515000</v>
      </c>
      <c r="F1230" s="82">
        <v>9550000</v>
      </c>
      <c r="G1230" s="82">
        <v>9522000</v>
      </c>
      <c r="I1230" s="97">
        <v>0</v>
      </c>
      <c r="J1230" s="97">
        <v>0</v>
      </c>
      <c r="K1230" s="97">
        <v>0</v>
      </c>
      <c r="M1230" s="7">
        <f t="shared" si="210"/>
        <v>0</v>
      </c>
      <c r="N1230" s="7">
        <f t="shared" si="219"/>
        <v>0</v>
      </c>
      <c r="O1230" s="7">
        <f t="shared" si="218"/>
        <v>-68000</v>
      </c>
      <c r="P1230" s="99">
        <f t="shared" si="211"/>
        <v>-7.0907194994786239E-3</v>
      </c>
      <c r="Q1230" s="99">
        <f t="shared" si="220"/>
        <v>2.172893707835858E-3</v>
      </c>
      <c r="S1230" s="7">
        <f t="shared" si="212"/>
        <v>10474200</v>
      </c>
      <c r="T1230" s="7">
        <f t="shared" si="213"/>
        <v>3174000</v>
      </c>
      <c r="U1230" s="7">
        <f t="shared" si="214"/>
        <v>9305000</v>
      </c>
      <c r="V1230" s="7">
        <f t="shared" si="215"/>
        <v>0</v>
      </c>
      <c r="W1230" s="7">
        <f t="shared" si="216"/>
        <v>0</v>
      </c>
      <c r="X1230" s="7">
        <f t="shared" si="217"/>
        <v>0</v>
      </c>
    </row>
    <row r="1231" spans="1:24">
      <c r="A1231">
        <v>1230</v>
      </c>
      <c r="B1231" s="96" t="s">
        <v>2373</v>
      </c>
      <c r="C1231" s="95">
        <v>41836</v>
      </c>
      <c r="D1231" s="82">
        <v>9515000</v>
      </c>
      <c r="E1231" s="82">
        <v>9475000</v>
      </c>
      <c r="F1231" s="82">
        <v>9515000</v>
      </c>
      <c r="G1231" s="82">
        <v>9515000</v>
      </c>
      <c r="I1231" s="98">
        <v>0</v>
      </c>
      <c r="J1231" s="98">
        <v>0</v>
      </c>
      <c r="K1231" s="98">
        <v>0</v>
      </c>
      <c r="M1231" s="7">
        <f t="shared" si="210"/>
        <v>0</v>
      </c>
      <c r="N1231" s="7">
        <f t="shared" si="219"/>
        <v>0</v>
      </c>
      <c r="O1231" s="7">
        <f t="shared" si="218"/>
        <v>-7000</v>
      </c>
      <c r="P1231" s="99">
        <f t="shared" si="211"/>
        <v>-7.3513967653854231E-4</v>
      </c>
      <c r="Q1231" s="99">
        <f t="shared" si="220"/>
        <v>-4.2908665439938629E-3</v>
      </c>
      <c r="S1231" s="7">
        <f t="shared" si="212"/>
        <v>10466500</v>
      </c>
      <c r="T1231" s="7">
        <f t="shared" si="213"/>
        <v>3171666.6666666665</v>
      </c>
      <c r="U1231" s="7">
        <f t="shared" si="214"/>
        <v>9280000</v>
      </c>
      <c r="V1231" s="7">
        <f t="shared" si="215"/>
        <v>0</v>
      </c>
      <c r="W1231" s="7">
        <f t="shared" si="216"/>
        <v>0</v>
      </c>
      <c r="X1231" s="7">
        <f t="shared" si="217"/>
        <v>0</v>
      </c>
    </row>
    <row r="1232" spans="1:24">
      <c r="A1232">
        <v>1231</v>
      </c>
      <c r="B1232" s="96" t="s">
        <v>2372</v>
      </c>
      <c r="C1232" s="95">
        <v>41837</v>
      </c>
      <c r="D1232" s="82">
        <v>9540000</v>
      </c>
      <c r="E1232" s="82">
        <v>9545000</v>
      </c>
      <c r="F1232" s="82">
        <v>9565000</v>
      </c>
      <c r="G1232" s="82">
        <v>9540000</v>
      </c>
      <c r="I1232" s="82">
        <f>G1232*1.1</f>
        <v>10494000</v>
      </c>
      <c r="J1232" s="82">
        <f>G1232/3</f>
        <v>3180000</v>
      </c>
      <c r="K1232" s="7">
        <f>G1500</f>
        <v>9320000</v>
      </c>
      <c r="L1232" s="7">
        <f>K1232-I1232</f>
        <v>-1174000</v>
      </c>
      <c r="M1232" s="7">
        <f t="shared" si="210"/>
        <v>397500</v>
      </c>
      <c r="N1232" s="7">
        <f t="shared" si="219"/>
        <v>-776500</v>
      </c>
      <c r="O1232" s="7">
        <f t="shared" si="218"/>
        <v>25000</v>
      </c>
      <c r="P1232" s="99">
        <f t="shared" si="211"/>
        <v>2.627430373095113E-3</v>
      </c>
      <c r="Q1232" s="99">
        <f t="shared" si="220"/>
        <v>-1.3495265944497275E-2</v>
      </c>
      <c r="R1232">
        <v>1</v>
      </c>
      <c r="S1232" s="7">
        <f t="shared" si="212"/>
        <v>10494000</v>
      </c>
      <c r="T1232" s="7">
        <f t="shared" si="213"/>
        <v>3180000</v>
      </c>
      <c r="U1232" s="7">
        <f t="shared" si="214"/>
        <v>9320000</v>
      </c>
      <c r="V1232" s="7">
        <f t="shared" si="215"/>
        <v>-1174000</v>
      </c>
      <c r="W1232" s="7">
        <f t="shared" si="216"/>
        <v>397500</v>
      </c>
      <c r="X1232" s="7">
        <f t="shared" si="217"/>
        <v>-776500</v>
      </c>
    </row>
    <row r="1233" spans="1:24">
      <c r="A1233">
        <v>1232</v>
      </c>
      <c r="B1233" s="96" t="s">
        <v>2371</v>
      </c>
      <c r="C1233" s="95">
        <v>41840</v>
      </c>
      <c r="D1233" s="82">
        <v>9525000</v>
      </c>
      <c r="E1233" s="82">
        <v>9520000</v>
      </c>
      <c r="F1233" s="82">
        <v>9550000</v>
      </c>
      <c r="G1233" s="82">
        <v>9525000</v>
      </c>
      <c r="I1233" s="97">
        <v>0</v>
      </c>
      <c r="J1233" s="97">
        <v>0</v>
      </c>
      <c r="K1233" s="97">
        <v>0</v>
      </c>
      <c r="M1233" s="7">
        <f t="shared" si="210"/>
        <v>0</v>
      </c>
      <c r="N1233" s="7">
        <f t="shared" si="219"/>
        <v>0</v>
      </c>
      <c r="O1233" s="7">
        <f t="shared" si="218"/>
        <v>-15000</v>
      </c>
      <c r="P1233" s="99">
        <f t="shared" si="211"/>
        <v>-1.5723270440251573E-3</v>
      </c>
      <c r="Q1233" s="99">
        <f t="shared" si="220"/>
        <v>-1.1075196898514654E-2</v>
      </c>
      <c r="S1233" s="7">
        <f t="shared" si="212"/>
        <v>10477500</v>
      </c>
      <c r="T1233" s="7">
        <f t="shared" si="213"/>
        <v>3175000</v>
      </c>
      <c r="U1233" s="7">
        <f t="shared" si="214"/>
        <v>9315000</v>
      </c>
      <c r="V1233" s="7">
        <f t="shared" si="215"/>
        <v>0</v>
      </c>
      <c r="W1233" s="7">
        <f t="shared" si="216"/>
        <v>0</v>
      </c>
      <c r="X1233" s="7">
        <f t="shared" si="217"/>
        <v>0</v>
      </c>
    </row>
    <row r="1234" spans="1:24">
      <c r="A1234">
        <v>1233</v>
      </c>
      <c r="B1234" s="96" t="s">
        <v>2370</v>
      </c>
      <c r="C1234" s="95">
        <v>41841</v>
      </c>
      <c r="D1234" s="82">
        <v>9550000</v>
      </c>
      <c r="E1234" s="82">
        <v>9535000</v>
      </c>
      <c r="F1234" s="82">
        <v>9570000</v>
      </c>
      <c r="G1234" s="82">
        <v>9550000</v>
      </c>
      <c r="I1234" s="97">
        <v>0</v>
      </c>
      <c r="J1234" s="97">
        <v>0</v>
      </c>
      <c r="K1234" s="97">
        <v>0</v>
      </c>
      <c r="M1234" s="7">
        <f t="shared" si="210"/>
        <v>0</v>
      </c>
      <c r="N1234" s="7">
        <f t="shared" si="219"/>
        <v>0</v>
      </c>
      <c r="O1234" s="7">
        <f t="shared" si="218"/>
        <v>25000</v>
      </c>
      <c r="P1234" s="99">
        <f t="shared" si="211"/>
        <v>2.6246719160104987E-3</v>
      </c>
      <c r="Q1234" s="99">
        <f t="shared" si="220"/>
        <v>-1.6068276508104235E-2</v>
      </c>
      <c r="S1234" s="7">
        <f t="shared" si="212"/>
        <v>10505000</v>
      </c>
      <c r="T1234" s="7">
        <f t="shared" si="213"/>
        <v>3183333.3333333335</v>
      </c>
      <c r="U1234" s="7">
        <f t="shared" si="214"/>
        <v>9325000</v>
      </c>
      <c r="V1234" s="7">
        <f t="shared" si="215"/>
        <v>0</v>
      </c>
      <c r="W1234" s="7">
        <f t="shared" si="216"/>
        <v>0</v>
      </c>
      <c r="X1234" s="7">
        <f t="shared" si="217"/>
        <v>0</v>
      </c>
    </row>
    <row r="1235" spans="1:24">
      <c r="A1235">
        <v>1234</v>
      </c>
      <c r="B1235" s="96" t="s">
        <v>2369</v>
      </c>
      <c r="C1235" s="95">
        <v>41843</v>
      </c>
      <c r="D1235" s="82">
        <v>9525000</v>
      </c>
      <c r="E1235" s="82">
        <v>9490000</v>
      </c>
      <c r="F1235" s="82">
        <v>9532000</v>
      </c>
      <c r="G1235" s="82">
        <v>9525000</v>
      </c>
      <c r="I1235" s="97">
        <v>0</v>
      </c>
      <c r="J1235" s="97">
        <v>0</v>
      </c>
      <c r="K1235" s="97">
        <v>0</v>
      </c>
      <c r="M1235" s="7">
        <f t="shared" si="210"/>
        <v>0</v>
      </c>
      <c r="N1235" s="7">
        <f t="shared" si="219"/>
        <v>0</v>
      </c>
      <c r="O1235" s="7">
        <f t="shared" si="218"/>
        <v>-25000</v>
      </c>
      <c r="P1235" s="99">
        <f t="shared" si="211"/>
        <v>-2.617801047120419E-3</v>
      </c>
      <c r="Q1235" s="99">
        <f t="shared" si="220"/>
        <v>-4.1460839309367132E-3</v>
      </c>
      <c r="S1235" s="7">
        <f t="shared" si="212"/>
        <v>10477500</v>
      </c>
      <c r="T1235" s="7">
        <f t="shared" si="213"/>
        <v>3175000</v>
      </c>
      <c r="U1235" s="7">
        <f t="shared" si="214"/>
        <v>9315000</v>
      </c>
      <c r="V1235" s="7">
        <f t="shared" si="215"/>
        <v>0</v>
      </c>
      <c r="W1235" s="7">
        <f t="shared" si="216"/>
        <v>0</v>
      </c>
      <c r="X1235" s="7">
        <f t="shared" si="217"/>
        <v>0</v>
      </c>
    </row>
    <row r="1236" spans="1:24">
      <c r="A1236">
        <v>1235</v>
      </c>
      <c r="B1236" s="96" t="s">
        <v>2368</v>
      </c>
      <c r="C1236" s="95">
        <v>41842</v>
      </c>
      <c r="D1236" s="82">
        <v>9505000</v>
      </c>
      <c r="E1236" s="82">
        <v>9500000</v>
      </c>
      <c r="F1236" s="82">
        <v>9530000</v>
      </c>
      <c r="G1236" s="82">
        <v>9505000</v>
      </c>
      <c r="I1236" s="98">
        <v>0</v>
      </c>
      <c r="J1236" s="98">
        <v>0</v>
      </c>
      <c r="K1236" s="98">
        <v>0</v>
      </c>
      <c r="M1236" s="7">
        <f t="shared" si="210"/>
        <v>0</v>
      </c>
      <c r="N1236" s="7">
        <f t="shared" si="219"/>
        <v>0</v>
      </c>
      <c r="O1236" s="7">
        <f t="shared" si="218"/>
        <v>-20000</v>
      </c>
      <c r="P1236" s="99">
        <f t="shared" si="211"/>
        <v>-2.0997375328083989E-3</v>
      </c>
      <c r="Q1236" s="99">
        <f t="shared" si="220"/>
        <v>3.2683452142149303E-4</v>
      </c>
      <c r="S1236" s="7">
        <f t="shared" si="212"/>
        <v>10455500</v>
      </c>
      <c r="T1236" s="7">
        <f t="shared" si="213"/>
        <v>3168333.3333333335</v>
      </c>
      <c r="U1236" s="7">
        <f t="shared" si="214"/>
        <v>9310000</v>
      </c>
      <c r="V1236" s="7">
        <f t="shared" si="215"/>
        <v>0</v>
      </c>
      <c r="W1236" s="7">
        <f t="shared" si="216"/>
        <v>0</v>
      </c>
      <c r="X1236" s="7">
        <f t="shared" si="217"/>
        <v>0</v>
      </c>
    </row>
    <row r="1237" spans="1:24">
      <c r="A1237">
        <v>1236</v>
      </c>
      <c r="B1237" s="96" t="s">
        <v>2367</v>
      </c>
      <c r="C1237" s="95">
        <v>41844</v>
      </c>
      <c r="D1237" s="82">
        <v>9510000</v>
      </c>
      <c r="E1237" s="82">
        <v>9485000</v>
      </c>
      <c r="F1237" s="82">
        <v>9513000</v>
      </c>
      <c r="G1237" s="82">
        <v>9510000</v>
      </c>
      <c r="I1237" s="82">
        <f>G1237*1.1</f>
        <v>10461000</v>
      </c>
      <c r="J1237" s="82">
        <f>G1237/3</f>
        <v>3170000</v>
      </c>
      <c r="K1237" s="7">
        <f>G1505</f>
        <v>9185000</v>
      </c>
      <c r="L1237" s="7">
        <f>K1237-I1237</f>
        <v>-1276000</v>
      </c>
      <c r="M1237" s="7">
        <f t="shared" si="210"/>
        <v>396250</v>
      </c>
      <c r="N1237" s="7">
        <f t="shared" si="219"/>
        <v>-879750</v>
      </c>
      <c r="O1237" s="7">
        <f t="shared" si="218"/>
        <v>5000</v>
      </c>
      <c r="P1237" s="99">
        <f t="shared" si="211"/>
        <v>5.2603892688058915E-4</v>
      </c>
      <c r="Q1237" s="99">
        <f t="shared" si="220"/>
        <v>-1.0377633348483636E-3</v>
      </c>
      <c r="R1237">
        <v>1</v>
      </c>
      <c r="S1237" s="7">
        <f t="shared" si="212"/>
        <v>10461000</v>
      </c>
      <c r="T1237" s="7">
        <f t="shared" si="213"/>
        <v>3170000</v>
      </c>
      <c r="U1237" s="7">
        <f t="shared" si="214"/>
        <v>9185000</v>
      </c>
      <c r="V1237" s="7">
        <f t="shared" si="215"/>
        <v>-1276000</v>
      </c>
      <c r="W1237" s="7">
        <f t="shared" si="216"/>
        <v>396250</v>
      </c>
      <c r="X1237" s="7">
        <f t="shared" si="217"/>
        <v>-879750</v>
      </c>
    </row>
    <row r="1238" spans="1:24">
      <c r="A1238">
        <v>1237</v>
      </c>
      <c r="B1238" s="96" t="s">
        <v>2366</v>
      </c>
      <c r="C1238" s="95">
        <v>41846</v>
      </c>
      <c r="D1238" s="82">
        <v>9535000</v>
      </c>
      <c r="E1238" s="82">
        <v>9515000</v>
      </c>
      <c r="F1238" s="82">
        <v>9542000</v>
      </c>
      <c r="G1238" s="82">
        <v>9535000</v>
      </c>
      <c r="I1238" s="97">
        <v>0</v>
      </c>
      <c r="J1238" s="97">
        <v>0</v>
      </c>
      <c r="K1238" s="97">
        <v>0</v>
      </c>
      <c r="M1238" s="7">
        <f t="shared" si="210"/>
        <v>0</v>
      </c>
      <c r="N1238" s="7">
        <f t="shared" si="219"/>
        <v>0</v>
      </c>
      <c r="O1238" s="7">
        <f t="shared" si="218"/>
        <v>25000</v>
      </c>
      <c r="P1238" s="99">
        <f t="shared" si="211"/>
        <v>2.6288117770767614E-3</v>
      </c>
      <c r="Q1238" s="99">
        <f t="shared" si="220"/>
        <v>-3.1391547810628874E-3</v>
      </c>
      <c r="S1238" s="7">
        <f t="shared" si="212"/>
        <v>10488500</v>
      </c>
      <c r="T1238" s="7">
        <f t="shared" si="213"/>
        <v>3178333.3333333335</v>
      </c>
      <c r="U1238" s="7">
        <f t="shared" si="214"/>
        <v>9160000</v>
      </c>
      <c r="V1238" s="7">
        <f t="shared" si="215"/>
        <v>0</v>
      </c>
      <c r="W1238" s="7">
        <f t="shared" si="216"/>
        <v>0</v>
      </c>
      <c r="X1238" s="7">
        <f t="shared" si="217"/>
        <v>0</v>
      </c>
    </row>
    <row r="1239" spans="1:24">
      <c r="A1239">
        <v>1238</v>
      </c>
      <c r="B1239" s="96" t="s">
        <v>2365</v>
      </c>
      <c r="C1239" s="95">
        <v>41847</v>
      </c>
      <c r="D1239" s="82">
        <v>9530000</v>
      </c>
      <c r="E1239" s="82">
        <v>9528000</v>
      </c>
      <c r="F1239" s="82">
        <v>9558000</v>
      </c>
      <c r="G1239" s="82">
        <v>9530000</v>
      </c>
      <c r="I1239" s="97">
        <v>0</v>
      </c>
      <c r="J1239" s="97">
        <v>0</v>
      </c>
      <c r="K1239" s="97">
        <v>0</v>
      </c>
      <c r="M1239" s="7">
        <f t="shared" si="210"/>
        <v>0</v>
      </c>
      <c r="N1239" s="7">
        <f t="shared" si="219"/>
        <v>0</v>
      </c>
      <c r="O1239" s="7">
        <f t="shared" si="218"/>
        <v>-5000</v>
      </c>
      <c r="P1239" s="99">
        <f t="shared" si="211"/>
        <v>-5.243838489774515E-4</v>
      </c>
      <c r="Q1239" s="99">
        <f t="shared" si="220"/>
        <v>1.0619840400390313E-3</v>
      </c>
      <c r="S1239" s="7">
        <f t="shared" si="212"/>
        <v>10483000</v>
      </c>
      <c r="T1239" s="7">
        <f t="shared" si="213"/>
        <v>3176666.6666666665</v>
      </c>
      <c r="U1239" s="7">
        <f t="shared" si="214"/>
        <v>9160000</v>
      </c>
      <c r="V1239" s="7">
        <f t="shared" si="215"/>
        <v>0</v>
      </c>
      <c r="W1239" s="7">
        <f t="shared" si="216"/>
        <v>0</v>
      </c>
      <c r="X1239" s="7">
        <f t="shared" si="217"/>
        <v>0</v>
      </c>
    </row>
    <row r="1240" spans="1:24">
      <c r="A1240">
        <v>1239</v>
      </c>
      <c r="B1240" s="96" t="s">
        <v>2364</v>
      </c>
      <c r="C1240" s="95">
        <v>41848</v>
      </c>
      <c r="D1240" s="82">
        <v>9502000</v>
      </c>
      <c r="E1240" s="82">
        <v>9502000</v>
      </c>
      <c r="F1240" s="82">
        <v>9517000</v>
      </c>
      <c r="G1240" s="82">
        <v>9502000</v>
      </c>
      <c r="I1240" s="97">
        <v>0</v>
      </c>
      <c r="J1240" s="97">
        <v>0</v>
      </c>
      <c r="K1240" s="97">
        <v>0</v>
      </c>
      <c r="M1240" s="7">
        <f t="shared" si="210"/>
        <v>0</v>
      </c>
      <c r="N1240" s="7">
        <f t="shared" si="219"/>
        <v>0</v>
      </c>
      <c r="O1240" s="7">
        <f t="shared" si="218"/>
        <v>-28000</v>
      </c>
      <c r="P1240" s="99">
        <f t="shared" si="211"/>
        <v>-2.9380902413431269E-3</v>
      </c>
      <c r="Q1240" s="99">
        <f t="shared" si="220"/>
        <v>-2.0870717249489188E-3</v>
      </c>
      <c r="S1240" s="7">
        <f t="shared" si="212"/>
        <v>10452200</v>
      </c>
      <c r="T1240" s="7">
        <f t="shared" si="213"/>
        <v>3167333.3333333335</v>
      </c>
      <c r="U1240" s="7">
        <f t="shared" si="214"/>
        <v>9185000</v>
      </c>
      <c r="V1240" s="7">
        <f t="shared" si="215"/>
        <v>0</v>
      </c>
      <c r="W1240" s="7">
        <f t="shared" si="216"/>
        <v>0</v>
      </c>
      <c r="X1240" s="7">
        <f t="shared" si="217"/>
        <v>0</v>
      </c>
    </row>
    <row r="1241" spans="1:24">
      <c r="A1241">
        <v>1240</v>
      </c>
      <c r="B1241" s="96" t="s">
        <v>2363</v>
      </c>
      <c r="C1241" s="95">
        <v>41850</v>
      </c>
      <c r="D1241" s="82">
        <v>9502000</v>
      </c>
      <c r="E1241" s="82">
        <v>9502000</v>
      </c>
      <c r="F1241" s="82">
        <v>9502000</v>
      </c>
      <c r="G1241" s="82">
        <v>9502000</v>
      </c>
      <c r="I1241" s="98">
        <v>0</v>
      </c>
      <c r="J1241" s="98">
        <v>0</v>
      </c>
      <c r="K1241" s="98">
        <v>0</v>
      </c>
      <c r="M1241" s="7">
        <f t="shared" si="210"/>
        <v>0</v>
      </c>
      <c r="N1241" s="7">
        <f t="shared" si="219"/>
        <v>0</v>
      </c>
      <c r="O1241" s="7">
        <f t="shared" si="218"/>
        <v>0</v>
      </c>
      <c r="P1241" s="99">
        <f t="shared" si="211"/>
        <v>0</v>
      </c>
      <c r="Q1241" s="99">
        <f t="shared" si="220"/>
        <v>-2.4073609191716267E-3</v>
      </c>
      <c r="S1241" s="7">
        <f t="shared" si="212"/>
        <v>10452200</v>
      </c>
      <c r="T1241" s="7">
        <f t="shared" si="213"/>
        <v>3167333.3333333335</v>
      </c>
      <c r="U1241" s="7">
        <f t="shared" si="214"/>
        <v>9230000</v>
      </c>
      <c r="V1241" s="7">
        <f t="shared" si="215"/>
        <v>0</v>
      </c>
      <c r="W1241" s="7">
        <f t="shared" si="216"/>
        <v>0</v>
      </c>
      <c r="X1241" s="7">
        <f t="shared" si="217"/>
        <v>0</v>
      </c>
    </row>
    <row r="1242" spans="1:24">
      <c r="A1242">
        <v>1241</v>
      </c>
      <c r="B1242" s="96" t="s">
        <v>2362</v>
      </c>
      <c r="C1242" s="95">
        <v>41851</v>
      </c>
      <c r="D1242" s="82">
        <v>9505000</v>
      </c>
      <c r="E1242" s="82">
        <v>9500000</v>
      </c>
      <c r="F1242" s="82">
        <v>9505000</v>
      </c>
      <c r="G1242" s="82">
        <v>9505000</v>
      </c>
      <c r="I1242" s="82">
        <f>G1242*1.1</f>
        <v>10455500</v>
      </c>
      <c r="J1242" s="82">
        <f>G1242/3</f>
        <v>3168333.3333333335</v>
      </c>
      <c r="K1242" s="7">
        <f>G1510</f>
        <v>9185000</v>
      </c>
      <c r="L1242" s="7">
        <f>K1242-I1242</f>
        <v>-1270500</v>
      </c>
      <c r="M1242" s="7">
        <f t="shared" si="210"/>
        <v>396041.66666666674</v>
      </c>
      <c r="N1242" s="7">
        <f t="shared" si="219"/>
        <v>-874458.33333333326</v>
      </c>
      <c r="O1242" s="7">
        <f t="shared" si="218"/>
        <v>3000</v>
      </c>
      <c r="P1242" s="99">
        <f t="shared" si="211"/>
        <v>3.1572300568301408E-4</v>
      </c>
      <c r="Q1242" s="99">
        <f t="shared" si="220"/>
        <v>-3.0762338636322779E-4</v>
      </c>
      <c r="R1242">
        <v>1</v>
      </c>
      <c r="S1242" s="7">
        <f t="shared" si="212"/>
        <v>10455500</v>
      </c>
      <c r="T1242" s="7">
        <f t="shared" si="213"/>
        <v>3168333.3333333335</v>
      </c>
      <c r="U1242" s="7">
        <f t="shared" si="214"/>
        <v>9185000</v>
      </c>
      <c r="V1242" s="7">
        <f t="shared" si="215"/>
        <v>-1270500</v>
      </c>
      <c r="W1242" s="7">
        <f t="shared" si="216"/>
        <v>396041.66666666674</v>
      </c>
      <c r="X1242" s="7">
        <f t="shared" si="217"/>
        <v>-874458.33333333326</v>
      </c>
    </row>
    <row r="1243" spans="1:24">
      <c r="A1243">
        <v>1242</v>
      </c>
      <c r="B1243" s="96" t="s">
        <v>2361</v>
      </c>
      <c r="C1243" s="95">
        <v>41853</v>
      </c>
      <c r="D1243" s="82">
        <v>9477000</v>
      </c>
      <c r="E1243" s="82">
        <v>9467000</v>
      </c>
      <c r="F1243" s="82">
        <v>9495000</v>
      </c>
      <c r="G1243" s="82">
        <v>9477000</v>
      </c>
      <c r="I1243" s="97">
        <v>0</v>
      </c>
      <c r="J1243" s="97">
        <v>0</v>
      </c>
      <c r="K1243" s="97">
        <v>0</v>
      </c>
      <c r="M1243" s="7">
        <f t="shared" si="210"/>
        <v>0</v>
      </c>
      <c r="N1243" s="7">
        <f t="shared" si="219"/>
        <v>0</v>
      </c>
      <c r="O1243" s="7">
        <f t="shared" si="218"/>
        <v>-28000</v>
      </c>
      <c r="P1243" s="99">
        <f t="shared" si="211"/>
        <v>-2.9458179905312992E-3</v>
      </c>
      <c r="Q1243" s="99">
        <f t="shared" si="220"/>
        <v>-5.1793930756080281E-4</v>
      </c>
      <c r="S1243" s="7">
        <f t="shared" si="212"/>
        <v>10424700</v>
      </c>
      <c r="T1243" s="7">
        <f t="shared" si="213"/>
        <v>3159000</v>
      </c>
      <c r="U1243" s="7">
        <f t="shared" si="214"/>
        <v>9100000</v>
      </c>
      <c r="V1243" s="7">
        <f t="shared" si="215"/>
        <v>0</v>
      </c>
      <c r="W1243" s="7">
        <f t="shared" si="216"/>
        <v>0</v>
      </c>
      <c r="X1243" s="7">
        <f t="shared" si="217"/>
        <v>0</v>
      </c>
    </row>
    <row r="1244" spans="1:24">
      <c r="A1244">
        <v>1243</v>
      </c>
      <c r="B1244" s="96" t="s">
        <v>2360</v>
      </c>
      <c r="C1244" s="95">
        <v>41854</v>
      </c>
      <c r="D1244" s="82">
        <v>9518000</v>
      </c>
      <c r="E1244" s="82">
        <v>9495000</v>
      </c>
      <c r="F1244" s="82">
        <v>9525000</v>
      </c>
      <c r="G1244" s="82">
        <v>9518000</v>
      </c>
      <c r="I1244" s="97">
        <v>0</v>
      </c>
      <c r="J1244" s="97">
        <v>0</v>
      </c>
      <c r="K1244" s="97">
        <v>0</v>
      </c>
      <c r="M1244" s="7">
        <f t="shared" si="210"/>
        <v>0</v>
      </c>
      <c r="N1244" s="7">
        <f t="shared" si="219"/>
        <v>0</v>
      </c>
      <c r="O1244" s="7">
        <f t="shared" si="218"/>
        <v>41000</v>
      </c>
      <c r="P1244" s="99">
        <f t="shared" si="211"/>
        <v>4.3262635855228449E-3</v>
      </c>
      <c r="Q1244" s="99">
        <f t="shared" si="220"/>
        <v>-6.0925690751688633E-3</v>
      </c>
      <c r="S1244" s="7">
        <f t="shared" si="212"/>
        <v>10469800</v>
      </c>
      <c r="T1244" s="7">
        <f t="shared" si="213"/>
        <v>3172666.6666666665</v>
      </c>
      <c r="U1244" s="7">
        <f t="shared" si="214"/>
        <v>9070000</v>
      </c>
      <c r="V1244" s="7">
        <f t="shared" si="215"/>
        <v>0</v>
      </c>
      <c r="W1244" s="7">
        <f t="shared" si="216"/>
        <v>0</v>
      </c>
      <c r="X1244" s="7">
        <f t="shared" si="217"/>
        <v>0</v>
      </c>
    </row>
    <row r="1245" spans="1:24">
      <c r="A1245">
        <v>1244</v>
      </c>
      <c r="B1245" s="96" t="s">
        <v>2359</v>
      </c>
      <c r="C1245" s="95">
        <v>41855</v>
      </c>
      <c r="D1245" s="82">
        <v>9515000</v>
      </c>
      <c r="E1245" s="82">
        <v>9512000</v>
      </c>
      <c r="F1245" s="82">
        <v>9535000</v>
      </c>
      <c r="G1245" s="82">
        <v>9515000</v>
      </c>
      <c r="I1245" s="97">
        <v>0</v>
      </c>
      <c r="J1245" s="97">
        <v>0</v>
      </c>
      <c r="K1245" s="97">
        <v>0</v>
      </c>
      <c r="M1245" s="7">
        <f t="shared" si="210"/>
        <v>0</v>
      </c>
      <c r="N1245" s="7">
        <f t="shared" si="219"/>
        <v>0</v>
      </c>
      <c r="O1245" s="7">
        <f t="shared" si="218"/>
        <v>-3000</v>
      </c>
      <c r="P1245" s="99">
        <f t="shared" si="211"/>
        <v>-3.1519226728304265E-4</v>
      </c>
      <c r="Q1245" s="99">
        <f t="shared" si="220"/>
        <v>-1.2419216406685677E-3</v>
      </c>
      <c r="S1245" s="7">
        <f t="shared" si="212"/>
        <v>10466500</v>
      </c>
      <c r="T1245" s="7">
        <f t="shared" si="213"/>
        <v>3171666.6666666665</v>
      </c>
      <c r="U1245" s="7">
        <f t="shared" si="214"/>
        <v>9050000</v>
      </c>
      <c r="V1245" s="7">
        <f t="shared" si="215"/>
        <v>0</v>
      </c>
      <c r="W1245" s="7">
        <f t="shared" si="216"/>
        <v>0</v>
      </c>
      <c r="X1245" s="7">
        <f t="shared" si="217"/>
        <v>0</v>
      </c>
    </row>
    <row r="1246" spans="1:24">
      <c r="A1246">
        <v>1245</v>
      </c>
      <c r="B1246" s="96" t="s">
        <v>2358</v>
      </c>
      <c r="C1246" s="95">
        <v>41856</v>
      </c>
      <c r="D1246" s="82">
        <v>9480000</v>
      </c>
      <c r="E1246" s="82">
        <v>9480000</v>
      </c>
      <c r="F1246" s="82">
        <v>9512000</v>
      </c>
      <c r="G1246" s="82">
        <v>9480000</v>
      </c>
      <c r="I1246" s="98">
        <v>0</v>
      </c>
      <c r="J1246" s="98">
        <v>0</v>
      </c>
      <c r="K1246" s="98">
        <v>0</v>
      </c>
      <c r="M1246" s="7">
        <f t="shared" si="210"/>
        <v>0</v>
      </c>
      <c r="N1246" s="7">
        <f t="shared" si="219"/>
        <v>0</v>
      </c>
      <c r="O1246" s="7">
        <f t="shared" si="218"/>
        <v>-35000</v>
      </c>
      <c r="P1246" s="99">
        <f t="shared" si="211"/>
        <v>-3.6784025223331584E-3</v>
      </c>
      <c r="Q1246" s="99">
        <f t="shared" si="220"/>
        <v>1.380976333391517E-3</v>
      </c>
      <c r="S1246" s="7">
        <f t="shared" si="212"/>
        <v>10428000</v>
      </c>
      <c r="T1246" s="7">
        <f t="shared" si="213"/>
        <v>3160000</v>
      </c>
      <c r="U1246" s="7">
        <f t="shared" si="214"/>
        <v>9070000</v>
      </c>
      <c r="V1246" s="7">
        <f t="shared" si="215"/>
        <v>0</v>
      </c>
      <c r="W1246" s="7">
        <f t="shared" si="216"/>
        <v>0</v>
      </c>
      <c r="X1246" s="7">
        <f t="shared" si="217"/>
        <v>0</v>
      </c>
    </row>
    <row r="1247" spans="1:24">
      <c r="A1247">
        <v>1246</v>
      </c>
      <c r="B1247" s="96" t="s">
        <v>2357</v>
      </c>
      <c r="C1247" s="95">
        <v>41857</v>
      </c>
      <c r="D1247" s="82">
        <v>9522000</v>
      </c>
      <c r="E1247" s="82">
        <v>9477000</v>
      </c>
      <c r="F1247" s="82">
        <v>9522000</v>
      </c>
      <c r="G1247" s="82">
        <v>9522000</v>
      </c>
      <c r="I1247" s="82">
        <f>G1247*1.1</f>
        <v>10474200</v>
      </c>
      <c r="J1247" s="82">
        <f>G1247/3</f>
        <v>3174000</v>
      </c>
      <c r="K1247" s="7">
        <f>G1515</f>
        <v>9030000</v>
      </c>
      <c r="L1247" s="7">
        <f>K1247-I1247</f>
        <v>-1444200</v>
      </c>
      <c r="M1247" s="7">
        <f t="shared" si="210"/>
        <v>396750</v>
      </c>
      <c r="N1247" s="7">
        <f t="shared" si="219"/>
        <v>-1047450</v>
      </c>
      <c r="O1247" s="7">
        <f t="shared" si="218"/>
        <v>42000</v>
      </c>
      <c r="P1247" s="99">
        <f t="shared" si="211"/>
        <v>4.4303797468354432E-3</v>
      </c>
      <c r="Q1247" s="99">
        <f t="shared" si="220"/>
        <v>-2.2974261889416414E-3</v>
      </c>
      <c r="R1247">
        <v>1</v>
      </c>
      <c r="S1247" s="7">
        <f t="shared" si="212"/>
        <v>10474200</v>
      </c>
      <c r="T1247" s="7">
        <f t="shared" si="213"/>
        <v>3174000</v>
      </c>
      <c r="U1247" s="7">
        <f t="shared" si="214"/>
        <v>9030000</v>
      </c>
      <c r="V1247" s="7">
        <f t="shared" si="215"/>
        <v>-1444200</v>
      </c>
      <c r="W1247" s="7">
        <f t="shared" si="216"/>
        <v>396750</v>
      </c>
      <c r="X1247" s="7">
        <f t="shared" si="217"/>
        <v>-1047450</v>
      </c>
    </row>
    <row r="1248" spans="1:24">
      <c r="A1248">
        <v>1247</v>
      </c>
      <c r="B1248" s="96" t="s">
        <v>2356</v>
      </c>
      <c r="C1248" s="95">
        <v>41858</v>
      </c>
      <c r="D1248" s="82">
        <v>9518000</v>
      </c>
      <c r="E1248" s="82">
        <v>9515000</v>
      </c>
      <c r="F1248" s="82">
        <v>9527000</v>
      </c>
      <c r="G1248" s="82">
        <v>9518000</v>
      </c>
      <c r="I1248" s="97">
        <v>0</v>
      </c>
      <c r="J1248" s="97">
        <v>0</v>
      </c>
      <c r="K1248" s="97">
        <v>0</v>
      </c>
      <c r="M1248" s="7">
        <f t="shared" si="210"/>
        <v>0</v>
      </c>
      <c r="N1248" s="7">
        <f t="shared" si="219"/>
        <v>0</v>
      </c>
      <c r="O1248" s="7">
        <f t="shared" si="218"/>
        <v>-4000</v>
      </c>
      <c r="P1248" s="99">
        <f t="shared" si="211"/>
        <v>-4.200798151648813E-4</v>
      </c>
      <c r="Q1248" s="99">
        <f t="shared" si="220"/>
        <v>1.8172305522107879E-3</v>
      </c>
      <c r="S1248" s="7">
        <f t="shared" si="212"/>
        <v>10469800</v>
      </c>
      <c r="T1248" s="7">
        <f t="shared" si="213"/>
        <v>3172666.6666666665</v>
      </c>
      <c r="U1248" s="7">
        <f t="shared" si="214"/>
        <v>9090000</v>
      </c>
      <c r="V1248" s="7">
        <f t="shared" si="215"/>
        <v>0</v>
      </c>
      <c r="W1248" s="7">
        <f t="shared" si="216"/>
        <v>0</v>
      </c>
      <c r="X1248" s="7">
        <f t="shared" si="217"/>
        <v>0</v>
      </c>
    </row>
    <row r="1249" spans="1:24">
      <c r="A1249">
        <v>1248</v>
      </c>
      <c r="B1249" s="96" t="s">
        <v>2355</v>
      </c>
      <c r="C1249" s="95">
        <v>41859</v>
      </c>
      <c r="D1249" s="82">
        <v>9518000</v>
      </c>
      <c r="E1249" s="82">
        <v>9515000</v>
      </c>
      <c r="F1249" s="82">
        <v>9527000</v>
      </c>
      <c r="G1249" s="82">
        <v>9518000</v>
      </c>
      <c r="I1249" s="97">
        <v>0</v>
      </c>
      <c r="J1249" s="97">
        <v>0</v>
      </c>
      <c r="K1249" s="97">
        <v>0</v>
      </c>
      <c r="M1249" s="7">
        <f t="shared" si="210"/>
        <v>0</v>
      </c>
      <c r="N1249" s="7">
        <f t="shared" si="219"/>
        <v>0</v>
      </c>
      <c r="O1249" s="7">
        <f t="shared" si="218"/>
        <v>0</v>
      </c>
      <c r="P1249" s="99">
        <f t="shared" si="211"/>
        <v>0</v>
      </c>
      <c r="Q1249" s="99">
        <f t="shared" si="220"/>
        <v>4.342968727577206E-3</v>
      </c>
      <c r="S1249" s="7">
        <f t="shared" si="212"/>
        <v>10469800</v>
      </c>
      <c r="T1249" s="7">
        <f t="shared" si="213"/>
        <v>3172666.6666666665</v>
      </c>
      <c r="U1249" s="7">
        <f t="shared" si="214"/>
        <v>9160000</v>
      </c>
      <c r="V1249" s="7">
        <f t="shared" si="215"/>
        <v>0</v>
      </c>
      <c r="W1249" s="7">
        <f t="shared" si="216"/>
        <v>0</v>
      </c>
      <c r="X1249" s="7">
        <f t="shared" si="217"/>
        <v>0</v>
      </c>
    </row>
    <row r="1250" spans="1:24">
      <c r="A1250">
        <v>1249</v>
      </c>
      <c r="B1250" s="96" t="s">
        <v>2354</v>
      </c>
      <c r="C1250" s="95">
        <v>41861</v>
      </c>
      <c r="D1250" s="82">
        <v>9546000</v>
      </c>
      <c r="E1250" s="82">
        <v>9546000</v>
      </c>
      <c r="F1250" s="82">
        <v>9580000</v>
      </c>
      <c r="G1250" s="82">
        <v>9546000</v>
      </c>
      <c r="I1250" s="97">
        <v>0</v>
      </c>
      <c r="J1250" s="97">
        <v>0</v>
      </c>
      <c r="K1250" s="97">
        <v>0</v>
      </c>
      <c r="M1250" s="7">
        <f t="shared" si="210"/>
        <v>0</v>
      </c>
      <c r="N1250" s="7">
        <f t="shared" si="219"/>
        <v>0</v>
      </c>
      <c r="O1250" s="7">
        <f t="shared" si="218"/>
        <v>28000</v>
      </c>
      <c r="P1250" s="99">
        <f t="shared" si="211"/>
        <v>2.9417944946417314E-3</v>
      </c>
      <c r="Q1250" s="99">
        <f t="shared" si="220"/>
        <v>1.6705142054360893E-5</v>
      </c>
      <c r="S1250" s="7">
        <f t="shared" si="212"/>
        <v>10500600</v>
      </c>
      <c r="T1250" s="7">
        <f t="shared" si="213"/>
        <v>3182000</v>
      </c>
      <c r="U1250" s="7">
        <f t="shared" si="214"/>
        <v>9105000</v>
      </c>
      <c r="V1250" s="7">
        <f t="shared" si="215"/>
        <v>0</v>
      </c>
      <c r="W1250" s="7">
        <f t="shared" si="216"/>
        <v>0</v>
      </c>
      <c r="X1250" s="7">
        <f t="shared" si="217"/>
        <v>0</v>
      </c>
    </row>
    <row r="1251" spans="1:24">
      <c r="A1251">
        <v>1250</v>
      </c>
      <c r="B1251" s="96" t="s">
        <v>2353</v>
      </c>
      <c r="C1251" s="95">
        <v>41862</v>
      </c>
      <c r="D1251" s="82">
        <v>9540000</v>
      </c>
      <c r="E1251" s="82">
        <v>9527000</v>
      </c>
      <c r="F1251" s="82">
        <v>9542000</v>
      </c>
      <c r="G1251" s="82">
        <v>9540000</v>
      </c>
      <c r="I1251" s="98">
        <v>0</v>
      </c>
      <c r="J1251" s="98">
        <v>0</v>
      </c>
      <c r="K1251" s="98">
        <v>0</v>
      </c>
      <c r="M1251" s="7">
        <f t="shared" si="210"/>
        <v>0</v>
      </c>
      <c r="N1251" s="7">
        <f t="shared" si="219"/>
        <v>0</v>
      </c>
      <c r="O1251" s="7">
        <f t="shared" si="218"/>
        <v>-6000</v>
      </c>
      <c r="P1251" s="99">
        <f t="shared" si="211"/>
        <v>-6.285355122564425E-4</v>
      </c>
      <c r="Q1251" s="99">
        <f t="shared" si="220"/>
        <v>3.2736919039791351E-3</v>
      </c>
      <c r="S1251" s="7">
        <f t="shared" si="212"/>
        <v>10494000</v>
      </c>
      <c r="T1251" s="7">
        <f t="shared" si="213"/>
        <v>3180000</v>
      </c>
      <c r="U1251" s="7">
        <f t="shared" si="214"/>
        <v>9070000</v>
      </c>
      <c r="V1251" s="7">
        <f t="shared" si="215"/>
        <v>0</v>
      </c>
      <c r="W1251" s="7">
        <f t="shared" si="216"/>
        <v>0</v>
      </c>
      <c r="X1251" s="7">
        <f t="shared" si="217"/>
        <v>0</v>
      </c>
    </row>
    <row r="1252" spans="1:24">
      <c r="A1252">
        <v>1251</v>
      </c>
      <c r="B1252" s="96" t="s">
        <v>2352</v>
      </c>
      <c r="C1252" s="95">
        <v>41863</v>
      </c>
      <c r="D1252" s="82">
        <v>9545000</v>
      </c>
      <c r="E1252" s="82">
        <v>9530000</v>
      </c>
      <c r="F1252" s="82">
        <v>9545000</v>
      </c>
      <c r="G1252" s="82">
        <v>9545000</v>
      </c>
      <c r="I1252" s="82">
        <f>G1252*1.1</f>
        <v>10499500</v>
      </c>
      <c r="J1252" s="82">
        <f>G1252/3</f>
        <v>3181666.6666666665</v>
      </c>
      <c r="K1252" s="7">
        <f>G1520</f>
        <v>9035000</v>
      </c>
      <c r="L1252" s="7">
        <f>K1252-I1252</f>
        <v>-1464500</v>
      </c>
      <c r="M1252" s="7">
        <f t="shared" si="210"/>
        <v>397708.33333333326</v>
      </c>
      <c r="N1252" s="7">
        <f t="shared" si="219"/>
        <v>-1066791.6666666667</v>
      </c>
      <c r="O1252" s="7">
        <f t="shared" si="218"/>
        <v>5000</v>
      </c>
      <c r="P1252" s="99">
        <f t="shared" si="211"/>
        <v>5.2410901467505244E-4</v>
      </c>
      <c r="Q1252" s="99">
        <f t="shared" si="220"/>
        <v>6.3235589140558509E-3</v>
      </c>
      <c r="R1252">
        <v>1</v>
      </c>
      <c r="S1252" s="7">
        <f t="shared" si="212"/>
        <v>10499500</v>
      </c>
      <c r="T1252" s="7">
        <f t="shared" si="213"/>
        <v>3181666.6666666665</v>
      </c>
      <c r="U1252" s="7">
        <f t="shared" si="214"/>
        <v>9035000</v>
      </c>
      <c r="V1252" s="7">
        <f t="shared" si="215"/>
        <v>-1464500</v>
      </c>
      <c r="W1252" s="7">
        <f t="shared" si="216"/>
        <v>397708.33333333326</v>
      </c>
      <c r="X1252" s="7">
        <f t="shared" si="217"/>
        <v>-1066791.6666666667</v>
      </c>
    </row>
    <row r="1253" spans="1:24">
      <c r="A1253">
        <v>1252</v>
      </c>
      <c r="B1253" s="96" t="s">
        <v>2351</v>
      </c>
      <c r="C1253" s="95">
        <v>41864</v>
      </c>
      <c r="D1253" s="82">
        <v>9539000</v>
      </c>
      <c r="E1253" s="82">
        <v>9523000</v>
      </c>
      <c r="F1253" s="82">
        <v>9540000</v>
      </c>
      <c r="G1253" s="82">
        <v>9539000</v>
      </c>
      <c r="I1253" s="97">
        <v>0</v>
      </c>
      <c r="J1253" s="97">
        <v>0</v>
      </c>
      <c r="K1253" s="97">
        <v>0</v>
      </c>
      <c r="M1253" s="7">
        <f t="shared" si="210"/>
        <v>0</v>
      </c>
      <c r="N1253" s="7">
        <f t="shared" si="219"/>
        <v>0</v>
      </c>
      <c r="O1253" s="7">
        <f t="shared" si="218"/>
        <v>-6000</v>
      </c>
      <c r="P1253" s="99">
        <f t="shared" si="211"/>
        <v>-6.2860136196961759E-4</v>
      </c>
      <c r="Q1253" s="99">
        <f t="shared" si="220"/>
        <v>2.4172881818954601E-3</v>
      </c>
      <c r="S1253" s="7">
        <f t="shared" si="212"/>
        <v>10492900</v>
      </c>
      <c r="T1253" s="7">
        <f t="shared" si="213"/>
        <v>3179666.6666666665</v>
      </c>
      <c r="U1253" s="7">
        <f t="shared" si="214"/>
        <v>9085000</v>
      </c>
      <c r="V1253" s="7">
        <f t="shared" si="215"/>
        <v>0</v>
      </c>
      <c r="W1253" s="7">
        <f t="shared" si="216"/>
        <v>0</v>
      </c>
      <c r="X1253" s="7">
        <f t="shared" si="217"/>
        <v>0</v>
      </c>
    </row>
    <row r="1254" spans="1:24">
      <c r="A1254">
        <v>1253</v>
      </c>
      <c r="B1254" s="96" t="s">
        <v>2350</v>
      </c>
      <c r="C1254" s="95">
        <v>41865</v>
      </c>
      <c r="D1254" s="82">
        <v>9547000</v>
      </c>
      <c r="E1254" s="82">
        <v>9547000</v>
      </c>
      <c r="F1254" s="82">
        <v>9547000</v>
      </c>
      <c r="G1254" s="82">
        <v>9547000</v>
      </c>
      <c r="I1254" s="97">
        <v>0</v>
      </c>
      <c r="J1254" s="97">
        <v>0</v>
      </c>
      <c r="K1254" s="97">
        <v>0</v>
      </c>
      <c r="M1254" s="7">
        <f t="shared" si="210"/>
        <v>0</v>
      </c>
      <c r="N1254" s="7">
        <f t="shared" si="219"/>
        <v>0</v>
      </c>
      <c r="O1254" s="7">
        <f t="shared" si="218"/>
        <v>8000</v>
      </c>
      <c r="P1254" s="99">
        <f t="shared" si="211"/>
        <v>8.3866233357794316E-4</v>
      </c>
      <c r="Q1254" s="99">
        <f t="shared" si="220"/>
        <v>2.208766635090724E-3</v>
      </c>
      <c r="S1254" s="7">
        <f t="shared" si="212"/>
        <v>10501700</v>
      </c>
      <c r="T1254" s="7">
        <f t="shared" si="213"/>
        <v>3182333.3333333335</v>
      </c>
      <c r="U1254" s="7">
        <f t="shared" si="214"/>
        <v>9090000</v>
      </c>
      <c r="V1254" s="7">
        <f t="shared" si="215"/>
        <v>0</v>
      </c>
      <c r="W1254" s="7">
        <f t="shared" si="216"/>
        <v>0</v>
      </c>
      <c r="X1254" s="7">
        <f t="shared" si="217"/>
        <v>0</v>
      </c>
    </row>
    <row r="1255" spans="1:24">
      <c r="A1255">
        <v>1254</v>
      </c>
      <c r="B1255" s="96" t="s">
        <v>2349</v>
      </c>
      <c r="C1255" s="95">
        <v>41867</v>
      </c>
      <c r="D1255" s="82">
        <v>9490000</v>
      </c>
      <c r="E1255" s="82">
        <v>9485000</v>
      </c>
      <c r="F1255" s="82">
        <v>9523000</v>
      </c>
      <c r="G1255" s="82">
        <v>9490000</v>
      </c>
      <c r="I1255" s="97">
        <v>0</v>
      </c>
      <c r="J1255" s="97">
        <v>0</v>
      </c>
      <c r="K1255" s="97">
        <v>0</v>
      </c>
      <c r="M1255" s="7">
        <f t="shared" si="210"/>
        <v>0</v>
      </c>
      <c r="N1255" s="7">
        <f t="shared" si="219"/>
        <v>0</v>
      </c>
      <c r="O1255" s="7">
        <f t="shared" si="218"/>
        <v>-57000</v>
      </c>
      <c r="P1255" s="99">
        <f t="shared" si="211"/>
        <v>-5.9704619252121081E-3</v>
      </c>
      <c r="Q1255" s="99">
        <f t="shared" si="220"/>
        <v>3.047428968668667E-3</v>
      </c>
      <c r="S1255" s="7">
        <f t="shared" si="212"/>
        <v>10439000</v>
      </c>
      <c r="T1255" s="7">
        <f t="shared" si="213"/>
        <v>3163333.3333333335</v>
      </c>
      <c r="U1255" s="7">
        <f t="shared" si="214"/>
        <v>9090000</v>
      </c>
      <c r="V1255" s="7">
        <f t="shared" si="215"/>
        <v>0</v>
      </c>
      <c r="W1255" s="7">
        <f t="shared" si="216"/>
        <v>0</v>
      </c>
      <c r="X1255" s="7">
        <f t="shared" si="217"/>
        <v>0</v>
      </c>
    </row>
    <row r="1256" spans="1:24">
      <c r="A1256">
        <v>1255</v>
      </c>
      <c r="B1256" s="96" t="s">
        <v>2348</v>
      </c>
      <c r="C1256" s="95">
        <v>41868</v>
      </c>
      <c r="D1256" s="82">
        <v>9472000</v>
      </c>
      <c r="E1256" s="82">
        <v>9472000</v>
      </c>
      <c r="F1256" s="82">
        <v>9487000</v>
      </c>
      <c r="G1256" s="82">
        <v>9472000</v>
      </c>
      <c r="I1256" s="98">
        <v>0</v>
      </c>
      <c r="J1256" s="98">
        <v>0</v>
      </c>
      <c r="K1256" s="98">
        <v>0</v>
      </c>
      <c r="M1256" s="7">
        <f t="shared" si="210"/>
        <v>0</v>
      </c>
      <c r="N1256" s="7">
        <f t="shared" si="219"/>
        <v>0</v>
      </c>
      <c r="O1256" s="7">
        <f t="shared" si="218"/>
        <v>-18000</v>
      </c>
      <c r="P1256" s="99">
        <f t="shared" si="211"/>
        <v>-1.8967334035827187E-3</v>
      </c>
      <c r="Q1256" s="99">
        <f t="shared" si="220"/>
        <v>-5.864827451185173E-3</v>
      </c>
      <c r="S1256" s="7">
        <f t="shared" si="212"/>
        <v>10419200</v>
      </c>
      <c r="T1256" s="7">
        <f t="shared" si="213"/>
        <v>3157333.3333333335</v>
      </c>
      <c r="U1256" s="7">
        <f t="shared" si="214"/>
        <v>9120000</v>
      </c>
      <c r="V1256" s="7">
        <f t="shared" si="215"/>
        <v>0</v>
      </c>
      <c r="W1256" s="7">
        <f t="shared" si="216"/>
        <v>0</v>
      </c>
      <c r="X1256" s="7">
        <f t="shared" si="217"/>
        <v>0</v>
      </c>
    </row>
    <row r="1257" spans="1:24">
      <c r="A1257">
        <v>1256</v>
      </c>
      <c r="B1257" s="96" t="s">
        <v>2347</v>
      </c>
      <c r="C1257" s="95">
        <v>41869</v>
      </c>
      <c r="D1257" s="82">
        <v>9447000</v>
      </c>
      <c r="E1257" s="82">
        <v>9444000</v>
      </c>
      <c r="F1257" s="82">
        <v>9468000</v>
      </c>
      <c r="G1257" s="82">
        <v>9447000</v>
      </c>
      <c r="I1257" s="82">
        <f>G1257*1.1</f>
        <v>10391700</v>
      </c>
      <c r="J1257" s="82">
        <f>G1257/3</f>
        <v>3149000</v>
      </c>
      <c r="K1257" s="7">
        <f>G1525</f>
        <v>9080000</v>
      </c>
      <c r="L1257" s="7">
        <f>K1257-I1257</f>
        <v>-1311700</v>
      </c>
      <c r="M1257" s="7">
        <f t="shared" si="210"/>
        <v>393625</v>
      </c>
      <c r="N1257" s="7">
        <f t="shared" si="219"/>
        <v>-918075</v>
      </c>
      <c r="O1257" s="7">
        <f t="shared" si="218"/>
        <v>-25000</v>
      </c>
      <c r="P1257" s="99">
        <f t="shared" si="211"/>
        <v>-2.639358108108108E-3</v>
      </c>
      <c r="Q1257" s="99">
        <f t="shared" si="220"/>
        <v>-7.1330253425114492E-3</v>
      </c>
      <c r="R1257">
        <v>1</v>
      </c>
      <c r="S1257" s="7">
        <f t="shared" si="212"/>
        <v>10391700</v>
      </c>
      <c r="T1257" s="7">
        <f t="shared" si="213"/>
        <v>3149000</v>
      </c>
      <c r="U1257" s="7">
        <f t="shared" si="214"/>
        <v>9080000</v>
      </c>
      <c r="V1257" s="7">
        <f t="shared" si="215"/>
        <v>-1311700</v>
      </c>
      <c r="W1257" s="7">
        <f t="shared" si="216"/>
        <v>393625</v>
      </c>
      <c r="X1257" s="7">
        <f t="shared" si="217"/>
        <v>-918075</v>
      </c>
    </row>
    <row r="1258" spans="1:24">
      <c r="A1258">
        <v>1257</v>
      </c>
      <c r="B1258" s="96" t="s">
        <v>2346</v>
      </c>
      <c r="C1258" s="95">
        <v>41870</v>
      </c>
      <c r="D1258" s="82">
        <v>9460000</v>
      </c>
      <c r="E1258" s="82">
        <v>9448000</v>
      </c>
      <c r="F1258" s="82">
        <v>9465000</v>
      </c>
      <c r="G1258" s="82">
        <v>9460000</v>
      </c>
      <c r="I1258" s="97">
        <v>0</v>
      </c>
      <c r="J1258" s="97">
        <v>0</v>
      </c>
      <c r="K1258" s="97">
        <v>0</v>
      </c>
      <c r="M1258" s="7">
        <f t="shared" si="210"/>
        <v>0</v>
      </c>
      <c r="N1258" s="7">
        <f t="shared" si="219"/>
        <v>0</v>
      </c>
      <c r="O1258" s="7">
        <f t="shared" si="218"/>
        <v>13000</v>
      </c>
      <c r="P1258" s="99">
        <f t="shared" si="211"/>
        <v>1.3760982322430402E-3</v>
      </c>
      <c r="Q1258" s="99">
        <f t="shared" si="220"/>
        <v>-1.0296492465294609E-2</v>
      </c>
      <c r="S1258" s="7">
        <f t="shared" si="212"/>
        <v>10406000</v>
      </c>
      <c r="T1258" s="7">
        <f t="shared" si="213"/>
        <v>3153333.3333333335</v>
      </c>
      <c r="U1258" s="7">
        <f t="shared" si="214"/>
        <v>9050000</v>
      </c>
      <c r="V1258" s="7">
        <f t="shared" si="215"/>
        <v>0</v>
      </c>
      <c r="W1258" s="7">
        <f t="shared" si="216"/>
        <v>0</v>
      </c>
      <c r="X1258" s="7">
        <f t="shared" si="217"/>
        <v>0</v>
      </c>
    </row>
    <row r="1259" spans="1:24">
      <c r="A1259">
        <v>1258</v>
      </c>
      <c r="B1259" s="96" t="s">
        <v>2345</v>
      </c>
      <c r="C1259" s="95">
        <v>41871</v>
      </c>
      <c r="D1259" s="82">
        <v>9425000</v>
      </c>
      <c r="E1259" s="82">
        <v>9420000</v>
      </c>
      <c r="F1259" s="82">
        <v>9450000</v>
      </c>
      <c r="G1259" s="82">
        <v>9425000</v>
      </c>
      <c r="I1259" s="97">
        <v>0</v>
      </c>
      <c r="J1259" s="97">
        <v>0</v>
      </c>
      <c r="K1259" s="97">
        <v>0</v>
      </c>
      <c r="M1259" s="7">
        <f t="shared" si="210"/>
        <v>0</v>
      </c>
      <c r="N1259" s="7">
        <f t="shared" si="219"/>
        <v>0</v>
      </c>
      <c r="O1259" s="7">
        <f t="shared" si="218"/>
        <v>-35000</v>
      </c>
      <c r="P1259" s="99">
        <f t="shared" si="211"/>
        <v>-3.6997885835095136E-3</v>
      </c>
      <c r="Q1259" s="99">
        <f t="shared" si="220"/>
        <v>-8.2917928710819523E-3</v>
      </c>
      <c r="S1259" s="7">
        <f t="shared" si="212"/>
        <v>10367500</v>
      </c>
      <c r="T1259" s="7">
        <f t="shared" si="213"/>
        <v>3141666.6666666665</v>
      </c>
      <c r="U1259" s="7">
        <f t="shared" si="214"/>
        <v>9021000</v>
      </c>
      <c r="V1259" s="7">
        <f t="shared" si="215"/>
        <v>0</v>
      </c>
      <c r="W1259" s="7">
        <f t="shared" si="216"/>
        <v>0</v>
      </c>
      <c r="X1259" s="7">
        <f t="shared" si="217"/>
        <v>0</v>
      </c>
    </row>
    <row r="1260" spans="1:24">
      <c r="A1260">
        <v>1259</v>
      </c>
      <c r="B1260" s="96" t="s">
        <v>2344</v>
      </c>
      <c r="C1260" s="95">
        <v>41872</v>
      </c>
      <c r="D1260" s="82">
        <v>9355000</v>
      </c>
      <c r="E1260" s="82">
        <v>9350000</v>
      </c>
      <c r="F1260" s="82">
        <v>9415000</v>
      </c>
      <c r="G1260" s="82">
        <v>9355000</v>
      </c>
      <c r="I1260" s="97">
        <v>0</v>
      </c>
      <c r="J1260" s="97">
        <v>0</v>
      </c>
      <c r="K1260" s="97">
        <v>0</v>
      </c>
      <c r="M1260" s="7">
        <f t="shared" si="210"/>
        <v>0</v>
      </c>
      <c r="N1260" s="7">
        <f t="shared" si="219"/>
        <v>0</v>
      </c>
      <c r="O1260" s="7">
        <f t="shared" si="218"/>
        <v>-70000</v>
      </c>
      <c r="P1260" s="99">
        <f t="shared" si="211"/>
        <v>-7.4270557029177718E-3</v>
      </c>
      <c r="Q1260" s="99">
        <f t="shared" si="220"/>
        <v>-1.283024378816941E-2</v>
      </c>
      <c r="S1260" s="7">
        <f t="shared" si="212"/>
        <v>10290500</v>
      </c>
      <c r="T1260" s="7">
        <f t="shared" si="213"/>
        <v>3118333.3333333335</v>
      </c>
      <c r="U1260" s="7">
        <f t="shared" si="214"/>
        <v>8970000</v>
      </c>
      <c r="V1260" s="7">
        <f t="shared" si="215"/>
        <v>0</v>
      </c>
      <c r="W1260" s="7">
        <f t="shared" si="216"/>
        <v>0</v>
      </c>
      <c r="X1260" s="7">
        <f t="shared" si="217"/>
        <v>0</v>
      </c>
    </row>
    <row r="1261" spans="1:24">
      <c r="A1261">
        <v>1260</v>
      </c>
      <c r="B1261" s="96" t="s">
        <v>2343</v>
      </c>
      <c r="C1261" s="95">
        <v>41874</v>
      </c>
      <c r="D1261" s="82">
        <v>9370000</v>
      </c>
      <c r="E1261" s="82">
        <v>9330000</v>
      </c>
      <c r="F1261" s="82">
        <v>9370000</v>
      </c>
      <c r="G1261" s="82">
        <v>9370000</v>
      </c>
      <c r="I1261" s="98">
        <v>0</v>
      </c>
      <c r="J1261" s="98">
        <v>0</v>
      </c>
      <c r="K1261" s="98">
        <v>0</v>
      </c>
      <c r="M1261" s="7">
        <f t="shared" si="210"/>
        <v>0</v>
      </c>
      <c r="N1261" s="7">
        <f t="shared" si="219"/>
        <v>0</v>
      </c>
      <c r="O1261" s="7">
        <f t="shared" si="218"/>
        <v>15000</v>
      </c>
      <c r="P1261" s="99">
        <f t="shared" si="211"/>
        <v>1.6034206306787815E-3</v>
      </c>
      <c r="Q1261" s="99">
        <f t="shared" si="220"/>
        <v>-1.4286837565875073E-2</v>
      </c>
      <c r="S1261" s="7">
        <f t="shared" si="212"/>
        <v>10307000</v>
      </c>
      <c r="T1261" s="7">
        <f t="shared" si="213"/>
        <v>3123333.3333333335</v>
      </c>
      <c r="U1261" s="7">
        <f t="shared" si="214"/>
        <v>8935000</v>
      </c>
      <c r="V1261" s="7">
        <f t="shared" si="215"/>
        <v>0</v>
      </c>
      <c r="W1261" s="7">
        <f t="shared" si="216"/>
        <v>0</v>
      </c>
      <c r="X1261" s="7">
        <f t="shared" si="217"/>
        <v>0</v>
      </c>
    </row>
    <row r="1262" spans="1:24">
      <c r="A1262">
        <v>1261</v>
      </c>
      <c r="B1262" s="96" t="s">
        <v>2342</v>
      </c>
      <c r="C1262" s="95">
        <v>41875</v>
      </c>
      <c r="D1262" s="82">
        <v>9415000</v>
      </c>
      <c r="E1262" s="82">
        <v>9385000</v>
      </c>
      <c r="F1262" s="82">
        <v>9445000</v>
      </c>
      <c r="G1262" s="82">
        <v>9415000</v>
      </c>
      <c r="I1262" s="82">
        <f>G1262*1.1</f>
        <v>10356500</v>
      </c>
      <c r="J1262" s="82">
        <f>G1262/3</f>
        <v>3138333.3333333335</v>
      </c>
      <c r="K1262" s="7">
        <f>G1530</f>
        <v>8870000</v>
      </c>
      <c r="L1262" s="7">
        <f>K1262-I1262</f>
        <v>-1486500</v>
      </c>
      <c r="M1262" s="7">
        <f t="shared" si="210"/>
        <v>392291.66666666674</v>
      </c>
      <c r="N1262" s="7">
        <f t="shared" si="219"/>
        <v>-1094208.3333333333</v>
      </c>
      <c r="O1262" s="7">
        <f t="shared" si="218"/>
        <v>45000</v>
      </c>
      <c r="P1262" s="99">
        <f t="shared" si="211"/>
        <v>4.8025613660618999E-3</v>
      </c>
      <c r="Q1262" s="99">
        <f t="shared" si="220"/>
        <v>-1.0786683531613571E-2</v>
      </c>
      <c r="R1262">
        <v>1</v>
      </c>
      <c r="S1262" s="7">
        <f t="shared" si="212"/>
        <v>10356500</v>
      </c>
      <c r="T1262" s="7">
        <f t="shared" si="213"/>
        <v>3138333.3333333335</v>
      </c>
      <c r="U1262" s="7">
        <f t="shared" si="214"/>
        <v>8870000</v>
      </c>
      <c r="V1262" s="7">
        <f t="shared" si="215"/>
        <v>-1486500</v>
      </c>
      <c r="W1262" s="7">
        <f t="shared" si="216"/>
        <v>392291.66666666674</v>
      </c>
      <c r="X1262" s="7">
        <f t="shared" si="217"/>
        <v>-1094208.3333333333</v>
      </c>
    </row>
    <row r="1263" spans="1:24">
      <c r="A1263">
        <v>1262</v>
      </c>
      <c r="B1263" s="96" t="s">
        <v>2341</v>
      </c>
      <c r="C1263" s="95">
        <v>41876</v>
      </c>
      <c r="D1263" s="82">
        <v>9420000</v>
      </c>
      <c r="E1263" s="82">
        <v>9380000</v>
      </c>
      <c r="F1263" s="82">
        <v>9425000</v>
      </c>
      <c r="G1263" s="82">
        <v>9420000</v>
      </c>
      <c r="I1263" s="97">
        <v>0</v>
      </c>
      <c r="J1263" s="97">
        <v>0</v>
      </c>
      <c r="K1263" s="97">
        <v>0</v>
      </c>
      <c r="M1263" s="7">
        <f t="shared" si="210"/>
        <v>0</v>
      </c>
      <c r="N1263" s="7">
        <f t="shared" si="219"/>
        <v>0</v>
      </c>
      <c r="O1263" s="7">
        <f t="shared" si="218"/>
        <v>5000</v>
      </c>
      <c r="P1263" s="99">
        <f t="shared" si="211"/>
        <v>5.3106744556558679E-4</v>
      </c>
      <c r="Q1263" s="99">
        <f t="shared" si="220"/>
        <v>-3.3447640574435639E-3</v>
      </c>
      <c r="S1263" s="7">
        <f t="shared" si="212"/>
        <v>10362000</v>
      </c>
      <c r="T1263" s="7">
        <f t="shared" si="213"/>
        <v>3140000</v>
      </c>
      <c r="U1263" s="7">
        <f t="shared" si="214"/>
        <v>8750000</v>
      </c>
      <c r="V1263" s="7">
        <f t="shared" si="215"/>
        <v>0</v>
      </c>
      <c r="W1263" s="7">
        <f t="shared" si="216"/>
        <v>0</v>
      </c>
      <c r="X1263" s="7">
        <f t="shared" si="217"/>
        <v>0</v>
      </c>
    </row>
    <row r="1264" spans="1:24">
      <c r="A1264">
        <v>1263</v>
      </c>
      <c r="B1264" s="96" t="s">
        <v>2340</v>
      </c>
      <c r="C1264" s="95">
        <v>41877</v>
      </c>
      <c r="D1264" s="82">
        <v>9440000</v>
      </c>
      <c r="E1264" s="82">
        <v>9430000</v>
      </c>
      <c r="F1264" s="82">
        <v>9470000</v>
      </c>
      <c r="G1264" s="82">
        <v>9440000</v>
      </c>
      <c r="I1264" s="97">
        <v>0</v>
      </c>
      <c r="J1264" s="97">
        <v>0</v>
      </c>
      <c r="K1264" s="97">
        <v>0</v>
      </c>
      <c r="M1264" s="7">
        <f t="shared" si="210"/>
        <v>0</v>
      </c>
      <c r="N1264" s="7">
        <f t="shared" si="219"/>
        <v>0</v>
      </c>
      <c r="O1264" s="7">
        <f t="shared" si="218"/>
        <v>20000</v>
      </c>
      <c r="P1264" s="99">
        <f t="shared" si="211"/>
        <v>2.1231422505307855E-3</v>
      </c>
      <c r="Q1264" s="99">
        <f t="shared" si="220"/>
        <v>-4.1897948441210172E-3</v>
      </c>
      <c r="S1264" s="7">
        <f t="shared" si="212"/>
        <v>10384000</v>
      </c>
      <c r="T1264" s="7">
        <f t="shared" si="213"/>
        <v>3146666.6666666665</v>
      </c>
      <c r="U1264" s="7">
        <f t="shared" si="214"/>
        <v>8735000</v>
      </c>
      <c r="V1264" s="7">
        <f t="shared" si="215"/>
        <v>0</v>
      </c>
      <c r="W1264" s="7">
        <f t="shared" si="216"/>
        <v>0</v>
      </c>
      <c r="X1264" s="7">
        <f t="shared" si="217"/>
        <v>0</v>
      </c>
    </row>
    <row r="1265" spans="1:24">
      <c r="A1265">
        <v>1264</v>
      </c>
      <c r="B1265" s="96" t="s">
        <v>2339</v>
      </c>
      <c r="C1265" s="95">
        <v>41878</v>
      </c>
      <c r="D1265" s="82">
        <v>9435000</v>
      </c>
      <c r="E1265" s="82">
        <v>9430000</v>
      </c>
      <c r="F1265" s="82">
        <v>9445000</v>
      </c>
      <c r="G1265" s="82">
        <v>9435000</v>
      </c>
      <c r="I1265" s="97">
        <v>0</v>
      </c>
      <c r="J1265" s="97">
        <v>0</v>
      </c>
      <c r="K1265" s="97">
        <v>0</v>
      </c>
      <c r="M1265" s="7">
        <f t="shared" si="210"/>
        <v>0</v>
      </c>
      <c r="N1265" s="7">
        <f t="shared" si="219"/>
        <v>0</v>
      </c>
      <c r="O1265" s="7">
        <f t="shared" si="218"/>
        <v>-5000</v>
      </c>
      <c r="P1265" s="99">
        <f t="shared" si="211"/>
        <v>-5.2966101694915254E-4</v>
      </c>
      <c r="Q1265" s="99">
        <f t="shared" si="220"/>
        <v>1.6331359899192815E-3</v>
      </c>
      <c r="S1265" s="7">
        <f t="shared" si="212"/>
        <v>10378500</v>
      </c>
      <c r="T1265" s="7">
        <f t="shared" si="213"/>
        <v>3145000</v>
      </c>
      <c r="U1265" s="7">
        <f t="shared" si="214"/>
        <v>8755000</v>
      </c>
      <c r="V1265" s="7">
        <f t="shared" si="215"/>
        <v>0</v>
      </c>
      <c r="W1265" s="7">
        <f t="shared" si="216"/>
        <v>0</v>
      </c>
      <c r="X1265" s="7">
        <f t="shared" si="217"/>
        <v>0</v>
      </c>
    </row>
    <row r="1266" spans="1:24">
      <c r="A1266">
        <v>1265</v>
      </c>
      <c r="B1266" s="96" t="s">
        <v>2338</v>
      </c>
      <c r="C1266" s="95">
        <v>41879</v>
      </c>
      <c r="D1266" s="82">
        <v>9485000</v>
      </c>
      <c r="E1266" s="82">
        <v>9440000</v>
      </c>
      <c r="F1266" s="82">
        <v>9485000</v>
      </c>
      <c r="G1266" s="82">
        <v>9485000</v>
      </c>
      <c r="I1266" s="98">
        <v>0</v>
      </c>
      <c r="J1266" s="98">
        <v>0</v>
      </c>
      <c r="K1266" s="98">
        <v>0</v>
      </c>
      <c r="M1266" s="7">
        <f t="shared" si="210"/>
        <v>0</v>
      </c>
      <c r="N1266" s="7">
        <f t="shared" si="219"/>
        <v>0</v>
      </c>
      <c r="O1266" s="7">
        <f t="shared" si="218"/>
        <v>50000</v>
      </c>
      <c r="P1266" s="99">
        <f t="shared" si="211"/>
        <v>5.2994170641229464E-3</v>
      </c>
      <c r="Q1266" s="99">
        <f t="shared" si="220"/>
        <v>8.5305306758879009E-3</v>
      </c>
      <c r="S1266" s="7">
        <f t="shared" si="212"/>
        <v>10433500</v>
      </c>
      <c r="T1266" s="7">
        <f t="shared" si="213"/>
        <v>3161666.6666666665</v>
      </c>
      <c r="U1266" s="7">
        <f t="shared" si="214"/>
        <v>8640000</v>
      </c>
      <c r="V1266" s="7">
        <f t="shared" si="215"/>
        <v>0</v>
      </c>
      <c r="W1266" s="7">
        <f t="shared" si="216"/>
        <v>0</v>
      </c>
      <c r="X1266" s="7">
        <f t="shared" si="217"/>
        <v>0</v>
      </c>
    </row>
    <row r="1267" spans="1:24">
      <c r="A1267">
        <v>1266</v>
      </c>
      <c r="B1267" s="96" t="s">
        <v>2337</v>
      </c>
      <c r="C1267" s="95">
        <v>41881</v>
      </c>
      <c r="D1267" s="82">
        <v>9505000</v>
      </c>
      <c r="E1267" s="82">
        <v>9490000</v>
      </c>
      <c r="F1267" s="82">
        <v>9510000</v>
      </c>
      <c r="G1267" s="82">
        <v>9505000</v>
      </c>
      <c r="I1267" s="82">
        <f>G1267*1.1</f>
        <v>10455500</v>
      </c>
      <c r="J1267" s="82">
        <f>G1267/3</f>
        <v>3168333.3333333335</v>
      </c>
      <c r="K1267" s="7">
        <f>G1535</f>
        <v>8855000</v>
      </c>
      <c r="L1267" s="7">
        <f>K1267-I1267</f>
        <v>-1600500</v>
      </c>
      <c r="M1267" s="7">
        <f t="shared" si="210"/>
        <v>396041.66666666674</v>
      </c>
      <c r="N1267" s="7">
        <f t="shared" si="219"/>
        <v>-1204458.3333333333</v>
      </c>
      <c r="O1267" s="7">
        <f t="shared" si="218"/>
        <v>20000</v>
      </c>
      <c r="P1267" s="99">
        <f t="shared" si="211"/>
        <v>2.1085925144965737E-3</v>
      </c>
      <c r="Q1267" s="99">
        <f t="shared" si="220"/>
        <v>1.2226527109332065E-2</v>
      </c>
      <c r="R1267">
        <v>1</v>
      </c>
      <c r="S1267" s="7">
        <f t="shared" si="212"/>
        <v>10455500</v>
      </c>
      <c r="T1267" s="7">
        <f t="shared" si="213"/>
        <v>3168333.3333333335</v>
      </c>
      <c r="U1267" s="7">
        <f t="shared" si="214"/>
        <v>8855000</v>
      </c>
      <c r="V1267" s="7">
        <f t="shared" si="215"/>
        <v>-1600500</v>
      </c>
      <c r="W1267" s="7">
        <f t="shared" si="216"/>
        <v>396041.66666666674</v>
      </c>
      <c r="X1267" s="7">
        <f t="shared" si="217"/>
        <v>-1204458.3333333333</v>
      </c>
    </row>
    <row r="1268" spans="1:24">
      <c r="A1268">
        <v>1267</v>
      </c>
      <c r="B1268" s="96" t="s">
        <v>2336</v>
      </c>
      <c r="C1268" s="95">
        <v>41882</v>
      </c>
      <c r="D1268" s="82">
        <v>9490000</v>
      </c>
      <c r="E1268" s="82">
        <v>9490000</v>
      </c>
      <c r="F1268" s="82">
        <v>9520000</v>
      </c>
      <c r="G1268" s="82">
        <v>9490000</v>
      </c>
      <c r="I1268" s="97">
        <v>0</v>
      </c>
      <c r="J1268" s="97">
        <v>0</v>
      </c>
      <c r="K1268" s="97">
        <v>0</v>
      </c>
      <c r="M1268" s="7">
        <f t="shared" si="210"/>
        <v>0</v>
      </c>
      <c r="N1268" s="7">
        <f t="shared" si="219"/>
        <v>0</v>
      </c>
      <c r="O1268" s="7">
        <f t="shared" si="218"/>
        <v>-15000</v>
      </c>
      <c r="P1268" s="99">
        <f t="shared" si="211"/>
        <v>-1.5781167806417674E-3</v>
      </c>
      <c r="Q1268" s="99">
        <f t="shared" si="220"/>
        <v>9.5325582577667402E-3</v>
      </c>
      <c r="S1268" s="7">
        <f t="shared" si="212"/>
        <v>10439000</v>
      </c>
      <c r="T1268" s="7">
        <f t="shared" si="213"/>
        <v>3163333.3333333335</v>
      </c>
      <c r="U1268" s="7">
        <f t="shared" si="214"/>
        <v>8655000</v>
      </c>
      <c r="V1268" s="7">
        <f t="shared" si="215"/>
        <v>0</v>
      </c>
      <c r="W1268" s="7">
        <f t="shared" si="216"/>
        <v>0</v>
      </c>
      <c r="X1268" s="7">
        <f t="shared" si="217"/>
        <v>0</v>
      </c>
    </row>
    <row r="1269" spans="1:24">
      <c r="A1269">
        <v>1268</v>
      </c>
      <c r="B1269" s="96" t="s">
        <v>2335</v>
      </c>
      <c r="C1269" s="95">
        <v>41883</v>
      </c>
      <c r="D1269" s="82">
        <v>9495000</v>
      </c>
      <c r="E1269" s="82">
        <v>9485000</v>
      </c>
      <c r="F1269" s="82">
        <v>9495000</v>
      </c>
      <c r="G1269" s="82">
        <v>9495000</v>
      </c>
      <c r="I1269" s="97">
        <v>0</v>
      </c>
      <c r="J1269" s="97">
        <v>0</v>
      </c>
      <c r="K1269" s="97">
        <v>0</v>
      </c>
      <c r="M1269" s="7">
        <f t="shared" si="210"/>
        <v>0</v>
      </c>
      <c r="N1269" s="7">
        <f t="shared" si="219"/>
        <v>0</v>
      </c>
      <c r="O1269" s="7">
        <f t="shared" si="218"/>
        <v>5000</v>
      </c>
      <c r="P1269" s="99">
        <f t="shared" si="211"/>
        <v>5.2687038988408848E-4</v>
      </c>
      <c r="Q1269" s="99">
        <f t="shared" si="220"/>
        <v>7.4233740315593853E-3</v>
      </c>
      <c r="S1269" s="7">
        <f t="shared" si="212"/>
        <v>10444500</v>
      </c>
      <c r="T1269" s="7">
        <f t="shared" si="213"/>
        <v>3165000</v>
      </c>
      <c r="U1269" s="7">
        <f t="shared" si="214"/>
        <v>8755000</v>
      </c>
      <c r="V1269" s="7">
        <f t="shared" si="215"/>
        <v>0</v>
      </c>
      <c r="W1269" s="7">
        <f t="shared" si="216"/>
        <v>0</v>
      </c>
      <c r="X1269" s="7">
        <f t="shared" si="217"/>
        <v>0</v>
      </c>
    </row>
    <row r="1270" spans="1:24">
      <c r="A1270">
        <v>1269</v>
      </c>
      <c r="B1270" s="96" t="s">
        <v>2334</v>
      </c>
      <c r="C1270" s="95">
        <v>41884</v>
      </c>
      <c r="D1270" s="82">
        <v>9460000</v>
      </c>
      <c r="E1270" s="82">
        <v>9460000</v>
      </c>
      <c r="F1270" s="82">
        <v>9490000</v>
      </c>
      <c r="G1270" s="82">
        <v>9460000</v>
      </c>
      <c r="I1270" s="97">
        <v>0</v>
      </c>
      <c r="J1270" s="97">
        <v>0</v>
      </c>
      <c r="K1270" s="97">
        <v>0</v>
      </c>
      <c r="M1270" s="7">
        <f t="shared" si="210"/>
        <v>0</v>
      </c>
      <c r="N1270" s="7">
        <f t="shared" si="219"/>
        <v>0</v>
      </c>
      <c r="O1270" s="7">
        <f t="shared" si="218"/>
        <v>-35000</v>
      </c>
      <c r="P1270" s="99">
        <f t="shared" si="211"/>
        <v>-3.686150605581885E-3</v>
      </c>
      <c r="Q1270" s="99">
        <f t="shared" si="220"/>
        <v>5.8271021709126883E-3</v>
      </c>
      <c r="S1270" s="7">
        <f t="shared" si="212"/>
        <v>10406000</v>
      </c>
      <c r="T1270" s="7">
        <f t="shared" si="213"/>
        <v>3153333.3333333335</v>
      </c>
      <c r="U1270" s="7">
        <f t="shared" si="214"/>
        <v>8915000</v>
      </c>
      <c r="V1270" s="7">
        <f t="shared" si="215"/>
        <v>0</v>
      </c>
      <c r="W1270" s="7">
        <f t="shared" si="216"/>
        <v>0</v>
      </c>
      <c r="X1270" s="7">
        <f t="shared" si="217"/>
        <v>0</v>
      </c>
    </row>
    <row r="1271" spans="1:24">
      <c r="A1271">
        <v>1270</v>
      </c>
      <c r="B1271" s="96" t="s">
        <v>2333</v>
      </c>
      <c r="C1271" s="95">
        <v>41885</v>
      </c>
      <c r="D1271" s="82">
        <v>9465000</v>
      </c>
      <c r="E1271" s="82">
        <v>9460000</v>
      </c>
      <c r="F1271" s="82">
        <v>9480000</v>
      </c>
      <c r="G1271" s="82">
        <v>9465000</v>
      </c>
      <c r="I1271" s="98">
        <v>0</v>
      </c>
      <c r="J1271" s="98">
        <v>0</v>
      </c>
      <c r="K1271" s="98">
        <v>0</v>
      </c>
      <c r="M1271" s="7">
        <f t="shared" si="210"/>
        <v>0</v>
      </c>
      <c r="N1271" s="7">
        <f t="shared" si="219"/>
        <v>0</v>
      </c>
      <c r="O1271" s="7">
        <f t="shared" si="218"/>
        <v>5000</v>
      </c>
      <c r="P1271" s="99">
        <f t="shared" si="211"/>
        <v>5.2854122621564484E-4</v>
      </c>
      <c r="Q1271" s="99">
        <f t="shared" si="220"/>
        <v>2.6706125822799562E-3</v>
      </c>
      <c r="S1271" s="7">
        <f t="shared" si="212"/>
        <v>10411500</v>
      </c>
      <c r="T1271" s="7">
        <f t="shared" si="213"/>
        <v>3155000</v>
      </c>
      <c r="U1271" s="7">
        <f t="shared" si="214"/>
        <v>8880000</v>
      </c>
      <c r="V1271" s="7">
        <f t="shared" si="215"/>
        <v>0</v>
      </c>
      <c r="W1271" s="7">
        <f t="shared" si="216"/>
        <v>0</v>
      </c>
      <c r="X1271" s="7">
        <f t="shared" si="217"/>
        <v>0</v>
      </c>
    </row>
    <row r="1272" spans="1:24">
      <c r="A1272">
        <v>1271</v>
      </c>
      <c r="B1272" s="96" t="s">
        <v>2332</v>
      </c>
      <c r="C1272" s="95">
        <v>41886</v>
      </c>
      <c r="D1272" s="82">
        <v>9470000</v>
      </c>
      <c r="E1272" s="82">
        <v>9460000</v>
      </c>
      <c r="F1272" s="82">
        <v>9470000</v>
      </c>
      <c r="G1272" s="82">
        <v>9470000</v>
      </c>
      <c r="I1272" s="82">
        <f>G1272*1.1</f>
        <v>10417000</v>
      </c>
      <c r="J1272" s="82">
        <f>G1272/3</f>
        <v>3156666.6666666665</v>
      </c>
      <c r="K1272" s="7">
        <f>G1540</f>
        <v>8750000</v>
      </c>
      <c r="L1272" s="7">
        <f>K1272-I1272</f>
        <v>-1667000</v>
      </c>
      <c r="M1272" s="7">
        <f t="shared" si="210"/>
        <v>394583.33333333326</v>
      </c>
      <c r="N1272" s="7">
        <f t="shared" si="219"/>
        <v>-1272416.6666666667</v>
      </c>
      <c r="O1272" s="7">
        <f t="shared" si="218"/>
        <v>5000</v>
      </c>
      <c r="P1272" s="99">
        <f t="shared" si="211"/>
        <v>5.2826201796090863E-4</v>
      </c>
      <c r="Q1272" s="99">
        <f t="shared" si="220"/>
        <v>-2.1002632556273455E-3</v>
      </c>
      <c r="R1272">
        <v>1</v>
      </c>
      <c r="S1272" s="7">
        <f t="shared" si="212"/>
        <v>10417000</v>
      </c>
      <c r="T1272" s="7">
        <f t="shared" si="213"/>
        <v>3156666.6666666665</v>
      </c>
      <c r="U1272" s="7">
        <f t="shared" si="214"/>
        <v>8750000</v>
      </c>
      <c r="V1272" s="7">
        <f t="shared" si="215"/>
        <v>-1667000</v>
      </c>
      <c r="W1272" s="7">
        <f t="shared" si="216"/>
        <v>394583.33333333326</v>
      </c>
      <c r="X1272" s="7">
        <f t="shared" si="217"/>
        <v>-1272416.6666666667</v>
      </c>
    </row>
    <row r="1273" spans="1:24">
      <c r="A1273">
        <v>1272</v>
      </c>
      <c r="B1273" s="96" t="s">
        <v>2331</v>
      </c>
      <c r="C1273" s="95">
        <v>41888</v>
      </c>
      <c r="D1273" s="82">
        <v>9425000</v>
      </c>
      <c r="E1273" s="82">
        <v>9425000</v>
      </c>
      <c r="F1273" s="82">
        <v>9470000</v>
      </c>
      <c r="G1273" s="82">
        <v>9425000</v>
      </c>
      <c r="I1273" s="97">
        <v>0</v>
      </c>
      <c r="J1273" s="97">
        <v>0</v>
      </c>
      <c r="K1273" s="97">
        <v>0</v>
      </c>
      <c r="M1273" s="7">
        <f t="shared" si="210"/>
        <v>0</v>
      </c>
      <c r="N1273" s="7">
        <f t="shared" si="219"/>
        <v>0</v>
      </c>
      <c r="O1273" s="7">
        <f t="shared" si="218"/>
        <v>-45000</v>
      </c>
      <c r="P1273" s="99">
        <f t="shared" si="211"/>
        <v>-4.7518479408658922E-3</v>
      </c>
      <c r="Q1273" s="99">
        <f t="shared" si="220"/>
        <v>-3.6805937521630109E-3</v>
      </c>
      <c r="S1273" s="7">
        <f t="shared" si="212"/>
        <v>10367500</v>
      </c>
      <c r="T1273" s="7">
        <f t="shared" si="213"/>
        <v>3141666.6666666665</v>
      </c>
      <c r="U1273" s="7">
        <f t="shared" si="214"/>
        <v>8560000</v>
      </c>
      <c r="V1273" s="7">
        <f t="shared" si="215"/>
        <v>0</v>
      </c>
      <c r="W1273" s="7">
        <f t="shared" si="216"/>
        <v>0</v>
      </c>
      <c r="X1273" s="7">
        <f t="shared" si="217"/>
        <v>0</v>
      </c>
    </row>
    <row r="1274" spans="1:24">
      <c r="A1274">
        <v>1273</v>
      </c>
      <c r="B1274" s="96" t="s">
        <v>2330</v>
      </c>
      <c r="C1274" s="95">
        <v>41889</v>
      </c>
      <c r="D1274" s="82">
        <v>9441000</v>
      </c>
      <c r="E1274" s="82">
        <v>9420000</v>
      </c>
      <c r="F1274" s="82">
        <v>9445000</v>
      </c>
      <c r="G1274" s="82">
        <v>9441000</v>
      </c>
      <c r="I1274" s="97">
        <v>0</v>
      </c>
      <c r="J1274" s="97">
        <v>0</v>
      </c>
      <c r="K1274" s="97">
        <v>0</v>
      </c>
      <c r="M1274" s="7">
        <f t="shared" si="210"/>
        <v>0</v>
      </c>
      <c r="N1274" s="7">
        <f t="shared" si="219"/>
        <v>0</v>
      </c>
      <c r="O1274" s="7">
        <f t="shared" si="218"/>
        <v>16000</v>
      </c>
      <c r="P1274" s="99">
        <f t="shared" si="211"/>
        <v>1.6976127320954908E-3</v>
      </c>
      <c r="Q1274" s="99">
        <f t="shared" si="220"/>
        <v>-6.8543249123871348E-3</v>
      </c>
      <c r="S1274" s="7">
        <f t="shared" si="212"/>
        <v>10385100</v>
      </c>
      <c r="T1274" s="7">
        <f t="shared" si="213"/>
        <v>3147000</v>
      </c>
      <c r="U1274" s="7">
        <f t="shared" si="214"/>
        <v>8675000</v>
      </c>
      <c r="V1274" s="7">
        <f t="shared" si="215"/>
        <v>0</v>
      </c>
      <c r="W1274" s="7">
        <f t="shared" si="216"/>
        <v>0</v>
      </c>
      <c r="X1274" s="7">
        <f t="shared" si="217"/>
        <v>0</v>
      </c>
    </row>
    <row r="1275" spans="1:24">
      <c r="A1275">
        <v>1274</v>
      </c>
      <c r="B1275" s="96" t="s">
        <v>2329</v>
      </c>
      <c r="C1275" s="95">
        <v>41890</v>
      </c>
      <c r="D1275" s="82">
        <v>9438000</v>
      </c>
      <c r="E1275" s="82">
        <v>9438000</v>
      </c>
      <c r="F1275" s="82">
        <v>9447000</v>
      </c>
      <c r="G1275" s="82">
        <v>9438000</v>
      </c>
      <c r="I1275" s="97">
        <v>0</v>
      </c>
      <c r="J1275" s="97">
        <v>0</v>
      </c>
      <c r="K1275" s="97">
        <v>0</v>
      </c>
      <c r="M1275" s="7">
        <f t="shared" si="210"/>
        <v>0</v>
      </c>
      <c r="N1275" s="7">
        <f t="shared" si="219"/>
        <v>0</v>
      </c>
      <c r="O1275" s="7">
        <f t="shared" si="218"/>
        <v>-3000</v>
      </c>
      <c r="P1275" s="99">
        <f t="shared" si="211"/>
        <v>-3.1776294884016526E-4</v>
      </c>
      <c r="Q1275" s="99">
        <f t="shared" si="220"/>
        <v>-5.6835825701757325E-3</v>
      </c>
      <c r="S1275" s="7">
        <f t="shared" si="212"/>
        <v>10381800</v>
      </c>
      <c r="T1275" s="7">
        <f t="shared" si="213"/>
        <v>3146000</v>
      </c>
      <c r="U1275" s="7">
        <f t="shared" si="214"/>
        <v>8645000</v>
      </c>
      <c r="V1275" s="7">
        <f t="shared" si="215"/>
        <v>0</v>
      </c>
      <c r="W1275" s="7">
        <f t="shared" si="216"/>
        <v>0</v>
      </c>
      <c r="X1275" s="7">
        <f t="shared" si="217"/>
        <v>0</v>
      </c>
    </row>
    <row r="1276" spans="1:24">
      <c r="A1276">
        <v>1275</v>
      </c>
      <c r="B1276" s="96" t="s">
        <v>2328</v>
      </c>
      <c r="C1276" s="95">
        <v>41891</v>
      </c>
      <c r="D1276" s="82">
        <v>9412000</v>
      </c>
      <c r="E1276" s="82">
        <v>9410000</v>
      </c>
      <c r="F1276" s="82">
        <v>9439000</v>
      </c>
      <c r="G1276" s="82">
        <v>9412000</v>
      </c>
      <c r="I1276" s="98">
        <v>0</v>
      </c>
      <c r="J1276" s="98">
        <v>0</v>
      </c>
      <c r="K1276" s="98">
        <v>0</v>
      </c>
      <c r="M1276" s="7">
        <f t="shared" si="210"/>
        <v>0</v>
      </c>
      <c r="N1276" s="7">
        <f t="shared" si="219"/>
        <v>0</v>
      </c>
      <c r="O1276" s="7">
        <f t="shared" si="218"/>
        <v>-26000</v>
      </c>
      <c r="P1276" s="99">
        <f t="shared" si="211"/>
        <v>-2.7548209366391185E-3</v>
      </c>
      <c r="Q1276" s="99">
        <f t="shared" si="220"/>
        <v>-2.3151949134340133E-3</v>
      </c>
      <c r="S1276" s="7">
        <f t="shared" si="212"/>
        <v>10353200</v>
      </c>
      <c r="T1276" s="7">
        <f t="shared" si="213"/>
        <v>3137333.3333333335</v>
      </c>
      <c r="U1276" s="7">
        <f t="shared" si="214"/>
        <v>8610000</v>
      </c>
      <c r="V1276" s="7">
        <f t="shared" si="215"/>
        <v>0</v>
      </c>
      <c r="W1276" s="7">
        <f t="shared" si="216"/>
        <v>0</v>
      </c>
      <c r="X1276" s="7">
        <f t="shared" si="217"/>
        <v>0</v>
      </c>
    </row>
    <row r="1277" spans="1:24">
      <c r="A1277">
        <v>1276</v>
      </c>
      <c r="B1277" s="96" t="s">
        <v>2327</v>
      </c>
      <c r="C1277" s="95">
        <v>41892</v>
      </c>
      <c r="D1277" s="82">
        <v>9403000</v>
      </c>
      <c r="E1277" s="82">
        <v>9400000</v>
      </c>
      <c r="F1277" s="82">
        <v>9411000</v>
      </c>
      <c r="G1277" s="82">
        <v>9403000</v>
      </c>
      <c r="I1277" s="82">
        <f>G1277*1.1</f>
        <v>10343300</v>
      </c>
      <c r="J1277" s="82">
        <f>G1277/3</f>
        <v>3134333.3333333335</v>
      </c>
      <c r="K1277" s="7">
        <f>G1545</f>
        <v>8735000</v>
      </c>
      <c r="L1277" s="7">
        <f>K1277-I1277</f>
        <v>-1608300</v>
      </c>
      <c r="M1277" s="7">
        <f t="shared" si="210"/>
        <v>391791.66666666674</v>
      </c>
      <c r="N1277" s="7">
        <f t="shared" si="219"/>
        <v>-1216508.3333333333</v>
      </c>
      <c r="O1277" s="7">
        <f t="shared" si="218"/>
        <v>-9000</v>
      </c>
      <c r="P1277" s="99">
        <f t="shared" si="211"/>
        <v>-9.5622609434764126E-4</v>
      </c>
      <c r="Q1277" s="99">
        <f t="shared" si="220"/>
        <v>-5.5985570762887762E-3</v>
      </c>
      <c r="R1277">
        <v>1</v>
      </c>
      <c r="S1277" s="7">
        <f t="shared" si="212"/>
        <v>10343300</v>
      </c>
      <c r="T1277" s="7">
        <f t="shared" si="213"/>
        <v>3134333.3333333335</v>
      </c>
      <c r="U1277" s="7">
        <f t="shared" si="214"/>
        <v>8735000</v>
      </c>
      <c r="V1277" s="7">
        <f t="shared" si="215"/>
        <v>-1608300</v>
      </c>
      <c r="W1277" s="7">
        <f t="shared" si="216"/>
        <v>391791.66666666674</v>
      </c>
      <c r="X1277" s="7">
        <f t="shared" si="217"/>
        <v>-1216508.3333333333</v>
      </c>
    </row>
    <row r="1278" spans="1:24">
      <c r="A1278">
        <v>1277</v>
      </c>
      <c r="B1278" s="96" t="s">
        <v>2326</v>
      </c>
      <c r="C1278" s="95">
        <v>41893</v>
      </c>
      <c r="D1278" s="82">
        <v>9390000</v>
      </c>
      <c r="E1278" s="82">
        <v>9390000</v>
      </c>
      <c r="F1278" s="82">
        <v>9405000</v>
      </c>
      <c r="G1278" s="82">
        <v>9390000</v>
      </c>
      <c r="I1278" s="97">
        <v>0</v>
      </c>
      <c r="J1278" s="97">
        <v>0</v>
      </c>
      <c r="K1278" s="97">
        <v>0</v>
      </c>
      <c r="M1278" s="7">
        <f t="shared" si="210"/>
        <v>0</v>
      </c>
      <c r="N1278" s="7">
        <f t="shared" si="219"/>
        <v>0</v>
      </c>
      <c r="O1278" s="7">
        <f t="shared" si="218"/>
        <v>-13000</v>
      </c>
      <c r="P1278" s="99">
        <f t="shared" si="211"/>
        <v>-1.3825374880357332E-3</v>
      </c>
      <c r="Q1278" s="99">
        <f t="shared" si="220"/>
        <v>-7.0830451885973257E-3</v>
      </c>
      <c r="S1278" s="7">
        <f t="shared" si="212"/>
        <v>10329000</v>
      </c>
      <c r="T1278" s="7">
        <f t="shared" si="213"/>
        <v>3130000</v>
      </c>
      <c r="U1278" s="7">
        <f t="shared" si="214"/>
        <v>8730000</v>
      </c>
      <c r="V1278" s="7">
        <f t="shared" si="215"/>
        <v>0</v>
      </c>
      <c r="W1278" s="7">
        <f t="shared" si="216"/>
        <v>0</v>
      </c>
      <c r="X1278" s="7">
        <f t="shared" si="217"/>
        <v>0</v>
      </c>
    </row>
    <row r="1279" spans="1:24">
      <c r="A1279">
        <v>1278</v>
      </c>
      <c r="B1279" s="96" t="s">
        <v>2325</v>
      </c>
      <c r="C1279" s="95">
        <v>41894</v>
      </c>
      <c r="D1279" s="82">
        <v>9390000</v>
      </c>
      <c r="E1279" s="82">
        <v>9380000</v>
      </c>
      <c r="F1279" s="82">
        <v>9395000</v>
      </c>
      <c r="G1279" s="82">
        <v>9390000</v>
      </c>
      <c r="I1279" s="97">
        <v>0</v>
      </c>
      <c r="J1279" s="97">
        <v>0</v>
      </c>
      <c r="K1279" s="97">
        <v>0</v>
      </c>
      <c r="M1279" s="7">
        <f t="shared" si="210"/>
        <v>0</v>
      </c>
      <c r="N1279" s="7">
        <f t="shared" si="219"/>
        <v>0</v>
      </c>
      <c r="O1279" s="7">
        <f t="shared" si="218"/>
        <v>0</v>
      </c>
      <c r="P1279" s="99">
        <f t="shared" si="211"/>
        <v>0</v>
      </c>
      <c r="Q1279" s="99">
        <f t="shared" si="220"/>
        <v>-3.7137347357671675E-3</v>
      </c>
      <c r="S1279" s="7">
        <f t="shared" si="212"/>
        <v>10329000</v>
      </c>
      <c r="T1279" s="7">
        <f t="shared" si="213"/>
        <v>3130000</v>
      </c>
      <c r="U1279" s="7">
        <f t="shared" si="214"/>
        <v>8764000</v>
      </c>
      <c r="V1279" s="7">
        <f t="shared" si="215"/>
        <v>0</v>
      </c>
      <c r="W1279" s="7">
        <f t="shared" si="216"/>
        <v>0</v>
      </c>
      <c r="X1279" s="7">
        <f t="shared" si="217"/>
        <v>0</v>
      </c>
    </row>
    <row r="1280" spans="1:24">
      <c r="A1280">
        <v>1279</v>
      </c>
      <c r="B1280" s="96" t="s">
        <v>2324</v>
      </c>
      <c r="C1280" s="95">
        <v>41895</v>
      </c>
      <c r="D1280" s="82">
        <v>9245000</v>
      </c>
      <c r="E1280" s="82">
        <v>9225000</v>
      </c>
      <c r="F1280" s="82">
        <v>9310000</v>
      </c>
      <c r="G1280" s="82">
        <v>9245000</v>
      </c>
      <c r="I1280" s="97">
        <v>0</v>
      </c>
      <c r="J1280" s="97">
        <v>0</v>
      </c>
      <c r="K1280" s="97">
        <v>0</v>
      </c>
      <c r="M1280" s="7">
        <f t="shared" si="210"/>
        <v>0</v>
      </c>
      <c r="N1280" s="7">
        <f t="shared" si="219"/>
        <v>0</v>
      </c>
      <c r="O1280" s="7">
        <f t="shared" si="218"/>
        <v>-145000</v>
      </c>
      <c r="P1280" s="99">
        <f t="shared" si="211"/>
        <v>-1.54419595314164E-2</v>
      </c>
      <c r="Q1280" s="99">
        <f t="shared" si="220"/>
        <v>-5.4113474678626578E-3</v>
      </c>
      <c r="S1280" s="7">
        <f t="shared" si="212"/>
        <v>10169500</v>
      </c>
      <c r="T1280" s="7">
        <f t="shared" si="213"/>
        <v>3081666.6666666665</v>
      </c>
      <c r="U1280" s="7">
        <f t="shared" si="214"/>
        <v>8800000</v>
      </c>
      <c r="V1280" s="7">
        <f t="shared" si="215"/>
        <v>0</v>
      </c>
      <c r="W1280" s="7">
        <f t="shared" si="216"/>
        <v>0</v>
      </c>
      <c r="X1280" s="7">
        <f t="shared" si="217"/>
        <v>0</v>
      </c>
    </row>
    <row r="1281" spans="1:24">
      <c r="A1281">
        <v>1280</v>
      </c>
      <c r="B1281" s="96" t="s">
        <v>2323</v>
      </c>
      <c r="C1281" s="95">
        <v>41896</v>
      </c>
      <c r="D1281" s="82">
        <v>9255000</v>
      </c>
      <c r="E1281" s="82">
        <v>9230000</v>
      </c>
      <c r="F1281" s="82">
        <v>9260000</v>
      </c>
      <c r="G1281" s="82">
        <v>9255000</v>
      </c>
      <c r="I1281" s="98">
        <v>0</v>
      </c>
      <c r="J1281" s="98">
        <v>0</v>
      </c>
      <c r="K1281" s="98">
        <v>0</v>
      </c>
      <c r="M1281" s="7">
        <f t="shared" si="210"/>
        <v>0</v>
      </c>
      <c r="N1281" s="7">
        <f t="shared" si="219"/>
        <v>0</v>
      </c>
      <c r="O1281" s="7">
        <f t="shared" si="218"/>
        <v>10000</v>
      </c>
      <c r="P1281" s="99">
        <f t="shared" si="211"/>
        <v>1.081665765278529E-3</v>
      </c>
      <c r="Q1281" s="99">
        <f t="shared" si="220"/>
        <v>-2.0535544050438892E-2</v>
      </c>
      <c r="S1281" s="7">
        <f t="shared" si="212"/>
        <v>10180500</v>
      </c>
      <c r="T1281" s="7">
        <f t="shared" si="213"/>
        <v>3085000</v>
      </c>
      <c r="U1281" s="7">
        <f t="shared" si="214"/>
        <v>8770000</v>
      </c>
      <c r="V1281" s="7">
        <f t="shared" si="215"/>
        <v>0</v>
      </c>
      <c r="W1281" s="7">
        <f t="shared" si="216"/>
        <v>0</v>
      </c>
      <c r="X1281" s="7">
        <f t="shared" si="217"/>
        <v>0</v>
      </c>
    </row>
    <row r="1282" spans="1:24">
      <c r="A1282">
        <v>1281</v>
      </c>
      <c r="B1282" s="96" t="s">
        <v>2322</v>
      </c>
      <c r="C1282" s="95">
        <v>41897</v>
      </c>
      <c r="D1282" s="82">
        <v>9310000</v>
      </c>
      <c r="E1282" s="82">
        <v>9255000</v>
      </c>
      <c r="F1282" s="82">
        <v>9315000</v>
      </c>
      <c r="G1282" s="82">
        <v>9310000</v>
      </c>
      <c r="I1282" s="82">
        <f>G1282*1.1</f>
        <v>10241000</v>
      </c>
      <c r="J1282" s="82">
        <f>G1282/3</f>
        <v>3103333.3333333335</v>
      </c>
      <c r="K1282" s="7">
        <f>G1550</f>
        <v>8730000</v>
      </c>
      <c r="L1282" s="7">
        <f>K1282-I1282</f>
        <v>-1511000</v>
      </c>
      <c r="M1282" s="7">
        <f t="shared" ref="M1282:M1345" si="221">J1282*$AI$6/200</f>
        <v>387916.66666666674</v>
      </c>
      <c r="N1282" s="7">
        <f t="shared" si="219"/>
        <v>-1123083.3333333333</v>
      </c>
      <c r="O1282" s="7">
        <f t="shared" si="218"/>
        <v>55000</v>
      </c>
      <c r="P1282" s="99">
        <f t="shared" si="211"/>
        <v>5.9427336574824421E-3</v>
      </c>
      <c r="Q1282" s="99">
        <f t="shared" si="220"/>
        <v>-1.6699057348521243E-2</v>
      </c>
      <c r="R1282">
        <v>1</v>
      </c>
      <c r="S1282" s="7">
        <f t="shared" si="212"/>
        <v>10241000</v>
      </c>
      <c r="T1282" s="7">
        <f t="shared" si="213"/>
        <v>3103333.3333333335</v>
      </c>
      <c r="U1282" s="7">
        <f t="shared" si="214"/>
        <v>8730000</v>
      </c>
      <c r="V1282" s="7">
        <f t="shared" si="215"/>
        <v>-1511000</v>
      </c>
      <c r="W1282" s="7">
        <f t="shared" si="216"/>
        <v>387916.66666666674</v>
      </c>
      <c r="X1282" s="7">
        <f t="shared" si="217"/>
        <v>-1123083.3333333333</v>
      </c>
    </row>
    <row r="1283" spans="1:24">
      <c r="A1283">
        <v>1282</v>
      </c>
      <c r="B1283" s="96" t="s">
        <v>2321</v>
      </c>
      <c r="C1283" s="95">
        <v>41898</v>
      </c>
      <c r="D1283" s="82">
        <v>9320000</v>
      </c>
      <c r="E1283" s="82">
        <v>9315000</v>
      </c>
      <c r="F1283" s="82">
        <v>9370000</v>
      </c>
      <c r="G1283" s="82">
        <v>9320000</v>
      </c>
      <c r="I1283" s="97">
        <v>0</v>
      </c>
      <c r="J1283" s="97">
        <v>0</v>
      </c>
      <c r="K1283" s="97">
        <v>0</v>
      </c>
      <c r="M1283" s="7">
        <f t="shared" si="221"/>
        <v>0</v>
      </c>
      <c r="N1283" s="7">
        <f t="shared" si="219"/>
        <v>0</v>
      </c>
      <c r="O1283" s="7">
        <f t="shared" si="218"/>
        <v>10000</v>
      </c>
      <c r="P1283" s="99">
        <f t="shared" ref="P1283:P1346" si="222">O1283/G1282</f>
        <v>1.0741138560687433E-3</v>
      </c>
      <c r="Q1283" s="99">
        <f t="shared" si="220"/>
        <v>-9.8000975966911624E-3</v>
      </c>
      <c r="S1283" s="7">
        <f t="shared" ref="S1283:S1346" si="223">G1283*1.1</f>
        <v>10252000</v>
      </c>
      <c r="T1283" s="7">
        <f t="shared" ref="T1283:T1346" si="224">G1283/3</f>
        <v>3106666.6666666665</v>
      </c>
      <c r="U1283" s="7">
        <f t="shared" ref="U1283:U1346" si="225">G1551</f>
        <v>8788000</v>
      </c>
      <c r="V1283" s="7">
        <f t="shared" ref="V1283:V1346" si="226">(U1283-S1283)*R1283</f>
        <v>0</v>
      </c>
      <c r="W1283" s="7">
        <f t="shared" ref="W1283:W1346" si="227">(T1283*$AI$6/200)*R1283</f>
        <v>0</v>
      </c>
      <c r="X1283" s="7">
        <f t="shared" ref="X1283:X1346" si="228">V1283+W1283</f>
        <v>0</v>
      </c>
    </row>
    <row r="1284" spans="1:24">
      <c r="A1284">
        <v>1283</v>
      </c>
      <c r="B1284" s="96" t="s">
        <v>2320</v>
      </c>
      <c r="C1284" s="95">
        <v>41900</v>
      </c>
      <c r="D1284" s="82">
        <v>9280000</v>
      </c>
      <c r="E1284" s="82">
        <v>9280000</v>
      </c>
      <c r="F1284" s="82">
        <v>9390000</v>
      </c>
      <c r="G1284" s="82">
        <v>9280000</v>
      </c>
      <c r="I1284" s="97">
        <v>0</v>
      </c>
      <c r="J1284" s="97">
        <v>0</v>
      </c>
      <c r="K1284" s="97">
        <v>0</v>
      </c>
      <c r="M1284" s="7">
        <f t="shared" si="221"/>
        <v>0</v>
      </c>
      <c r="N1284" s="7">
        <f t="shared" si="219"/>
        <v>0</v>
      </c>
      <c r="O1284" s="7">
        <f t="shared" ref="O1284:O1347" si="229">G1284-G1283</f>
        <v>-40000</v>
      </c>
      <c r="P1284" s="99">
        <f t="shared" si="222"/>
        <v>-4.2918454935622317E-3</v>
      </c>
      <c r="Q1284" s="99">
        <f t="shared" si="220"/>
        <v>-7.3434462525866859E-3</v>
      </c>
      <c r="S1284" s="7">
        <f t="shared" si="223"/>
        <v>10208000</v>
      </c>
      <c r="T1284" s="7">
        <f t="shared" si="224"/>
        <v>3093333.3333333335</v>
      </c>
      <c r="U1284" s="7">
        <f t="shared" si="225"/>
        <v>8785000</v>
      </c>
      <c r="V1284" s="7">
        <f t="shared" si="226"/>
        <v>0</v>
      </c>
      <c r="W1284" s="7">
        <f t="shared" si="227"/>
        <v>0</v>
      </c>
      <c r="X1284" s="7">
        <f t="shared" si="228"/>
        <v>0</v>
      </c>
    </row>
    <row r="1285" spans="1:24">
      <c r="A1285">
        <v>1284</v>
      </c>
      <c r="B1285" s="96" t="s">
        <v>2319</v>
      </c>
      <c r="C1285" s="95">
        <v>41901</v>
      </c>
      <c r="D1285" s="82">
        <v>9280000</v>
      </c>
      <c r="E1285" s="82">
        <v>9280000</v>
      </c>
      <c r="F1285" s="82">
        <v>9285000</v>
      </c>
      <c r="G1285" s="82">
        <v>9280000</v>
      </c>
      <c r="I1285" s="97">
        <v>0</v>
      </c>
      <c r="J1285" s="97">
        <v>0</v>
      </c>
      <c r="K1285" s="97">
        <v>0</v>
      </c>
      <c r="M1285" s="7">
        <f t="shared" si="221"/>
        <v>0</v>
      </c>
      <c r="N1285" s="7">
        <f t="shared" si="219"/>
        <v>0</v>
      </c>
      <c r="O1285" s="7">
        <f t="shared" si="229"/>
        <v>0</v>
      </c>
      <c r="P1285" s="99">
        <f t="shared" si="222"/>
        <v>0</v>
      </c>
      <c r="Q1285" s="99">
        <f t="shared" si="220"/>
        <v>-1.1635291746148918E-2</v>
      </c>
      <c r="S1285" s="7">
        <f t="shared" si="223"/>
        <v>10208000</v>
      </c>
      <c r="T1285" s="7">
        <f t="shared" si="224"/>
        <v>3093333.3333333335</v>
      </c>
      <c r="U1285" s="7">
        <f t="shared" si="225"/>
        <v>8750000</v>
      </c>
      <c r="V1285" s="7">
        <f t="shared" si="226"/>
        <v>0</v>
      </c>
      <c r="W1285" s="7">
        <f t="shared" si="227"/>
        <v>0</v>
      </c>
      <c r="X1285" s="7">
        <f t="shared" si="228"/>
        <v>0</v>
      </c>
    </row>
    <row r="1286" spans="1:24">
      <c r="A1286">
        <v>1285</v>
      </c>
      <c r="B1286" s="96" t="s">
        <v>2318</v>
      </c>
      <c r="C1286" s="95">
        <v>41902</v>
      </c>
      <c r="D1286" s="82">
        <v>9180000</v>
      </c>
      <c r="E1286" s="82">
        <v>9175000</v>
      </c>
      <c r="F1286" s="82">
        <v>9255000</v>
      </c>
      <c r="G1286" s="82">
        <v>9180000</v>
      </c>
      <c r="I1286" s="98">
        <v>0</v>
      </c>
      <c r="J1286" s="98">
        <v>0</v>
      </c>
      <c r="K1286" s="98">
        <v>0</v>
      </c>
      <c r="M1286" s="7">
        <f t="shared" si="221"/>
        <v>0</v>
      </c>
      <c r="N1286" s="7">
        <f t="shared" si="219"/>
        <v>0</v>
      </c>
      <c r="O1286" s="7">
        <f t="shared" si="229"/>
        <v>-100000</v>
      </c>
      <c r="P1286" s="99">
        <f t="shared" si="222"/>
        <v>-1.0775862068965518E-2</v>
      </c>
      <c r="Q1286" s="99">
        <f t="shared" si="220"/>
        <v>3.8066677852674827E-3</v>
      </c>
      <c r="S1286" s="7">
        <f t="shared" si="223"/>
        <v>10098000</v>
      </c>
      <c r="T1286" s="7">
        <f t="shared" si="224"/>
        <v>3060000</v>
      </c>
      <c r="U1286" s="7">
        <f t="shared" si="225"/>
        <v>8740000</v>
      </c>
      <c r="V1286" s="7">
        <f t="shared" si="226"/>
        <v>0</v>
      </c>
      <c r="W1286" s="7">
        <f t="shared" si="227"/>
        <v>0</v>
      </c>
      <c r="X1286" s="7">
        <f t="shared" si="228"/>
        <v>0</v>
      </c>
    </row>
    <row r="1287" spans="1:24">
      <c r="A1287">
        <v>1286</v>
      </c>
      <c r="B1287" s="96" t="s">
        <v>2317</v>
      </c>
      <c r="C1287" s="95">
        <v>41903</v>
      </c>
      <c r="D1287" s="82">
        <v>9175000</v>
      </c>
      <c r="E1287" s="82">
        <v>9155000</v>
      </c>
      <c r="F1287" s="82">
        <v>9195000</v>
      </c>
      <c r="G1287" s="82">
        <v>9175000</v>
      </c>
      <c r="I1287" s="82">
        <f>G1287*1.1</f>
        <v>10092500</v>
      </c>
      <c r="J1287" s="82">
        <f>G1287/3</f>
        <v>3058333.3333333335</v>
      </c>
      <c r="K1287" s="7">
        <f>G1555</f>
        <v>8710000</v>
      </c>
      <c r="L1287" s="7">
        <f>K1287-I1287</f>
        <v>-1382500</v>
      </c>
      <c r="M1287" s="7">
        <f t="shared" si="221"/>
        <v>382291.66666666674</v>
      </c>
      <c r="N1287" s="7">
        <f t="shared" si="219"/>
        <v>-1000208.3333333333</v>
      </c>
      <c r="O1287" s="7">
        <f t="shared" si="229"/>
        <v>-5000</v>
      </c>
      <c r="P1287" s="99">
        <f t="shared" si="222"/>
        <v>-5.4466230936819177E-4</v>
      </c>
      <c r="Q1287" s="99">
        <f t="shared" si="220"/>
        <v>-8.0508600489765641E-3</v>
      </c>
      <c r="R1287">
        <v>1</v>
      </c>
      <c r="S1287" s="7">
        <f t="shared" si="223"/>
        <v>10092500</v>
      </c>
      <c r="T1287" s="7">
        <f t="shared" si="224"/>
        <v>3058333.3333333335</v>
      </c>
      <c r="U1287" s="7">
        <f t="shared" si="225"/>
        <v>8710000</v>
      </c>
      <c r="V1287" s="7">
        <f t="shared" si="226"/>
        <v>-1382500</v>
      </c>
      <c r="W1287" s="7">
        <f t="shared" si="227"/>
        <v>382291.66666666674</v>
      </c>
      <c r="X1287" s="7">
        <f t="shared" si="228"/>
        <v>-1000208.3333333333</v>
      </c>
    </row>
    <row r="1288" spans="1:24">
      <c r="A1288">
        <v>1287</v>
      </c>
      <c r="B1288" s="96" t="s">
        <v>2316</v>
      </c>
      <c r="C1288" s="95">
        <v>41905</v>
      </c>
      <c r="D1288" s="82">
        <v>9270000</v>
      </c>
      <c r="E1288" s="82">
        <v>9175000</v>
      </c>
      <c r="F1288" s="82">
        <v>9295000</v>
      </c>
      <c r="G1288" s="82">
        <v>9270000</v>
      </c>
      <c r="I1288" s="97">
        <v>0</v>
      </c>
      <c r="J1288" s="97">
        <v>0</v>
      </c>
      <c r="K1288" s="97">
        <v>0</v>
      </c>
      <c r="M1288" s="7">
        <f t="shared" si="221"/>
        <v>0</v>
      </c>
      <c r="N1288" s="7">
        <f t="shared" ref="N1288:N1351" si="230">L1288+M1288</f>
        <v>0</v>
      </c>
      <c r="O1288" s="7">
        <f t="shared" si="229"/>
        <v>95000</v>
      </c>
      <c r="P1288" s="99">
        <f t="shared" si="222"/>
        <v>1.0354223433242507E-2</v>
      </c>
      <c r="Q1288" s="99">
        <f t="shared" ref="Q1288:Q1351" si="231">SUM(P1283:P1287)</f>
        <v>-1.4538256015827198E-2</v>
      </c>
      <c r="S1288" s="7">
        <f t="shared" si="223"/>
        <v>10197000</v>
      </c>
      <c r="T1288" s="7">
        <f t="shared" si="224"/>
        <v>3090000</v>
      </c>
      <c r="U1288" s="7">
        <f t="shared" si="225"/>
        <v>8703000</v>
      </c>
      <c r="V1288" s="7">
        <f t="shared" si="226"/>
        <v>0</v>
      </c>
      <c r="W1288" s="7">
        <f t="shared" si="227"/>
        <v>0</v>
      </c>
      <c r="X1288" s="7">
        <f t="shared" si="228"/>
        <v>0</v>
      </c>
    </row>
    <row r="1289" spans="1:24">
      <c r="A1289">
        <v>1288</v>
      </c>
      <c r="B1289" s="96" t="s">
        <v>2315</v>
      </c>
      <c r="C1289" s="95">
        <v>41904</v>
      </c>
      <c r="D1289" s="82">
        <v>9175000</v>
      </c>
      <c r="E1289" s="82">
        <v>9150000</v>
      </c>
      <c r="F1289" s="82">
        <v>9180000</v>
      </c>
      <c r="G1289" s="82">
        <v>9175000</v>
      </c>
      <c r="I1289" s="97">
        <v>0</v>
      </c>
      <c r="J1289" s="97">
        <v>0</v>
      </c>
      <c r="K1289" s="97">
        <v>0</v>
      </c>
      <c r="M1289" s="7">
        <f t="shared" si="221"/>
        <v>0</v>
      </c>
      <c r="N1289" s="7">
        <f t="shared" si="230"/>
        <v>0</v>
      </c>
      <c r="O1289" s="7">
        <f t="shared" si="229"/>
        <v>-95000</v>
      </c>
      <c r="P1289" s="99">
        <f t="shared" si="222"/>
        <v>-1.0248112189859764E-2</v>
      </c>
      <c r="Q1289" s="99">
        <f t="shared" si="231"/>
        <v>-5.2581464386534348E-3</v>
      </c>
      <c r="S1289" s="7">
        <f t="shared" si="223"/>
        <v>10092500</v>
      </c>
      <c r="T1289" s="7">
        <f t="shared" si="224"/>
        <v>3058333.3333333335</v>
      </c>
      <c r="U1289" s="7">
        <f t="shared" si="225"/>
        <v>8780000</v>
      </c>
      <c r="V1289" s="7">
        <f t="shared" si="226"/>
        <v>0</v>
      </c>
      <c r="W1289" s="7">
        <f t="shared" si="227"/>
        <v>0</v>
      </c>
      <c r="X1289" s="7">
        <f t="shared" si="228"/>
        <v>0</v>
      </c>
    </row>
    <row r="1290" spans="1:24">
      <c r="A1290">
        <v>1289</v>
      </c>
      <c r="B1290" s="96" t="s">
        <v>2314</v>
      </c>
      <c r="C1290" s="95">
        <v>41906</v>
      </c>
      <c r="D1290" s="82">
        <v>9270000</v>
      </c>
      <c r="E1290" s="82">
        <v>9265000</v>
      </c>
      <c r="F1290" s="82">
        <v>9295000</v>
      </c>
      <c r="G1290" s="82">
        <v>9270000</v>
      </c>
      <c r="I1290" s="97">
        <v>0</v>
      </c>
      <c r="J1290" s="97">
        <v>0</v>
      </c>
      <c r="K1290" s="97">
        <v>0</v>
      </c>
      <c r="M1290" s="7">
        <f t="shared" si="221"/>
        <v>0</v>
      </c>
      <c r="N1290" s="7">
        <f t="shared" si="230"/>
        <v>0</v>
      </c>
      <c r="O1290" s="7">
        <f t="shared" si="229"/>
        <v>95000</v>
      </c>
      <c r="P1290" s="99">
        <f t="shared" si="222"/>
        <v>1.0354223433242507E-2</v>
      </c>
      <c r="Q1290" s="99">
        <f t="shared" si="231"/>
        <v>-1.1214413134950967E-2</v>
      </c>
      <c r="S1290" s="7">
        <f t="shared" si="223"/>
        <v>10197000</v>
      </c>
      <c r="T1290" s="7">
        <f t="shared" si="224"/>
        <v>3090000</v>
      </c>
      <c r="U1290" s="7">
        <f t="shared" si="225"/>
        <v>8755000</v>
      </c>
      <c r="V1290" s="7">
        <f t="shared" si="226"/>
        <v>0</v>
      </c>
      <c r="W1290" s="7">
        <f t="shared" si="227"/>
        <v>0</v>
      </c>
      <c r="X1290" s="7">
        <f t="shared" si="228"/>
        <v>0</v>
      </c>
    </row>
    <row r="1291" spans="1:24">
      <c r="A1291">
        <v>1290</v>
      </c>
      <c r="B1291" s="96" t="s">
        <v>2313</v>
      </c>
      <c r="C1291" s="95">
        <v>41907</v>
      </c>
      <c r="D1291" s="82">
        <v>9220000</v>
      </c>
      <c r="E1291" s="82">
        <v>9205000</v>
      </c>
      <c r="F1291" s="82">
        <v>9265000</v>
      </c>
      <c r="G1291" s="82">
        <v>9220000</v>
      </c>
      <c r="I1291" s="98">
        <v>0</v>
      </c>
      <c r="J1291" s="98">
        <v>0</v>
      </c>
      <c r="K1291" s="98">
        <v>0</v>
      </c>
      <c r="M1291" s="7">
        <f t="shared" si="221"/>
        <v>0</v>
      </c>
      <c r="N1291" s="7">
        <f t="shared" si="230"/>
        <v>0</v>
      </c>
      <c r="O1291" s="7">
        <f t="shared" si="229"/>
        <v>-50000</v>
      </c>
      <c r="P1291" s="99">
        <f t="shared" si="222"/>
        <v>-5.3937432578209281E-3</v>
      </c>
      <c r="Q1291" s="99">
        <f t="shared" si="231"/>
        <v>-8.6018970170845949E-4</v>
      </c>
      <c r="S1291" s="7">
        <f t="shared" si="223"/>
        <v>10142000</v>
      </c>
      <c r="T1291" s="7">
        <f t="shared" si="224"/>
        <v>3073333.3333333335</v>
      </c>
      <c r="U1291" s="7">
        <f t="shared" si="225"/>
        <v>8810000</v>
      </c>
      <c r="V1291" s="7">
        <f t="shared" si="226"/>
        <v>0</v>
      </c>
      <c r="W1291" s="7">
        <f t="shared" si="227"/>
        <v>0</v>
      </c>
      <c r="X1291" s="7">
        <f t="shared" si="228"/>
        <v>0</v>
      </c>
    </row>
    <row r="1292" spans="1:24">
      <c r="A1292">
        <v>1291</v>
      </c>
      <c r="B1292" s="96" t="s">
        <v>2312</v>
      </c>
      <c r="C1292" s="95">
        <v>41908</v>
      </c>
      <c r="D1292" s="82">
        <v>9220000</v>
      </c>
      <c r="E1292" s="82">
        <v>9205000</v>
      </c>
      <c r="F1292" s="82">
        <v>9220000</v>
      </c>
      <c r="G1292" s="82">
        <v>9220000</v>
      </c>
      <c r="I1292" s="82">
        <f>G1292*1.1</f>
        <v>10142000</v>
      </c>
      <c r="J1292" s="82">
        <f>G1292/3</f>
        <v>3073333.3333333335</v>
      </c>
      <c r="K1292" s="7">
        <f>G1560</f>
        <v>8925000</v>
      </c>
      <c r="L1292" s="7">
        <f>K1292-I1292</f>
        <v>-1217000</v>
      </c>
      <c r="M1292" s="7">
        <f t="shared" si="221"/>
        <v>384166.66666666674</v>
      </c>
      <c r="N1292" s="7">
        <f t="shared" si="230"/>
        <v>-832833.33333333326</v>
      </c>
      <c r="O1292" s="7">
        <f t="shared" si="229"/>
        <v>0</v>
      </c>
      <c r="P1292" s="99">
        <f t="shared" si="222"/>
        <v>0</v>
      </c>
      <c r="Q1292" s="99">
        <f t="shared" si="231"/>
        <v>4.5219291094361303E-3</v>
      </c>
      <c r="R1292">
        <v>1</v>
      </c>
      <c r="S1292" s="7">
        <f t="shared" si="223"/>
        <v>10142000</v>
      </c>
      <c r="T1292" s="7">
        <f t="shared" si="224"/>
        <v>3073333.3333333335</v>
      </c>
      <c r="U1292" s="7">
        <f t="shared" si="225"/>
        <v>8925000</v>
      </c>
      <c r="V1292" s="7">
        <f t="shared" si="226"/>
        <v>-1217000</v>
      </c>
      <c r="W1292" s="7">
        <f t="shared" si="227"/>
        <v>384166.66666666674</v>
      </c>
      <c r="X1292" s="7">
        <f t="shared" si="228"/>
        <v>-832833.33333333326</v>
      </c>
    </row>
    <row r="1293" spans="1:24">
      <c r="A1293">
        <v>1292</v>
      </c>
      <c r="B1293" s="96" t="s">
        <v>2311</v>
      </c>
      <c r="C1293" s="95">
        <v>41909</v>
      </c>
      <c r="D1293" s="82">
        <v>9360000</v>
      </c>
      <c r="E1293" s="82">
        <v>9270000</v>
      </c>
      <c r="F1293" s="82">
        <v>9360000</v>
      </c>
      <c r="G1293" s="82">
        <v>9360000</v>
      </c>
      <c r="I1293" s="97">
        <v>0</v>
      </c>
      <c r="J1293" s="97">
        <v>0</v>
      </c>
      <c r="K1293" s="97">
        <v>0</v>
      </c>
      <c r="M1293" s="7">
        <f t="shared" si="221"/>
        <v>0</v>
      </c>
      <c r="N1293" s="7">
        <f t="shared" si="230"/>
        <v>0</v>
      </c>
      <c r="O1293" s="7">
        <f t="shared" si="229"/>
        <v>140000</v>
      </c>
      <c r="P1293" s="99">
        <f t="shared" si="222"/>
        <v>1.5184381778741865E-2</v>
      </c>
      <c r="Q1293" s="99">
        <f t="shared" si="231"/>
        <v>5.0665914188043224E-3</v>
      </c>
      <c r="S1293" s="7">
        <f t="shared" si="223"/>
        <v>10296000</v>
      </c>
      <c r="T1293" s="7">
        <f t="shared" si="224"/>
        <v>3120000</v>
      </c>
      <c r="U1293" s="7">
        <f t="shared" si="225"/>
        <v>8860000</v>
      </c>
      <c r="V1293" s="7">
        <f t="shared" si="226"/>
        <v>0</v>
      </c>
      <c r="W1293" s="7">
        <f t="shared" si="227"/>
        <v>0</v>
      </c>
      <c r="X1293" s="7">
        <f t="shared" si="228"/>
        <v>0</v>
      </c>
    </row>
    <row r="1294" spans="1:24">
      <c r="A1294">
        <v>1293</v>
      </c>
      <c r="B1294" s="96" t="s">
        <v>2310</v>
      </c>
      <c r="C1294" s="95">
        <v>41910</v>
      </c>
      <c r="D1294" s="82">
        <v>9390000</v>
      </c>
      <c r="E1294" s="82">
        <v>9370000</v>
      </c>
      <c r="F1294" s="82">
        <v>9415000</v>
      </c>
      <c r="G1294" s="82">
        <v>9390000</v>
      </c>
      <c r="I1294" s="97">
        <v>0</v>
      </c>
      <c r="J1294" s="97">
        <v>0</v>
      </c>
      <c r="K1294" s="97">
        <v>0</v>
      </c>
      <c r="M1294" s="7">
        <f t="shared" si="221"/>
        <v>0</v>
      </c>
      <c r="N1294" s="7">
        <f t="shared" si="230"/>
        <v>0</v>
      </c>
      <c r="O1294" s="7">
        <f t="shared" si="229"/>
        <v>30000</v>
      </c>
      <c r="P1294" s="99">
        <f t="shared" si="222"/>
        <v>3.205128205128205E-3</v>
      </c>
      <c r="Q1294" s="99">
        <f t="shared" si="231"/>
        <v>9.8967497643036792E-3</v>
      </c>
      <c r="S1294" s="7">
        <f t="shared" si="223"/>
        <v>10329000</v>
      </c>
      <c r="T1294" s="7">
        <f t="shared" si="224"/>
        <v>3130000</v>
      </c>
      <c r="U1294" s="7">
        <f t="shared" si="225"/>
        <v>8875000</v>
      </c>
      <c r="V1294" s="7">
        <f t="shared" si="226"/>
        <v>0</v>
      </c>
      <c r="W1294" s="7">
        <f t="shared" si="227"/>
        <v>0</v>
      </c>
      <c r="X1294" s="7">
        <f t="shared" si="228"/>
        <v>0</v>
      </c>
    </row>
    <row r="1295" spans="1:24">
      <c r="A1295">
        <v>1294</v>
      </c>
      <c r="B1295" s="96" t="s">
        <v>2309</v>
      </c>
      <c r="C1295" s="95">
        <v>41911</v>
      </c>
      <c r="D1295" s="82">
        <v>9385000</v>
      </c>
      <c r="E1295" s="82">
        <v>9380000</v>
      </c>
      <c r="F1295" s="82">
        <v>9395000</v>
      </c>
      <c r="G1295" s="82">
        <v>9385000</v>
      </c>
      <c r="I1295" s="97">
        <v>0</v>
      </c>
      <c r="J1295" s="97">
        <v>0</v>
      </c>
      <c r="K1295" s="97">
        <v>0</v>
      </c>
      <c r="M1295" s="7">
        <f t="shared" si="221"/>
        <v>0</v>
      </c>
      <c r="N1295" s="7">
        <f t="shared" si="230"/>
        <v>0</v>
      </c>
      <c r="O1295" s="7">
        <f t="shared" si="229"/>
        <v>-5000</v>
      </c>
      <c r="P1295" s="99">
        <f t="shared" si="222"/>
        <v>-5.3248136315228972E-4</v>
      </c>
      <c r="Q1295" s="99">
        <f t="shared" si="231"/>
        <v>2.3349990159291647E-2</v>
      </c>
      <c r="S1295" s="7">
        <f t="shared" si="223"/>
        <v>10323500</v>
      </c>
      <c r="T1295" s="7">
        <f t="shared" si="224"/>
        <v>3128333.3333333335</v>
      </c>
      <c r="U1295" s="7">
        <f t="shared" si="225"/>
        <v>8910000</v>
      </c>
      <c r="V1295" s="7">
        <f t="shared" si="226"/>
        <v>0</v>
      </c>
      <c r="W1295" s="7">
        <f t="shared" si="227"/>
        <v>0</v>
      </c>
      <c r="X1295" s="7">
        <f t="shared" si="228"/>
        <v>0</v>
      </c>
    </row>
    <row r="1296" spans="1:24">
      <c r="A1296">
        <v>1295</v>
      </c>
      <c r="B1296" s="96" t="s">
        <v>2308</v>
      </c>
      <c r="C1296" s="95">
        <v>41912</v>
      </c>
      <c r="D1296" s="82">
        <v>9345000</v>
      </c>
      <c r="E1296" s="82">
        <v>9320000</v>
      </c>
      <c r="F1296" s="82">
        <v>9375000</v>
      </c>
      <c r="G1296" s="82">
        <v>9345000</v>
      </c>
      <c r="I1296" s="98">
        <v>0</v>
      </c>
      <c r="J1296" s="98">
        <v>0</v>
      </c>
      <c r="K1296" s="98">
        <v>0</v>
      </c>
      <c r="M1296" s="7">
        <f t="shared" si="221"/>
        <v>0</v>
      </c>
      <c r="N1296" s="7">
        <f t="shared" si="230"/>
        <v>0</v>
      </c>
      <c r="O1296" s="7">
        <f t="shared" si="229"/>
        <v>-40000</v>
      </c>
      <c r="P1296" s="99">
        <f t="shared" si="222"/>
        <v>-4.2621204049014382E-3</v>
      </c>
      <c r="Q1296" s="99">
        <f t="shared" si="231"/>
        <v>1.2463285362896851E-2</v>
      </c>
      <c r="S1296" s="7">
        <f t="shared" si="223"/>
        <v>10279500</v>
      </c>
      <c r="T1296" s="7">
        <f t="shared" si="224"/>
        <v>3115000</v>
      </c>
      <c r="U1296" s="7">
        <f t="shared" si="225"/>
        <v>8935000</v>
      </c>
      <c r="V1296" s="7">
        <f t="shared" si="226"/>
        <v>0</v>
      </c>
      <c r="W1296" s="7">
        <f t="shared" si="227"/>
        <v>0</v>
      </c>
      <c r="X1296" s="7">
        <f t="shared" si="228"/>
        <v>0</v>
      </c>
    </row>
    <row r="1297" spans="1:24">
      <c r="A1297">
        <v>1296</v>
      </c>
      <c r="B1297" s="96" t="s">
        <v>2307</v>
      </c>
      <c r="C1297" s="95">
        <v>41913</v>
      </c>
      <c r="D1297" s="82">
        <v>9345000</v>
      </c>
      <c r="E1297" s="82">
        <v>9335000</v>
      </c>
      <c r="F1297" s="82">
        <v>9350000</v>
      </c>
      <c r="G1297" s="82">
        <v>9345000</v>
      </c>
      <c r="I1297" s="82">
        <f>G1297*1.1</f>
        <v>10279500</v>
      </c>
      <c r="J1297" s="82">
        <f>G1297/3</f>
        <v>3115000</v>
      </c>
      <c r="K1297" s="7">
        <f>G1565</f>
        <v>8930000</v>
      </c>
      <c r="L1297" s="7">
        <f>K1297-I1297</f>
        <v>-1349500</v>
      </c>
      <c r="M1297" s="7">
        <f t="shared" si="221"/>
        <v>389375</v>
      </c>
      <c r="N1297" s="7">
        <f t="shared" si="230"/>
        <v>-960125</v>
      </c>
      <c r="O1297" s="7">
        <f t="shared" si="229"/>
        <v>0</v>
      </c>
      <c r="P1297" s="99">
        <f t="shared" si="222"/>
        <v>0</v>
      </c>
      <c r="Q1297" s="99">
        <f t="shared" si="231"/>
        <v>1.3594908215816342E-2</v>
      </c>
      <c r="R1297">
        <v>1</v>
      </c>
      <c r="S1297" s="7">
        <f t="shared" si="223"/>
        <v>10279500</v>
      </c>
      <c r="T1297" s="7">
        <f t="shared" si="224"/>
        <v>3115000</v>
      </c>
      <c r="U1297" s="7">
        <f t="shared" si="225"/>
        <v>8930000</v>
      </c>
      <c r="V1297" s="7">
        <f t="shared" si="226"/>
        <v>-1349500</v>
      </c>
      <c r="W1297" s="7">
        <f t="shared" si="227"/>
        <v>389375</v>
      </c>
      <c r="X1297" s="7">
        <f t="shared" si="228"/>
        <v>-960125</v>
      </c>
    </row>
    <row r="1298" spans="1:24">
      <c r="A1298">
        <v>1297</v>
      </c>
      <c r="B1298" s="96" t="s">
        <v>2306</v>
      </c>
      <c r="C1298" s="95">
        <v>41914</v>
      </c>
      <c r="D1298" s="82">
        <v>9345000</v>
      </c>
      <c r="E1298" s="82">
        <v>9340000</v>
      </c>
      <c r="F1298" s="82">
        <v>9355000</v>
      </c>
      <c r="G1298" s="82">
        <v>9345000</v>
      </c>
      <c r="I1298" s="97">
        <v>0</v>
      </c>
      <c r="J1298" s="97">
        <v>0</v>
      </c>
      <c r="K1298" s="97">
        <v>0</v>
      </c>
      <c r="M1298" s="7">
        <f t="shared" si="221"/>
        <v>0</v>
      </c>
      <c r="N1298" s="7">
        <f t="shared" si="230"/>
        <v>0</v>
      </c>
      <c r="O1298" s="7">
        <f t="shared" si="229"/>
        <v>0</v>
      </c>
      <c r="P1298" s="99">
        <f t="shared" si="222"/>
        <v>0</v>
      </c>
      <c r="Q1298" s="99">
        <f t="shared" si="231"/>
        <v>1.3594908215816342E-2</v>
      </c>
      <c r="S1298" s="7">
        <f t="shared" si="223"/>
        <v>10279500</v>
      </c>
      <c r="T1298" s="7">
        <f t="shared" si="224"/>
        <v>3115000</v>
      </c>
      <c r="U1298" s="7">
        <f t="shared" si="225"/>
        <v>9000000</v>
      </c>
      <c r="V1298" s="7">
        <f t="shared" si="226"/>
        <v>0</v>
      </c>
      <c r="W1298" s="7">
        <f t="shared" si="227"/>
        <v>0</v>
      </c>
      <c r="X1298" s="7">
        <f t="shared" si="228"/>
        <v>0</v>
      </c>
    </row>
    <row r="1299" spans="1:24">
      <c r="A1299">
        <v>1298</v>
      </c>
      <c r="B1299" s="96" t="s">
        <v>2305</v>
      </c>
      <c r="C1299" s="95">
        <v>41915</v>
      </c>
      <c r="D1299" s="82">
        <v>9345000</v>
      </c>
      <c r="E1299" s="82">
        <v>9340000</v>
      </c>
      <c r="F1299" s="82">
        <v>9345000</v>
      </c>
      <c r="G1299" s="82">
        <v>9345000</v>
      </c>
      <c r="I1299" s="97">
        <v>0</v>
      </c>
      <c r="J1299" s="97">
        <v>0</v>
      </c>
      <c r="K1299" s="97">
        <v>0</v>
      </c>
      <c r="M1299" s="7">
        <f t="shared" si="221"/>
        <v>0</v>
      </c>
      <c r="N1299" s="7">
        <f t="shared" si="230"/>
        <v>0</v>
      </c>
      <c r="O1299" s="7">
        <f t="shared" si="229"/>
        <v>0</v>
      </c>
      <c r="P1299" s="99">
        <f t="shared" si="222"/>
        <v>0</v>
      </c>
      <c r="Q1299" s="99">
        <f t="shared" si="231"/>
        <v>-1.5894735629255231E-3</v>
      </c>
      <c r="S1299" s="7">
        <f t="shared" si="223"/>
        <v>10279500</v>
      </c>
      <c r="T1299" s="7">
        <f t="shared" si="224"/>
        <v>3115000</v>
      </c>
      <c r="U1299" s="7">
        <f t="shared" si="225"/>
        <v>9095000</v>
      </c>
      <c r="V1299" s="7">
        <f t="shared" si="226"/>
        <v>0</v>
      </c>
      <c r="W1299" s="7">
        <f t="shared" si="227"/>
        <v>0</v>
      </c>
      <c r="X1299" s="7">
        <f t="shared" si="228"/>
        <v>0</v>
      </c>
    </row>
    <row r="1300" spans="1:24">
      <c r="A1300">
        <v>1299</v>
      </c>
      <c r="B1300" s="96" t="s">
        <v>2304</v>
      </c>
      <c r="C1300" s="95">
        <v>41916</v>
      </c>
      <c r="D1300" s="82">
        <v>9295000</v>
      </c>
      <c r="E1300" s="82">
        <v>9245000</v>
      </c>
      <c r="F1300" s="82">
        <v>9310000</v>
      </c>
      <c r="G1300" s="82">
        <v>9295000</v>
      </c>
      <c r="I1300" s="97">
        <v>0</v>
      </c>
      <c r="J1300" s="97">
        <v>0</v>
      </c>
      <c r="K1300" s="97">
        <v>0</v>
      </c>
      <c r="M1300" s="7">
        <f t="shared" si="221"/>
        <v>0</v>
      </c>
      <c r="N1300" s="7">
        <f t="shared" si="230"/>
        <v>0</v>
      </c>
      <c r="O1300" s="7">
        <f t="shared" si="229"/>
        <v>-50000</v>
      </c>
      <c r="P1300" s="99">
        <f t="shared" si="222"/>
        <v>-5.3504547886570357E-3</v>
      </c>
      <c r="Q1300" s="99">
        <f t="shared" si="231"/>
        <v>-4.7946017680537282E-3</v>
      </c>
      <c r="S1300" s="7">
        <f t="shared" si="223"/>
        <v>10224500</v>
      </c>
      <c r="T1300" s="7">
        <f t="shared" si="224"/>
        <v>3098333.3333333335</v>
      </c>
      <c r="U1300" s="7">
        <f t="shared" si="225"/>
        <v>9410000</v>
      </c>
      <c r="V1300" s="7">
        <f t="shared" si="226"/>
        <v>0</v>
      </c>
      <c r="W1300" s="7">
        <f t="shared" si="227"/>
        <v>0</v>
      </c>
      <c r="X1300" s="7">
        <f t="shared" si="228"/>
        <v>0</v>
      </c>
    </row>
    <row r="1301" spans="1:24">
      <c r="A1301">
        <v>1300</v>
      </c>
      <c r="B1301" s="96" t="s">
        <v>2303</v>
      </c>
      <c r="C1301" s="95">
        <v>41917</v>
      </c>
      <c r="D1301" s="82">
        <v>9295000</v>
      </c>
      <c r="E1301" s="82">
        <v>9265000</v>
      </c>
      <c r="F1301" s="82">
        <v>9295000</v>
      </c>
      <c r="G1301" s="82">
        <v>9295000</v>
      </c>
      <c r="I1301" s="98">
        <v>0</v>
      </c>
      <c r="J1301" s="98">
        <v>0</v>
      </c>
      <c r="K1301" s="98">
        <v>0</v>
      </c>
      <c r="M1301" s="7">
        <f t="shared" si="221"/>
        <v>0</v>
      </c>
      <c r="N1301" s="7">
        <f t="shared" si="230"/>
        <v>0</v>
      </c>
      <c r="O1301" s="7">
        <f t="shared" si="229"/>
        <v>0</v>
      </c>
      <c r="P1301" s="99">
        <f t="shared" si="222"/>
        <v>0</v>
      </c>
      <c r="Q1301" s="99">
        <f t="shared" si="231"/>
        <v>-9.612575193558473E-3</v>
      </c>
      <c r="S1301" s="7">
        <f t="shared" si="223"/>
        <v>10224500</v>
      </c>
      <c r="T1301" s="7">
        <f t="shared" si="224"/>
        <v>3098333.3333333335</v>
      </c>
      <c r="U1301" s="7">
        <f t="shared" si="225"/>
        <v>9380000</v>
      </c>
      <c r="V1301" s="7">
        <f t="shared" si="226"/>
        <v>0</v>
      </c>
      <c r="W1301" s="7">
        <f t="shared" si="227"/>
        <v>0</v>
      </c>
      <c r="X1301" s="7">
        <f t="shared" si="228"/>
        <v>0</v>
      </c>
    </row>
    <row r="1302" spans="1:24">
      <c r="A1302">
        <v>1301</v>
      </c>
      <c r="B1302" s="96" t="s">
        <v>2302</v>
      </c>
      <c r="C1302" s="95">
        <v>41918</v>
      </c>
      <c r="D1302" s="82">
        <v>9285000</v>
      </c>
      <c r="E1302" s="82">
        <v>9245000</v>
      </c>
      <c r="F1302" s="82">
        <v>9285000</v>
      </c>
      <c r="G1302" s="82">
        <v>9285000</v>
      </c>
      <c r="I1302" s="82">
        <f>G1302*1.1</f>
        <v>10213500</v>
      </c>
      <c r="J1302" s="82">
        <f>G1302/3</f>
        <v>3095000</v>
      </c>
      <c r="K1302" s="7">
        <f>G1570</f>
        <v>9355000</v>
      </c>
      <c r="L1302" s="7">
        <f>K1302-I1302</f>
        <v>-858500</v>
      </c>
      <c r="M1302" s="7">
        <f t="shared" si="221"/>
        <v>386875</v>
      </c>
      <c r="N1302" s="7">
        <f t="shared" si="230"/>
        <v>-471625</v>
      </c>
      <c r="O1302" s="7">
        <f t="shared" si="229"/>
        <v>-10000</v>
      </c>
      <c r="P1302" s="99">
        <f t="shared" si="222"/>
        <v>-1.0758472296933835E-3</v>
      </c>
      <c r="Q1302" s="99">
        <f t="shared" si="231"/>
        <v>-5.3504547886570357E-3</v>
      </c>
      <c r="R1302">
        <v>1</v>
      </c>
      <c r="S1302" s="7">
        <f t="shared" si="223"/>
        <v>10213500</v>
      </c>
      <c r="T1302" s="7">
        <f t="shared" si="224"/>
        <v>3095000</v>
      </c>
      <c r="U1302" s="7">
        <f t="shared" si="225"/>
        <v>9355000</v>
      </c>
      <c r="V1302" s="7">
        <f t="shared" si="226"/>
        <v>-858500</v>
      </c>
      <c r="W1302" s="7">
        <f t="shared" si="227"/>
        <v>386875</v>
      </c>
      <c r="X1302" s="7">
        <f t="shared" si="228"/>
        <v>-471625</v>
      </c>
    </row>
    <row r="1303" spans="1:24">
      <c r="A1303">
        <v>1302</v>
      </c>
      <c r="B1303" s="96" t="s">
        <v>2301</v>
      </c>
      <c r="C1303" s="95">
        <v>41919</v>
      </c>
      <c r="D1303" s="82">
        <v>9365000</v>
      </c>
      <c r="E1303" s="82">
        <v>9320000</v>
      </c>
      <c r="F1303" s="82">
        <v>9370000</v>
      </c>
      <c r="G1303" s="82">
        <v>9365000</v>
      </c>
      <c r="I1303" s="97">
        <v>0</v>
      </c>
      <c r="J1303" s="97">
        <v>0</v>
      </c>
      <c r="K1303" s="97">
        <v>0</v>
      </c>
      <c r="M1303" s="7">
        <f t="shared" si="221"/>
        <v>0</v>
      </c>
      <c r="N1303" s="7">
        <f t="shared" si="230"/>
        <v>0</v>
      </c>
      <c r="O1303" s="7">
        <f t="shared" si="229"/>
        <v>80000</v>
      </c>
      <c r="P1303" s="99">
        <f t="shared" si="222"/>
        <v>8.6160473882606354E-3</v>
      </c>
      <c r="Q1303" s="99">
        <f t="shared" si="231"/>
        <v>-6.4263020183504193E-3</v>
      </c>
      <c r="S1303" s="7">
        <f t="shared" si="223"/>
        <v>10301500</v>
      </c>
      <c r="T1303" s="7">
        <f t="shared" si="224"/>
        <v>3121666.6666666665</v>
      </c>
      <c r="U1303" s="7">
        <f t="shared" si="225"/>
        <v>9255000</v>
      </c>
      <c r="V1303" s="7">
        <f t="shared" si="226"/>
        <v>0</v>
      </c>
      <c r="W1303" s="7">
        <f t="shared" si="227"/>
        <v>0</v>
      </c>
      <c r="X1303" s="7">
        <f t="shared" si="228"/>
        <v>0</v>
      </c>
    </row>
    <row r="1304" spans="1:24">
      <c r="A1304">
        <v>1303</v>
      </c>
      <c r="B1304" s="96" t="s">
        <v>2300</v>
      </c>
      <c r="C1304" s="95">
        <v>41920</v>
      </c>
      <c r="D1304" s="82">
        <v>9395000</v>
      </c>
      <c r="E1304" s="82">
        <v>9370000</v>
      </c>
      <c r="F1304" s="82">
        <v>9425000</v>
      </c>
      <c r="G1304" s="82">
        <v>9395000</v>
      </c>
      <c r="I1304" s="97">
        <v>0</v>
      </c>
      <c r="J1304" s="97">
        <v>0</v>
      </c>
      <c r="K1304" s="97">
        <v>0</v>
      </c>
      <c r="M1304" s="7">
        <f t="shared" si="221"/>
        <v>0</v>
      </c>
      <c r="N1304" s="7">
        <f t="shared" si="230"/>
        <v>0</v>
      </c>
      <c r="O1304" s="7">
        <f t="shared" si="229"/>
        <v>30000</v>
      </c>
      <c r="P1304" s="99">
        <f t="shared" si="222"/>
        <v>3.2034169781099838E-3</v>
      </c>
      <c r="Q1304" s="99">
        <f t="shared" si="231"/>
        <v>2.1897453699102161E-3</v>
      </c>
      <c r="S1304" s="7">
        <f t="shared" si="223"/>
        <v>10334500</v>
      </c>
      <c r="T1304" s="7">
        <f t="shared" si="224"/>
        <v>3131666.6666666665</v>
      </c>
      <c r="U1304" s="7">
        <f t="shared" si="225"/>
        <v>9160000</v>
      </c>
      <c r="V1304" s="7">
        <f t="shared" si="226"/>
        <v>0</v>
      </c>
      <c r="W1304" s="7">
        <f t="shared" si="227"/>
        <v>0</v>
      </c>
      <c r="X1304" s="7">
        <f t="shared" si="228"/>
        <v>0</v>
      </c>
    </row>
    <row r="1305" spans="1:24">
      <c r="A1305">
        <v>1304</v>
      </c>
      <c r="B1305" s="96" t="s">
        <v>2299</v>
      </c>
      <c r="C1305" s="95">
        <v>41921</v>
      </c>
      <c r="D1305" s="82">
        <v>9460000</v>
      </c>
      <c r="E1305" s="82">
        <v>9440000</v>
      </c>
      <c r="F1305" s="82">
        <v>9475000</v>
      </c>
      <c r="G1305" s="82">
        <v>9460000</v>
      </c>
      <c r="I1305" s="97">
        <v>0</v>
      </c>
      <c r="J1305" s="97">
        <v>0</v>
      </c>
      <c r="K1305" s="97">
        <v>0</v>
      </c>
      <c r="M1305" s="7">
        <f t="shared" si="221"/>
        <v>0</v>
      </c>
      <c r="N1305" s="7">
        <f t="shared" si="230"/>
        <v>0</v>
      </c>
      <c r="O1305" s="7">
        <f t="shared" si="229"/>
        <v>65000</v>
      </c>
      <c r="P1305" s="99">
        <f t="shared" si="222"/>
        <v>6.9185737094199038E-3</v>
      </c>
      <c r="Q1305" s="99">
        <f t="shared" si="231"/>
        <v>5.3931623480201994E-3</v>
      </c>
      <c r="S1305" s="7">
        <f t="shared" si="223"/>
        <v>10406000</v>
      </c>
      <c r="T1305" s="7">
        <f t="shared" si="224"/>
        <v>3153333.3333333335</v>
      </c>
      <c r="U1305" s="7">
        <f t="shared" si="225"/>
        <v>9110000</v>
      </c>
      <c r="V1305" s="7">
        <f t="shared" si="226"/>
        <v>0</v>
      </c>
      <c r="W1305" s="7">
        <f t="shared" si="227"/>
        <v>0</v>
      </c>
      <c r="X1305" s="7">
        <f t="shared" si="228"/>
        <v>0</v>
      </c>
    </row>
    <row r="1306" spans="1:24">
      <c r="A1306">
        <v>1305</v>
      </c>
      <c r="B1306" s="96" t="s">
        <v>2298</v>
      </c>
      <c r="C1306" s="95">
        <v>41922</v>
      </c>
      <c r="D1306" s="82">
        <v>9460000</v>
      </c>
      <c r="E1306" s="82">
        <v>9445000</v>
      </c>
      <c r="F1306" s="82">
        <v>9475000</v>
      </c>
      <c r="G1306" s="82">
        <v>9460000</v>
      </c>
      <c r="I1306" s="98">
        <v>0</v>
      </c>
      <c r="J1306" s="98">
        <v>0</v>
      </c>
      <c r="K1306" s="98">
        <v>0</v>
      </c>
      <c r="M1306" s="7">
        <f t="shared" si="221"/>
        <v>0</v>
      </c>
      <c r="N1306" s="7">
        <f t="shared" si="230"/>
        <v>0</v>
      </c>
      <c r="O1306" s="7">
        <f t="shared" si="229"/>
        <v>0</v>
      </c>
      <c r="P1306" s="99">
        <f t="shared" si="222"/>
        <v>0</v>
      </c>
      <c r="Q1306" s="99">
        <f t="shared" si="231"/>
        <v>1.7662190846097138E-2</v>
      </c>
      <c r="S1306" s="7">
        <f t="shared" si="223"/>
        <v>10406000</v>
      </c>
      <c r="T1306" s="7">
        <f t="shared" si="224"/>
        <v>3153333.3333333335</v>
      </c>
      <c r="U1306" s="7">
        <f t="shared" si="225"/>
        <v>9085000</v>
      </c>
      <c r="V1306" s="7">
        <f t="shared" si="226"/>
        <v>0</v>
      </c>
      <c r="W1306" s="7">
        <f t="shared" si="227"/>
        <v>0</v>
      </c>
      <c r="X1306" s="7">
        <f t="shared" si="228"/>
        <v>0</v>
      </c>
    </row>
    <row r="1307" spans="1:24">
      <c r="A1307">
        <v>1306</v>
      </c>
      <c r="B1307" s="96" t="s">
        <v>2297</v>
      </c>
      <c r="C1307" s="95">
        <v>41923</v>
      </c>
      <c r="D1307" s="82">
        <v>9395000</v>
      </c>
      <c r="E1307" s="82">
        <v>9395000</v>
      </c>
      <c r="F1307" s="82">
        <v>9495000</v>
      </c>
      <c r="G1307" s="82">
        <v>9395000</v>
      </c>
      <c r="I1307" s="82">
        <f>G1307*1.1</f>
        <v>10334500</v>
      </c>
      <c r="J1307" s="82">
        <f>G1307/3</f>
        <v>3131666.6666666665</v>
      </c>
      <c r="K1307" s="7">
        <f>G1575</f>
        <v>9190000</v>
      </c>
      <c r="L1307" s="7">
        <f>K1307-I1307</f>
        <v>-1144500</v>
      </c>
      <c r="M1307" s="7">
        <f t="shared" si="221"/>
        <v>391458.33333333326</v>
      </c>
      <c r="N1307" s="7">
        <f t="shared" si="230"/>
        <v>-753041.66666666674</v>
      </c>
      <c r="O1307" s="7">
        <f t="shared" si="229"/>
        <v>-65000</v>
      </c>
      <c r="P1307" s="99">
        <f t="shared" si="222"/>
        <v>-6.8710359408033824E-3</v>
      </c>
      <c r="Q1307" s="99">
        <f t="shared" si="231"/>
        <v>1.7662190846097138E-2</v>
      </c>
      <c r="R1307">
        <v>1</v>
      </c>
      <c r="S1307" s="7">
        <f t="shared" si="223"/>
        <v>10334500</v>
      </c>
      <c r="T1307" s="7">
        <f t="shared" si="224"/>
        <v>3131666.6666666665</v>
      </c>
      <c r="U1307" s="7">
        <f t="shared" si="225"/>
        <v>9190000</v>
      </c>
      <c r="V1307" s="7">
        <f t="shared" si="226"/>
        <v>-1144500</v>
      </c>
      <c r="W1307" s="7">
        <f t="shared" si="227"/>
        <v>391458.33333333326</v>
      </c>
      <c r="X1307" s="7">
        <f t="shared" si="228"/>
        <v>-753041.66666666674</v>
      </c>
    </row>
    <row r="1308" spans="1:24">
      <c r="A1308">
        <v>1307</v>
      </c>
      <c r="B1308" s="96" t="s">
        <v>2296</v>
      </c>
      <c r="C1308" s="95">
        <v>41924</v>
      </c>
      <c r="D1308" s="82">
        <v>9395000</v>
      </c>
      <c r="E1308" s="82">
        <v>9375000</v>
      </c>
      <c r="F1308" s="82">
        <v>9395000</v>
      </c>
      <c r="G1308" s="82">
        <v>9395000</v>
      </c>
      <c r="I1308" s="97">
        <v>0</v>
      </c>
      <c r="J1308" s="97">
        <v>0</v>
      </c>
      <c r="K1308" s="97">
        <v>0</v>
      </c>
      <c r="M1308" s="7">
        <f t="shared" si="221"/>
        <v>0</v>
      </c>
      <c r="N1308" s="7">
        <f t="shared" si="230"/>
        <v>0</v>
      </c>
      <c r="O1308" s="7">
        <f t="shared" si="229"/>
        <v>0</v>
      </c>
      <c r="P1308" s="99">
        <f t="shared" si="222"/>
        <v>0</v>
      </c>
      <c r="Q1308" s="99">
        <f t="shared" si="231"/>
        <v>1.1867002134987143E-2</v>
      </c>
      <c r="S1308" s="7">
        <f t="shared" si="223"/>
        <v>10334500</v>
      </c>
      <c r="T1308" s="7">
        <f t="shared" si="224"/>
        <v>3131666.6666666665</v>
      </c>
      <c r="U1308" s="7">
        <f t="shared" si="225"/>
        <v>9200000</v>
      </c>
      <c r="V1308" s="7">
        <f t="shared" si="226"/>
        <v>0</v>
      </c>
      <c r="W1308" s="7">
        <f t="shared" si="227"/>
        <v>0</v>
      </c>
      <c r="X1308" s="7">
        <f t="shared" si="228"/>
        <v>0</v>
      </c>
    </row>
    <row r="1309" spans="1:24">
      <c r="A1309">
        <v>1308</v>
      </c>
      <c r="B1309" s="96" t="s">
        <v>2295</v>
      </c>
      <c r="C1309" s="95">
        <v>41925</v>
      </c>
      <c r="D1309" s="82">
        <v>9395000</v>
      </c>
      <c r="E1309" s="82">
        <v>9395000</v>
      </c>
      <c r="F1309" s="82">
        <v>9400000</v>
      </c>
      <c r="G1309" s="82">
        <v>9395000</v>
      </c>
      <c r="I1309" s="97">
        <v>0</v>
      </c>
      <c r="J1309" s="97">
        <v>0</v>
      </c>
      <c r="K1309" s="97">
        <v>0</v>
      </c>
      <c r="M1309" s="7">
        <f t="shared" si="221"/>
        <v>0</v>
      </c>
      <c r="N1309" s="7">
        <f t="shared" si="230"/>
        <v>0</v>
      </c>
      <c r="O1309" s="7">
        <f t="shared" si="229"/>
        <v>0</v>
      </c>
      <c r="P1309" s="99">
        <f t="shared" si="222"/>
        <v>0</v>
      </c>
      <c r="Q1309" s="99">
        <f t="shared" si="231"/>
        <v>3.2509547467265056E-3</v>
      </c>
      <c r="S1309" s="7">
        <f t="shared" si="223"/>
        <v>10334500</v>
      </c>
      <c r="T1309" s="7">
        <f t="shared" si="224"/>
        <v>3131666.6666666665</v>
      </c>
      <c r="U1309" s="7">
        <f t="shared" si="225"/>
        <v>9275000</v>
      </c>
      <c r="V1309" s="7">
        <f t="shared" si="226"/>
        <v>0</v>
      </c>
      <c r="W1309" s="7">
        <f t="shared" si="227"/>
        <v>0</v>
      </c>
      <c r="X1309" s="7">
        <f t="shared" si="228"/>
        <v>0</v>
      </c>
    </row>
    <row r="1310" spans="1:24">
      <c r="A1310">
        <v>1309</v>
      </c>
      <c r="B1310" s="96" t="s">
        <v>2294</v>
      </c>
      <c r="C1310" s="95">
        <v>41926</v>
      </c>
      <c r="D1310" s="82">
        <v>9405000</v>
      </c>
      <c r="E1310" s="82">
        <v>9385000</v>
      </c>
      <c r="F1310" s="82">
        <v>9440000</v>
      </c>
      <c r="G1310" s="82">
        <v>9405000</v>
      </c>
      <c r="I1310" s="97">
        <v>0</v>
      </c>
      <c r="J1310" s="97">
        <v>0</v>
      </c>
      <c r="K1310" s="97">
        <v>0</v>
      </c>
      <c r="M1310" s="7">
        <f t="shared" si="221"/>
        <v>0</v>
      </c>
      <c r="N1310" s="7">
        <f t="shared" si="230"/>
        <v>0</v>
      </c>
      <c r="O1310" s="7">
        <f t="shared" si="229"/>
        <v>10000</v>
      </c>
      <c r="P1310" s="99">
        <f t="shared" si="222"/>
        <v>1.0643959552953698E-3</v>
      </c>
      <c r="Q1310" s="99">
        <f t="shared" si="231"/>
        <v>4.7537768616521398E-5</v>
      </c>
      <c r="S1310" s="7">
        <f t="shared" si="223"/>
        <v>10345500</v>
      </c>
      <c r="T1310" s="7">
        <f t="shared" si="224"/>
        <v>3135000</v>
      </c>
      <c r="U1310" s="7">
        <f t="shared" si="225"/>
        <v>9185000</v>
      </c>
      <c r="V1310" s="7">
        <f t="shared" si="226"/>
        <v>0</v>
      </c>
      <c r="W1310" s="7">
        <f t="shared" si="227"/>
        <v>0</v>
      </c>
      <c r="X1310" s="7">
        <f t="shared" si="228"/>
        <v>0</v>
      </c>
    </row>
    <row r="1311" spans="1:24">
      <c r="A1311">
        <v>1310</v>
      </c>
      <c r="B1311" s="96" t="s">
        <v>2293</v>
      </c>
      <c r="C1311" s="95">
        <v>41927</v>
      </c>
      <c r="D1311" s="82">
        <v>9405000</v>
      </c>
      <c r="E1311" s="82">
        <v>9345000</v>
      </c>
      <c r="F1311" s="82">
        <v>9415000</v>
      </c>
      <c r="G1311" s="82">
        <v>9405000</v>
      </c>
      <c r="I1311" s="98">
        <v>0</v>
      </c>
      <c r="J1311" s="98">
        <v>0</v>
      </c>
      <c r="K1311" s="98">
        <v>0</v>
      </c>
      <c r="M1311" s="7">
        <f t="shared" si="221"/>
        <v>0</v>
      </c>
      <c r="N1311" s="7">
        <f t="shared" si="230"/>
        <v>0</v>
      </c>
      <c r="O1311" s="7">
        <f t="shared" si="229"/>
        <v>0</v>
      </c>
      <c r="P1311" s="99">
        <f t="shared" si="222"/>
        <v>0</v>
      </c>
      <c r="Q1311" s="99">
        <f t="shared" si="231"/>
        <v>-5.8066399855080126E-3</v>
      </c>
      <c r="S1311" s="7">
        <f t="shared" si="223"/>
        <v>10345500</v>
      </c>
      <c r="T1311" s="7">
        <f t="shared" si="224"/>
        <v>3135000</v>
      </c>
      <c r="U1311" s="7">
        <f t="shared" si="225"/>
        <v>9165000</v>
      </c>
      <c r="V1311" s="7">
        <f t="shared" si="226"/>
        <v>0</v>
      </c>
      <c r="W1311" s="7">
        <f t="shared" si="227"/>
        <v>0</v>
      </c>
      <c r="X1311" s="7">
        <f t="shared" si="228"/>
        <v>0</v>
      </c>
    </row>
    <row r="1312" spans="1:24">
      <c r="A1312">
        <v>1311</v>
      </c>
      <c r="B1312" s="96" t="s">
        <v>2292</v>
      </c>
      <c r="C1312" s="95">
        <v>41928</v>
      </c>
      <c r="D1312" s="82">
        <v>9415000</v>
      </c>
      <c r="E1312" s="82">
        <v>9395000</v>
      </c>
      <c r="F1312" s="82">
        <v>9420000</v>
      </c>
      <c r="G1312" s="82">
        <v>9415000</v>
      </c>
      <c r="I1312" s="82">
        <f>G1312*1.1</f>
        <v>10356500</v>
      </c>
      <c r="J1312" s="82">
        <f>G1312/3</f>
        <v>3138333.3333333335</v>
      </c>
      <c r="K1312" s="7">
        <f>G1580</f>
        <v>9200000</v>
      </c>
      <c r="L1312" s="7">
        <f>K1312-I1312</f>
        <v>-1156500</v>
      </c>
      <c r="M1312" s="7">
        <f t="shared" si="221"/>
        <v>392291.66666666674</v>
      </c>
      <c r="N1312" s="7">
        <f t="shared" si="230"/>
        <v>-764208.33333333326</v>
      </c>
      <c r="O1312" s="7">
        <f t="shared" si="229"/>
        <v>10000</v>
      </c>
      <c r="P1312" s="99">
        <f t="shared" si="222"/>
        <v>1.0632642211589581E-3</v>
      </c>
      <c r="Q1312" s="99">
        <f t="shared" si="231"/>
        <v>-5.8066399855080126E-3</v>
      </c>
      <c r="R1312">
        <v>1</v>
      </c>
      <c r="S1312" s="7">
        <f t="shared" si="223"/>
        <v>10356500</v>
      </c>
      <c r="T1312" s="7">
        <f t="shared" si="224"/>
        <v>3138333.3333333335</v>
      </c>
      <c r="U1312" s="7">
        <f t="shared" si="225"/>
        <v>9200000</v>
      </c>
      <c r="V1312" s="7">
        <f t="shared" si="226"/>
        <v>-1156500</v>
      </c>
      <c r="W1312" s="7">
        <f t="shared" si="227"/>
        <v>392291.66666666674</v>
      </c>
      <c r="X1312" s="7">
        <f t="shared" si="228"/>
        <v>-764208.33333333326</v>
      </c>
    </row>
    <row r="1313" spans="1:24">
      <c r="A1313">
        <v>1312</v>
      </c>
      <c r="B1313" s="96" t="s">
        <v>2291</v>
      </c>
      <c r="C1313" s="95">
        <v>41929</v>
      </c>
      <c r="D1313" s="82">
        <v>9415000</v>
      </c>
      <c r="E1313" s="82">
        <v>9400000</v>
      </c>
      <c r="F1313" s="82">
        <v>9415000</v>
      </c>
      <c r="G1313" s="82">
        <v>9415000</v>
      </c>
      <c r="I1313" s="97">
        <v>0</v>
      </c>
      <c r="J1313" s="97">
        <v>0</v>
      </c>
      <c r="K1313" s="97">
        <v>0</v>
      </c>
      <c r="M1313" s="7">
        <f t="shared" si="221"/>
        <v>0</v>
      </c>
      <c r="N1313" s="7">
        <f t="shared" si="230"/>
        <v>0</v>
      </c>
      <c r="O1313" s="7">
        <f t="shared" si="229"/>
        <v>0</v>
      </c>
      <c r="P1313" s="99">
        <f t="shared" si="222"/>
        <v>0</v>
      </c>
      <c r="Q1313" s="99">
        <f t="shared" si="231"/>
        <v>2.1276601764543277E-3</v>
      </c>
      <c r="S1313" s="7">
        <f t="shared" si="223"/>
        <v>10356500</v>
      </c>
      <c r="T1313" s="7">
        <f t="shared" si="224"/>
        <v>3138333.3333333335</v>
      </c>
      <c r="U1313" s="7">
        <f t="shared" si="225"/>
        <v>9205000</v>
      </c>
      <c r="V1313" s="7">
        <f t="shared" si="226"/>
        <v>0</v>
      </c>
      <c r="W1313" s="7">
        <f t="shared" si="227"/>
        <v>0</v>
      </c>
      <c r="X1313" s="7">
        <f t="shared" si="228"/>
        <v>0</v>
      </c>
    </row>
    <row r="1314" spans="1:24">
      <c r="A1314">
        <v>1313</v>
      </c>
      <c r="B1314" s="96" t="s">
        <v>2290</v>
      </c>
      <c r="C1314" s="95">
        <v>41930</v>
      </c>
      <c r="D1314" s="82">
        <v>9380000</v>
      </c>
      <c r="E1314" s="82">
        <v>9370000</v>
      </c>
      <c r="F1314" s="82">
        <v>9395000</v>
      </c>
      <c r="G1314" s="82">
        <v>9380000</v>
      </c>
      <c r="I1314" s="97">
        <v>0</v>
      </c>
      <c r="J1314" s="97">
        <v>0</v>
      </c>
      <c r="K1314" s="97">
        <v>0</v>
      </c>
      <c r="M1314" s="7">
        <f t="shared" si="221"/>
        <v>0</v>
      </c>
      <c r="N1314" s="7">
        <f t="shared" si="230"/>
        <v>0</v>
      </c>
      <c r="O1314" s="7">
        <f t="shared" si="229"/>
        <v>-35000</v>
      </c>
      <c r="P1314" s="99">
        <f t="shared" si="222"/>
        <v>-3.7174721189591076E-3</v>
      </c>
      <c r="Q1314" s="99">
        <f t="shared" si="231"/>
        <v>2.1276601764543277E-3</v>
      </c>
      <c r="S1314" s="7">
        <f t="shared" si="223"/>
        <v>10318000</v>
      </c>
      <c r="T1314" s="7">
        <f t="shared" si="224"/>
        <v>3126666.6666666665</v>
      </c>
      <c r="U1314" s="7">
        <f t="shared" si="225"/>
        <v>9150000</v>
      </c>
      <c r="V1314" s="7">
        <f t="shared" si="226"/>
        <v>0</v>
      </c>
      <c r="W1314" s="7">
        <f t="shared" si="227"/>
        <v>0</v>
      </c>
      <c r="X1314" s="7">
        <f t="shared" si="228"/>
        <v>0</v>
      </c>
    </row>
    <row r="1315" spans="1:24">
      <c r="A1315">
        <v>1314</v>
      </c>
      <c r="B1315" s="96" t="s">
        <v>2289</v>
      </c>
      <c r="C1315" s="95">
        <v>41931</v>
      </c>
      <c r="D1315" s="82">
        <v>9390000</v>
      </c>
      <c r="E1315" s="82">
        <v>9370000</v>
      </c>
      <c r="F1315" s="82">
        <v>9390000</v>
      </c>
      <c r="G1315" s="82">
        <v>9390000</v>
      </c>
      <c r="I1315" s="97">
        <v>0</v>
      </c>
      <c r="J1315" s="97">
        <v>0</v>
      </c>
      <c r="K1315" s="97">
        <v>0</v>
      </c>
      <c r="M1315" s="7">
        <f t="shared" si="221"/>
        <v>0</v>
      </c>
      <c r="N1315" s="7">
        <f t="shared" si="230"/>
        <v>0</v>
      </c>
      <c r="O1315" s="7">
        <f t="shared" si="229"/>
        <v>10000</v>
      </c>
      <c r="P1315" s="99">
        <f t="shared" si="222"/>
        <v>1.0660980810234541E-3</v>
      </c>
      <c r="Q1315" s="99">
        <f t="shared" si="231"/>
        <v>-1.58981194250478E-3</v>
      </c>
      <c r="S1315" s="7">
        <f t="shared" si="223"/>
        <v>10329000</v>
      </c>
      <c r="T1315" s="7">
        <f t="shared" si="224"/>
        <v>3130000</v>
      </c>
      <c r="U1315" s="7">
        <f t="shared" si="225"/>
        <v>9195000</v>
      </c>
      <c r="V1315" s="7">
        <f t="shared" si="226"/>
        <v>0</v>
      </c>
      <c r="W1315" s="7">
        <f t="shared" si="227"/>
        <v>0</v>
      </c>
      <c r="X1315" s="7">
        <f t="shared" si="228"/>
        <v>0</v>
      </c>
    </row>
    <row r="1316" spans="1:24">
      <c r="A1316">
        <v>1315</v>
      </c>
      <c r="B1316" s="96" t="s">
        <v>2288</v>
      </c>
      <c r="C1316" s="95">
        <v>41932</v>
      </c>
      <c r="D1316" s="82">
        <v>9375000</v>
      </c>
      <c r="E1316" s="82">
        <v>9370000</v>
      </c>
      <c r="F1316" s="82">
        <v>9395000</v>
      </c>
      <c r="G1316" s="82">
        <v>9375000</v>
      </c>
      <c r="I1316" s="98">
        <v>0</v>
      </c>
      <c r="J1316" s="98">
        <v>0</v>
      </c>
      <c r="K1316" s="98">
        <v>0</v>
      </c>
      <c r="M1316" s="7">
        <f t="shared" si="221"/>
        <v>0</v>
      </c>
      <c r="N1316" s="7">
        <f t="shared" si="230"/>
        <v>0</v>
      </c>
      <c r="O1316" s="7">
        <f t="shared" si="229"/>
        <v>-15000</v>
      </c>
      <c r="P1316" s="99">
        <f t="shared" si="222"/>
        <v>-1.5974440894568689E-3</v>
      </c>
      <c r="Q1316" s="99">
        <f t="shared" si="231"/>
        <v>-1.5881098167766956E-3</v>
      </c>
      <c r="S1316" s="7">
        <f t="shared" si="223"/>
        <v>10312500</v>
      </c>
      <c r="T1316" s="7">
        <f t="shared" si="224"/>
        <v>3125000</v>
      </c>
      <c r="U1316" s="7">
        <f t="shared" si="225"/>
        <v>9145000</v>
      </c>
      <c r="V1316" s="7">
        <f t="shared" si="226"/>
        <v>0</v>
      </c>
      <c r="W1316" s="7">
        <f t="shared" si="227"/>
        <v>0</v>
      </c>
      <c r="X1316" s="7">
        <f t="shared" si="228"/>
        <v>0</v>
      </c>
    </row>
    <row r="1317" spans="1:24">
      <c r="A1317">
        <v>1316</v>
      </c>
      <c r="B1317" s="96" t="s">
        <v>2287</v>
      </c>
      <c r="C1317" s="95">
        <v>41933</v>
      </c>
      <c r="D1317" s="82">
        <v>9390000</v>
      </c>
      <c r="E1317" s="82">
        <v>9380000</v>
      </c>
      <c r="F1317" s="82">
        <v>9410000</v>
      </c>
      <c r="G1317" s="82">
        <v>9390000</v>
      </c>
      <c r="I1317" s="82">
        <f>G1317*1.1</f>
        <v>10329000</v>
      </c>
      <c r="J1317" s="82">
        <f>G1317/3</f>
        <v>3130000</v>
      </c>
      <c r="K1317" s="7">
        <f>G1585</f>
        <v>9120000</v>
      </c>
      <c r="L1317" s="7">
        <f>K1317-I1317</f>
        <v>-1209000</v>
      </c>
      <c r="M1317" s="7">
        <f t="shared" si="221"/>
        <v>391250</v>
      </c>
      <c r="N1317" s="7">
        <f t="shared" si="230"/>
        <v>-817750</v>
      </c>
      <c r="O1317" s="7">
        <f t="shared" si="229"/>
        <v>15000</v>
      </c>
      <c r="P1317" s="99">
        <f t="shared" si="222"/>
        <v>1.6000000000000001E-3</v>
      </c>
      <c r="Q1317" s="99">
        <f t="shared" si="231"/>
        <v>-3.1855539062335646E-3</v>
      </c>
      <c r="R1317">
        <v>1</v>
      </c>
      <c r="S1317" s="7">
        <f t="shared" si="223"/>
        <v>10329000</v>
      </c>
      <c r="T1317" s="7">
        <f t="shared" si="224"/>
        <v>3130000</v>
      </c>
      <c r="U1317" s="7">
        <f t="shared" si="225"/>
        <v>9120000</v>
      </c>
      <c r="V1317" s="7">
        <f t="shared" si="226"/>
        <v>-1209000</v>
      </c>
      <c r="W1317" s="7">
        <f t="shared" si="227"/>
        <v>391250</v>
      </c>
      <c r="X1317" s="7">
        <f t="shared" si="228"/>
        <v>-817750</v>
      </c>
    </row>
    <row r="1318" spans="1:24">
      <c r="A1318">
        <v>1317</v>
      </c>
      <c r="B1318" s="96" t="s">
        <v>2286</v>
      </c>
      <c r="C1318" s="95">
        <v>41934</v>
      </c>
      <c r="D1318" s="82">
        <v>9380000</v>
      </c>
      <c r="E1318" s="82">
        <v>9375000</v>
      </c>
      <c r="F1318" s="82">
        <v>9385000</v>
      </c>
      <c r="G1318" s="82">
        <v>9380000</v>
      </c>
      <c r="I1318" s="97">
        <v>0</v>
      </c>
      <c r="J1318" s="97">
        <v>0</v>
      </c>
      <c r="K1318" s="97">
        <v>0</v>
      </c>
      <c r="M1318" s="7">
        <f t="shared" si="221"/>
        <v>0</v>
      </c>
      <c r="N1318" s="7">
        <f t="shared" si="230"/>
        <v>0</v>
      </c>
      <c r="O1318" s="7">
        <f t="shared" si="229"/>
        <v>-10000</v>
      </c>
      <c r="P1318" s="99">
        <f t="shared" si="222"/>
        <v>-1.0649627263045794E-3</v>
      </c>
      <c r="Q1318" s="99">
        <f t="shared" si="231"/>
        <v>-2.6488181273925226E-3</v>
      </c>
      <c r="S1318" s="7">
        <f t="shared" si="223"/>
        <v>10318000</v>
      </c>
      <c r="T1318" s="7">
        <f t="shared" si="224"/>
        <v>3126666.6666666665</v>
      </c>
      <c r="U1318" s="7">
        <f t="shared" si="225"/>
        <v>9110000</v>
      </c>
      <c r="V1318" s="7">
        <f t="shared" si="226"/>
        <v>0</v>
      </c>
      <c r="W1318" s="7">
        <f t="shared" si="227"/>
        <v>0</v>
      </c>
      <c r="X1318" s="7">
        <f t="shared" si="228"/>
        <v>0</v>
      </c>
    </row>
    <row r="1319" spans="1:24">
      <c r="A1319">
        <v>1318</v>
      </c>
      <c r="B1319" s="96" t="s">
        <v>2285</v>
      </c>
      <c r="C1319" s="95">
        <v>41935</v>
      </c>
      <c r="D1319" s="82">
        <v>9360000</v>
      </c>
      <c r="E1319" s="82">
        <v>9355000</v>
      </c>
      <c r="F1319" s="82">
        <v>9370000</v>
      </c>
      <c r="G1319" s="82">
        <v>9360000</v>
      </c>
      <c r="I1319" s="97">
        <v>0</v>
      </c>
      <c r="J1319" s="97">
        <v>0</v>
      </c>
      <c r="K1319" s="97">
        <v>0</v>
      </c>
      <c r="M1319" s="7">
        <f t="shared" si="221"/>
        <v>0</v>
      </c>
      <c r="N1319" s="7">
        <f t="shared" si="230"/>
        <v>0</v>
      </c>
      <c r="O1319" s="7">
        <f t="shared" si="229"/>
        <v>-20000</v>
      </c>
      <c r="P1319" s="99">
        <f t="shared" si="222"/>
        <v>-2.1321961620469083E-3</v>
      </c>
      <c r="Q1319" s="99">
        <f t="shared" si="231"/>
        <v>-3.713780853697102E-3</v>
      </c>
      <c r="S1319" s="7">
        <f t="shared" si="223"/>
        <v>10296000</v>
      </c>
      <c r="T1319" s="7">
        <f t="shared" si="224"/>
        <v>3120000</v>
      </c>
      <c r="U1319" s="7">
        <f t="shared" si="225"/>
        <v>9115000</v>
      </c>
      <c r="V1319" s="7">
        <f t="shared" si="226"/>
        <v>0</v>
      </c>
      <c r="W1319" s="7">
        <f t="shared" si="227"/>
        <v>0</v>
      </c>
      <c r="X1319" s="7">
        <f t="shared" si="228"/>
        <v>0</v>
      </c>
    </row>
    <row r="1320" spans="1:24">
      <c r="A1320">
        <v>1319</v>
      </c>
      <c r="B1320" s="96" t="s">
        <v>2284</v>
      </c>
      <c r="C1320" s="95">
        <v>41937</v>
      </c>
      <c r="D1320" s="82">
        <v>9300000</v>
      </c>
      <c r="E1320" s="82">
        <v>9300000</v>
      </c>
      <c r="F1320" s="82">
        <v>9340000</v>
      </c>
      <c r="G1320" s="82">
        <v>9300000</v>
      </c>
      <c r="I1320" s="97">
        <v>0</v>
      </c>
      <c r="J1320" s="97">
        <v>0</v>
      </c>
      <c r="K1320" s="97">
        <v>0</v>
      </c>
      <c r="M1320" s="7">
        <f t="shared" si="221"/>
        <v>0</v>
      </c>
      <c r="N1320" s="7">
        <f t="shared" si="230"/>
        <v>0</v>
      </c>
      <c r="O1320" s="7">
        <f t="shared" si="229"/>
        <v>-60000</v>
      </c>
      <c r="P1320" s="99">
        <f t="shared" si="222"/>
        <v>-6.41025641025641E-3</v>
      </c>
      <c r="Q1320" s="99">
        <f t="shared" si="231"/>
        <v>-2.1285048967849022E-3</v>
      </c>
      <c r="S1320" s="7">
        <f t="shared" si="223"/>
        <v>10230000</v>
      </c>
      <c r="T1320" s="7">
        <f t="shared" si="224"/>
        <v>3100000</v>
      </c>
      <c r="U1320" s="7">
        <f t="shared" si="225"/>
        <v>9115000</v>
      </c>
      <c r="V1320" s="7">
        <f t="shared" si="226"/>
        <v>0</v>
      </c>
      <c r="W1320" s="7">
        <f t="shared" si="227"/>
        <v>0</v>
      </c>
      <c r="X1320" s="7">
        <f t="shared" si="228"/>
        <v>0</v>
      </c>
    </row>
    <row r="1321" spans="1:24">
      <c r="A1321">
        <v>1320</v>
      </c>
      <c r="B1321" s="96" t="s">
        <v>2283</v>
      </c>
      <c r="C1321" s="95">
        <v>41938</v>
      </c>
      <c r="D1321" s="82">
        <v>9295000</v>
      </c>
      <c r="E1321" s="82">
        <v>9285000</v>
      </c>
      <c r="F1321" s="82">
        <v>9300000</v>
      </c>
      <c r="G1321" s="82">
        <v>9295000</v>
      </c>
      <c r="I1321" s="98">
        <v>0</v>
      </c>
      <c r="J1321" s="98">
        <v>0</v>
      </c>
      <c r="K1321" s="98">
        <v>0</v>
      </c>
      <c r="M1321" s="7">
        <f t="shared" si="221"/>
        <v>0</v>
      </c>
      <c r="N1321" s="7">
        <f t="shared" si="230"/>
        <v>0</v>
      </c>
      <c r="O1321" s="7">
        <f t="shared" si="229"/>
        <v>-5000</v>
      </c>
      <c r="P1321" s="99">
        <f t="shared" si="222"/>
        <v>-5.3763440860215054E-4</v>
      </c>
      <c r="Q1321" s="99">
        <f t="shared" si="231"/>
        <v>-9.6048593880647664E-3</v>
      </c>
      <c r="S1321" s="7">
        <f t="shared" si="223"/>
        <v>10224500</v>
      </c>
      <c r="T1321" s="7">
        <f t="shared" si="224"/>
        <v>3098333.3333333335</v>
      </c>
      <c r="U1321" s="7">
        <f t="shared" si="225"/>
        <v>9095000</v>
      </c>
      <c r="V1321" s="7">
        <f t="shared" si="226"/>
        <v>0</v>
      </c>
      <c r="W1321" s="7">
        <f t="shared" si="227"/>
        <v>0</v>
      </c>
      <c r="X1321" s="7">
        <f t="shared" si="228"/>
        <v>0</v>
      </c>
    </row>
    <row r="1322" spans="1:24">
      <c r="A1322">
        <v>1321</v>
      </c>
      <c r="B1322" s="96" t="s">
        <v>2282</v>
      </c>
      <c r="C1322" s="95">
        <v>41939</v>
      </c>
      <c r="D1322" s="82">
        <v>9310000</v>
      </c>
      <c r="E1322" s="82">
        <v>9295000</v>
      </c>
      <c r="F1322" s="82">
        <v>9325000</v>
      </c>
      <c r="G1322" s="82">
        <v>9310000</v>
      </c>
      <c r="I1322" s="82">
        <f>G1322*1.1</f>
        <v>10241000</v>
      </c>
      <c r="J1322" s="82">
        <f>G1322/3</f>
        <v>3103333.3333333335</v>
      </c>
      <c r="K1322" s="7">
        <f>G1590</f>
        <v>9115000</v>
      </c>
      <c r="L1322" s="7">
        <f>K1322-I1322</f>
        <v>-1126000</v>
      </c>
      <c r="M1322" s="7">
        <f t="shared" si="221"/>
        <v>387916.66666666674</v>
      </c>
      <c r="N1322" s="7">
        <f t="shared" si="230"/>
        <v>-738083.33333333326</v>
      </c>
      <c r="O1322" s="7">
        <f t="shared" si="229"/>
        <v>15000</v>
      </c>
      <c r="P1322" s="99">
        <f t="shared" si="222"/>
        <v>1.6137708445400753E-3</v>
      </c>
      <c r="Q1322" s="99">
        <f t="shared" si="231"/>
        <v>-8.5450497072100482E-3</v>
      </c>
      <c r="R1322">
        <v>1</v>
      </c>
      <c r="S1322" s="7">
        <f t="shared" si="223"/>
        <v>10241000</v>
      </c>
      <c r="T1322" s="7">
        <f t="shared" si="224"/>
        <v>3103333.3333333335</v>
      </c>
      <c r="U1322" s="7">
        <f t="shared" si="225"/>
        <v>9115000</v>
      </c>
      <c r="V1322" s="7">
        <f t="shared" si="226"/>
        <v>-1126000</v>
      </c>
      <c r="W1322" s="7">
        <f t="shared" si="227"/>
        <v>387916.66666666674</v>
      </c>
      <c r="X1322" s="7">
        <f t="shared" si="228"/>
        <v>-738083.33333333326</v>
      </c>
    </row>
    <row r="1323" spans="1:24">
      <c r="A1323">
        <v>1322</v>
      </c>
      <c r="B1323" s="96" t="s">
        <v>2281</v>
      </c>
      <c r="C1323" s="95">
        <v>41940</v>
      </c>
      <c r="D1323" s="82">
        <v>9305000</v>
      </c>
      <c r="E1323" s="82">
        <v>9285000</v>
      </c>
      <c r="F1323" s="82">
        <v>9320000</v>
      </c>
      <c r="G1323" s="82">
        <v>9305000</v>
      </c>
      <c r="I1323" s="97">
        <v>0</v>
      </c>
      <c r="J1323" s="97">
        <v>0</v>
      </c>
      <c r="K1323" s="97">
        <v>0</v>
      </c>
      <c r="M1323" s="7">
        <f t="shared" si="221"/>
        <v>0</v>
      </c>
      <c r="N1323" s="7">
        <f t="shared" si="230"/>
        <v>0</v>
      </c>
      <c r="O1323" s="7">
        <f t="shared" si="229"/>
        <v>-5000</v>
      </c>
      <c r="P1323" s="99">
        <f t="shared" si="222"/>
        <v>-5.3705692803437163E-4</v>
      </c>
      <c r="Q1323" s="99">
        <f t="shared" si="231"/>
        <v>-8.5312788626699734E-3</v>
      </c>
      <c r="S1323" s="7">
        <f t="shared" si="223"/>
        <v>10235500</v>
      </c>
      <c r="T1323" s="7">
        <f t="shared" si="224"/>
        <v>3101666.6666666665</v>
      </c>
      <c r="U1323" s="7">
        <f t="shared" si="225"/>
        <v>9100000</v>
      </c>
      <c r="V1323" s="7">
        <f t="shared" si="226"/>
        <v>0</v>
      </c>
      <c r="W1323" s="7">
        <f t="shared" si="227"/>
        <v>0</v>
      </c>
      <c r="X1323" s="7">
        <f t="shared" si="228"/>
        <v>0</v>
      </c>
    </row>
    <row r="1324" spans="1:24">
      <c r="A1324">
        <v>1323</v>
      </c>
      <c r="B1324" s="96" t="s">
        <v>2280</v>
      </c>
      <c r="C1324" s="95">
        <v>41941</v>
      </c>
      <c r="D1324" s="82">
        <v>9293000</v>
      </c>
      <c r="E1324" s="82">
        <v>9290000</v>
      </c>
      <c r="F1324" s="82">
        <v>9313000</v>
      </c>
      <c r="G1324" s="82">
        <v>9293000</v>
      </c>
      <c r="I1324" s="97">
        <v>0</v>
      </c>
      <c r="J1324" s="97">
        <v>0</v>
      </c>
      <c r="K1324" s="97">
        <v>0</v>
      </c>
      <c r="M1324" s="7">
        <f t="shared" si="221"/>
        <v>0</v>
      </c>
      <c r="N1324" s="7">
        <f t="shared" si="230"/>
        <v>0</v>
      </c>
      <c r="O1324" s="7">
        <f t="shared" si="229"/>
        <v>-12000</v>
      </c>
      <c r="P1324" s="99">
        <f t="shared" si="222"/>
        <v>-1.2896292315959161E-3</v>
      </c>
      <c r="Q1324" s="99">
        <f t="shared" si="231"/>
        <v>-8.0033730643997644E-3</v>
      </c>
      <c r="S1324" s="7">
        <f t="shared" si="223"/>
        <v>10222300</v>
      </c>
      <c r="T1324" s="7">
        <f t="shared" si="224"/>
        <v>3097666.6666666665</v>
      </c>
      <c r="U1324" s="7">
        <f t="shared" si="225"/>
        <v>9180000</v>
      </c>
      <c r="V1324" s="7">
        <f t="shared" si="226"/>
        <v>0</v>
      </c>
      <c r="W1324" s="7">
        <f t="shared" si="227"/>
        <v>0</v>
      </c>
      <c r="X1324" s="7">
        <f t="shared" si="228"/>
        <v>0</v>
      </c>
    </row>
    <row r="1325" spans="1:24">
      <c r="A1325">
        <v>1324</v>
      </c>
      <c r="B1325" s="96" t="s">
        <v>2279</v>
      </c>
      <c r="C1325" s="95">
        <v>41942</v>
      </c>
      <c r="D1325" s="82">
        <v>9244000</v>
      </c>
      <c r="E1325" s="82">
        <v>9229000</v>
      </c>
      <c r="F1325" s="82">
        <v>9273000</v>
      </c>
      <c r="G1325" s="82">
        <v>9244000</v>
      </c>
      <c r="I1325" s="97">
        <v>0</v>
      </c>
      <c r="J1325" s="97">
        <v>0</v>
      </c>
      <c r="K1325" s="97">
        <v>0</v>
      </c>
      <c r="M1325" s="7">
        <f t="shared" si="221"/>
        <v>0</v>
      </c>
      <c r="N1325" s="7">
        <f t="shared" si="230"/>
        <v>0</v>
      </c>
      <c r="O1325" s="7">
        <f t="shared" si="229"/>
        <v>-49000</v>
      </c>
      <c r="P1325" s="99">
        <f t="shared" si="222"/>
        <v>-5.2727859679328531E-3</v>
      </c>
      <c r="Q1325" s="99">
        <f t="shared" si="231"/>
        <v>-7.1608061339487727E-3</v>
      </c>
      <c r="S1325" s="7">
        <f t="shared" si="223"/>
        <v>10168400</v>
      </c>
      <c r="T1325" s="7">
        <f t="shared" si="224"/>
        <v>3081333.3333333335</v>
      </c>
      <c r="U1325" s="7">
        <f t="shared" si="225"/>
        <v>9165000</v>
      </c>
      <c r="V1325" s="7">
        <f t="shared" si="226"/>
        <v>0</v>
      </c>
      <c r="W1325" s="7">
        <f t="shared" si="227"/>
        <v>0</v>
      </c>
      <c r="X1325" s="7">
        <f t="shared" si="228"/>
        <v>0</v>
      </c>
    </row>
    <row r="1326" spans="1:24">
      <c r="A1326">
        <v>1325</v>
      </c>
      <c r="B1326" s="96" t="s">
        <v>2278</v>
      </c>
      <c r="C1326" s="95">
        <v>41943</v>
      </c>
      <c r="D1326" s="82">
        <v>9244000</v>
      </c>
      <c r="E1326" s="82">
        <v>9242000</v>
      </c>
      <c r="F1326" s="82">
        <v>9244000</v>
      </c>
      <c r="G1326" s="82">
        <v>9244000</v>
      </c>
      <c r="I1326" s="98">
        <v>0</v>
      </c>
      <c r="J1326" s="98">
        <v>0</v>
      </c>
      <c r="K1326" s="98">
        <v>0</v>
      </c>
      <c r="M1326" s="7">
        <f t="shared" si="221"/>
        <v>0</v>
      </c>
      <c r="N1326" s="7">
        <f t="shared" si="230"/>
        <v>0</v>
      </c>
      <c r="O1326" s="7">
        <f t="shared" si="229"/>
        <v>0</v>
      </c>
      <c r="P1326" s="99">
        <f t="shared" si="222"/>
        <v>0</v>
      </c>
      <c r="Q1326" s="99">
        <f t="shared" si="231"/>
        <v>-6.0233356916252158E-3</v>
      </c>
      <c r="S1326" s="7">
        <f t="shared" si="223"/>
        <v>10168400</v>
      </c>
      <c r="T1326" s="7">
        <f t="shared" si="224"/>
        <v>3081333.3333333335</v>
      </c>
      <c r="U1326" s="7">
        <f t="shared" si="225"/>
        <v>9155000</v>
      </c>
      <c r="V1326" s="7">
        <f t="shared" si="226"/>
        <v>0</v>
      </c>
      <c r="W1326" s="7">
        <f t="shared" si="227"/>
        <v>0</v>
      </c>
      <c r="X1326" s="7">
        <f t="shared" si="228"/>
        <v>0</v>
      </c>
    </row>
    <row r="1327" spans="1:24">
      <c r="A1327">
        <v>1326</v>
      </c>
      <c r="B1327" s="96" t="s">
        <v>2277</v>
      </c>
      <c r="C1327" s="95">
        <v>41944</v>
      </c>
      <c r="D1327" s="82">
        <v>9143000</v>
      </c>
      <c r="E1327" s="82">
        <v>9127000</v>
      </c>
      <c r="F1327" s="82">
        <v>9153000</v>
      </c>
      <c r="G1327" s="82">
        <v>9143000</v>
      </c>
      <c r="I1327" s="82">
        <f>G1327*1.1</f>
        <v>10057300</v>
      </c>
      <c r="J1327" s="82">
        <f>G1327/3</f>
        <v>3047666.6666666665</v>
      </c>
      <c r="K1327" s="7">
        <f>G1595</f>
        <v>9100000</v>
      </c>
      <c r="L1327" s="7">
        <f>K1327-I1327</f>
        <v>-957300</v>
      </c>
      <c r="M1327" s="7">
        <f t="shared" si="221"/>
        <v>380958.33333333326</v>
      </c>
      <c r="N1327" s="7">
        <f t="shared" si="230"/>
        <v>-576341.66666666674</v>
      </c>
      <c r="O1327" s="7">
        <f t="shared" si="229"/>
        <v>-101000</v>
      </c>
      <c r="P1327" s="99">
        <f t="shared" si="222"/>
        <v>-1.0926006057983557E-2</v>
      </c>
      <c r="Q1327" s="99">
        <f t="shared" si="231"/>
        <v>-5.4857012830230659E-3</v>
      </c>
      <c r="R1327">
        <v>1</v>
      </c>
      <c r="S1327" s="7">
        <f t="shared" si="223"/>
        <v>10057300</v>
      </c>
      <c r="T1327" s="7">
        <f t="shared" si="224"/>
        <v>3047666.6666666665</v>
      </c>
      <c r="U1327" s="7">
        <f t="shared" si="225"/>
        <v>9100000</v>
      </c>
      <c r="V1327" s="7">
        <f t="shared" si="226"/>
        <v>-957300</v>
      </c>
      <c r="W1327" s="7">
        <f t="shared" si="227"/>
        <v>380958.33333333326</v>
      </c>
      <c r="X1327" s="7">
        <f t="shared" si="228"/>
        <v>-576341.66666666674</v>
      </c>
    </row>
    <row r="1328" spans="1:24">
      <c r="A1328">
        <v>1327</v>
      </c>
      <c r="B1328" s="96" t="s">
        <v>2276</v>
      </c>
      <c r="C1328" s="95">
        <v>41945</v>
      </c>
      <c r="D1328" s="82">
        <v>9150000</v>
      </c>
      <c r="E1328" s="82">
        <v>9110000</v>
      </c>
      <c r="F1328" s="82">
        <v>9150000</v>
      </c>
      <c r="G1328" s="82">
        <v>9150000</v>
      </c>
      <c r="I1328" s="97">
        <v>0</v>
      </c>
      <c r="J1328" s="97">
        <v>0</v>
      </c>
      <c r="K1328" s="97">
        <v>0</v>
      </c>
      <c r="M1328" s="7">
        <f t="shared" si="221"/>
        <v>0</v>
      </c>
      <c r="N1328" s="7">
        <f t="shared" si="230"/>
        <v>0</v>
      </c>
      <c r="O1328" s="7">
        <f t="shared" si="229"/>
        <v>7000</v>
      </c>
      <c r="P1328" s="99">
        <f t="shared" si="222"/>
        <v>7.656130372962922E-4</v>
      </c>
      <c r="Q1328" s="99">
        <f t="shared" si="231"/>
        <v>-1.8025478185546701E-2</v>
      </c>
      <c r="S1328" s="7">
        <f t="shared" si="223"/>
        <v>10065000</v>
      </c>
      <c r="T1328" s="7">
        <f t="shared" si="224"/>
        <v>3050000</v>
      </c>
      <c r="U1328" s="7">
        <f t="shared" si="225"/>
        <v>9080000</v>
      </c>
      <c r="V1328" s="7">
        <f t="shared" si="226"/>
        <v>0</v>
      </c>
      <c r="W1328" s="7">
        <f t="shared" si="227"/>
        <v>0</v>
      </c>
      <c r="X1328" s="7">
        <f t="shared" si="228"/>
        <v>0</v>
      </c>
    </row>
    <row r="1329" spans="1:24">
      <c r="A1329">
        <v>1328</v>
      </c>
      <c r="B1329" s="96" t="s">
        <v>2275</v>
      </c>
      <c r="C1329" s="95">
        <v>41946</v>
      </c>
      <c r="D1329" s="82">
        <v>9150000</v>
      </c>
      <c r="E1329" s="82">
        <v>9150000</v>
      </c>
      <c r="F1329" s="82">
        <v>9155000</v>
      </c>
      <c r="G1329" s="82">
        <v>9150000</v>
      </c>
      <c r="I1329" s="97">
        <v>0</v>
      </c>
      <c r="J1329" s="97">
        <v>0</v>
      </c>
      <c r="K1329" s="97">
        <v>0</v>
      </c>
      <c r="M1329" s="7">
        <f t="shared" si="221"/>
        <v>0</v>
      </c>
      <c r="N1329" s="7">
        <f t="shared" si="230"/>
        <v>0</v>
      </c>
      <c r="O1329" s="7">
        <f t="shared" si="229"/>
        <v>0</v>
      </c>
      <c r="P1329" s="99">
        <f t="shared" si="222"/>
        <v>0</v>
      </c>
      <c r="Q1329" s="99">
        <f t="shared" si="231"/>
        <v>-1.6722808220216035E-2</v>
      </c>
      <c r="S1329" s="7">
        <f t="shared" si="223"/>
        <v>10065000</v>
      </c>
      <c r="T1329" s="7">
        <f t="shared" si="224"/>
        <v>3050000</v>
      </c>
      <c r="U1329" s="7">
        <f t="shared" si="225"/>
        <v>9200000</v>
      </c>
      <c r="V1329" s="7">
        <f t="shared" si="226"/>
        <v>0</v>
      </c>
      <c r="W1329" s="7">
        <f t="shared" si="227"/>
        <v>0</v>
      </c>
      <c r="X1329" s="7">
        <f t="shared" si="228"/>
        <v>0</v>
      </c>
    </row>
    <row r="1330" spans="1:24">
      <c r="A1330">
        <v>1329</v>
      </c>
      <c r="B1330" s="96" t="s">
        <v>2274</v>
      </c>
      <c r="C1330" s="95">
        <v>41948</v>
      </c>
      <c r="D1330" s="82">
        <v>9025000</v>
      </c>
      <c r="E1330" s="82">
        <v>9020000</v>
      </c>
      <c r="F1330" s="82">
        <v>9025000</v>
      </c>
      <c r="G1330" s="82">
        <v>9025000</v>
      </c>
      <c r="I1330" s="97">
        <v>0</v>
      </c>
      <c r="J1330" s="97">
        <v>0</v>
      </c>
      <c r="K1330" s="97">
        <v>0</v>
      </c>
      <c r="M1330" s="7">
        <f t="shared" si="221"/>
        <v>0</v>
      </c>
      <c r="N1330" s="7">
        <f t="shared" si="230"/>
        <v>0</v>
      </c>
      <c r="O1330" s="7">
        <f t="shared" si="229"/>
        <v>-125000</v>
      </c>
      <c r="P1330" s="99">
        <f t="shared" si="222"/>
        <v>-1.3661202185792349E-2</v>
      </c>
      <c r="Q1330" s="99">
        <f t="shared" si="231"/>
        <v>-1.5433178988620119E-2</v>
      </c>
      <c r="S1330" s="7">
        <f t="shared" si="223"/>
        <v>9927500</v>
      </c>
      <c r="T1330" s="7">
        <f t="shared" si="224"/>
        <v>3008333.3333333335</v>
      </c>
      <c r="U1330" s="7">
        <f t="shared" si="225"/>
        <v>9220000</v>
      </c>
      <c r="V1330" s="7">
        <f t="shared" si="226"/>
        <v>0</v>
      </c>
      <c r="W1330" s="7">
        <f t="shared" si="227"/>
        <v>0</v>
      </c>
      <c r="X1330" s="7">
        <f t="shared" si="228"/>
        <v>0</v>
      </c>
    </row>
    <row r="1331" spans="1:24">
      <c r="A1331">
        <v>1330</v>
      </c>
      <c r="B1331" s="96" t="s">
        <v>2273</v>
      </c>
      <c r="C1331" s="95">
        <v>41949</v>
      </c>
      <c r="D1331" s="82">
        <v>9033000</v>
      </c>
      <c r="E1331" s="82">
        <v>9017000</v>
      </c>
      <c r="F1331" s="82">
        <v>9033000</v>
      </c>
      <c r="G1331" s="82">
        <v>9033000</v>
      </c>
      <c r="I1331" s="98">
        <v>0</v>
      </c>
      <c r="J1331" s="98">
        <v>0</v>
      </c>
      <c r="K1331" s="98">
        <v>0</v>
      </c>
      <c r="M1331" s="7">
        <f t="shared" si="221"/>
        <v>0</v>
      </c>
      <c r="N1331" s="7">
        <f t="shared" si="230"/>
        <v>0</v>
      </c>
      <c r="O1331" s="7">
        <f t="shared" si="229"/>
        <v>8000</v>
      </c>
      <c r="P1331" s="99">
        <f t="shared" si="222"/>
        <v>8.864265927977839E-4</v>
      </c>
      <c r="Q1331" s="99">
        <f t="shared" si="231"/>
        <v>-2.3821595206479612E-2</v>
      </c>
      <c r="S1331" s="7">
        <f t="shared" si="223"/>
        <v>9936300</v>
      </c>
      <c r="T1331" s="7">
        <f t="shared" si="224"/>
        <v>3011000</v>
      </c>
      <c r="U1331" s="7">
        <f t="shared" si="225"/>
        <v>9220000</v>
      </c>
      <c r="V1331" s="7">
        <f t="shared" si="226"/>
        <v>0</v>
      </c>
      <c r="W1331" s="7">
        <f t="shared" si="227"/>
        <v>0</v>
      </c>
      <c r="X1331" s="7">
        <f t="shared" si="228"/>
        <v>0</v>
      </c>
    </row>
    <row r="1332" spans="1:24">
      <c r="A1332">
        <v>1331</v>
      </c>
      <c r="B1332" s="96" t="s">
        <v>2272</v>
      </c>
      <c r="C1332" s="95">
        <v>41950</v>
      </c>
      <c r="D1332" s="82">
        <v>9033000</v>
      </c>
      <c r="E1332" s="82">
        <v>9025000</v>
      </c>
      <c r="F1332" s="82">
        <v>9035000</v>
      </c>
      <c r="G1332" s="82">
        <v>9033000</v>
      </c>
      <c r="I1332" s="82">
        <f>G1332*1.1</f>
        <v>9936300</v>
      </c>
      <c r="J1332" s="82">
        <f>G1332/3</f>
        <v>3011000</v>
      </c>
      <c r="K1332" s="7">
        <f>G1600</f>
        <v>9185000</v>
      </c>
      <c r="L1332" s="7">
        <f>K1332-I1332</f>
        <v>-751300</v>
      </c>
      <c r="M1332" s="7">
        <f t="shared" si="221"/>
        <v>376375</v>
      </c>
      <c r="N1332" s="7">
        <f t="shared" si="230"/>
        <v>-374925</v>
      </c>
      <c r="O1332" s="7">
        <f t="shared" si="229"/>
        <v>0</v>
      </c>
      <c r="P1332" s="99">
        <f t="shared" si="222"/>
        <v>0</v>
      </c>
      <c r="Q1332" s="99">
        <f t="shared" si="231"/>
        <v>-2.293516861368183E-2</v>
      </c>
      <c r="R1332">
        <v>1</v>
      </c>
      <c r="S1332" s="7">
        <f t="shared" si="223"/>
        <v>9936300</v>
      </c>
      <c r="T1332" s="7">
        <f t="shared" si="224"/>
        <v>3011000</v>
      </c>
      <c r="U1332" s="7">
        <f t="shared" si="225"/>
        <v>9185000</v>
      </c>
      <c r="V1332" s="7">
        <f t="shared" si="226"/>
        <v>-751300</v>
      </c>
      <c r="W1332" s="7">
        <f t="shared" si="227"/>
        <v>376375</v>
      </c>
      <c r="X1332" s="7">
        <f t="shared" si="228"/>
        <v>-374925</v>
      </c>
    </row>
    <row r="1333" spans="1:24">
      <c r="A1333">
        <v>1332</v>
      </c>
      <c r="B1333" s="96" t="s">
        <v>2271</v>
      </c>
      <c r="C1333" s="95">
        <v>41951</v>
      </c>
      <c r="D1333" s="82">
        <v>9080000</v>
      </c>
      <c r="E1333" s="82">
        <v>9045000</v>
      </c>
      <c r="F1333" s="82">
        <v>9085000</v>
      </c>
      <c r="G1333" s="82">
        <v>9080000</v>
      </c>
      <c r="I1333" s="97">
        <v>0</v>
      </c>
      <c r="J1333" s="97">
        <v>0</v>
      </c>
      <c r="K1333" s="97">
        <v>0</v>
      </c>
      <c r="M1333" s="7">
        <f t="shared" si="221"/>
        <v>0</v>
      </c>
      <c r="N1333" s="7">
        <f t="shared" si="230"/>
        <v>0</v>
      </c>
      <c r="O1333" s="7">
        <f t="shared" si="229"/>
        <v>47000</v>
      </c>
      <c r="P1333" s="99">
        <f t="shared" si="222"/>
        <v>5.203144027454888E-3</v>
      </c>
      <c r="Q1333" s="99">
        <f t="shared" si="231"/>
        <v>-1.2009162555698272E-2</v>
      </c>
      <c r="S1333" s="7">
        <f t="shared" si="223"/>
        <v>9988000</v>
      </c>
      <c r="T1333" s="7">
        <f t="shared" si="224"/>
        <v>3026666.6666666665</v>
      </c>
      <c r="U1333" s="7">
        <f t="shared" si="225"/>
        <v>9220000</v>
      </c>
      <c r="V1333" s="7">
        <f t="shared" si="226"/>
        <v>0</v>
      </c>
      <c r="W1333" s="7">
        <f t="shared" si="227"/>
        <v>0</v>
      </c>
      <c r="X1333" s="7">
        <f t="shared" si="228"/>
        <v>0</v>
      </c>
    </row>
    <row r="1334" spans="1:24">
      <c r="A1334">
        <v>1333</v>
      </c>
      <c r="B1334" s="96" t="s">
        <v>2270</v>
      </c>
      <c r="C1334" s="95">
        <v>41952</v>
      </c>
      <c r="D1334" s="82">
        <v>9075000</v>
      </c>
      <c r="E1334" s="82">
        <v>9065000</v>
      </c>
      <c r="F1334" s="82">
        <v>9095000</v>
      </c>
      <c r="G1334" s="82">
        <v>9075000</v>
      </c>
      <c r="I1334" s="97">
        <v>0</v>
      </c>
      <c r="J1334" s="97">
        <v>0</v>
      </c>
      <c r="K1334" s="97">
        <v>0</v>
      </c>
      <c r="M1334" s="7">
        <f t="shared" si="221"/>
        <v>0</v>
      </c>
      <c r="N1334" s="7">
        <f t="shared" si="230"/>
        <v>0</v>
      </c>
      <c r="O1334" s="7">
        <f t="shared" si="229"/>
        <v>-5000</v>
      </c>
      <c r="P1334" s="99">
        <f t="shared" si="222"/>
        <v>-5.506607929515419E-4</v>
      </c>
      <c r="Q1334" s="99">
        <f t="shared" si="231"/>
        <v>-7.5716315655396773E-3</v>
      </c>
      <c r="S1334" s="7">
        <f t="shared" si="223"/>
        <v>9982500</v>
      </c>
      <c r="T1334" s="7">
        <f t="shared" si="224"/>
        <v>3025000</v>
      </c>
      <c r="U1334" s="7">
        <f t="shared" si="225"/>
        <v>9160000</v>
      </c>
      <c r="V1334" s="7">
        <f t="shared" si="226"/>
        <v>0</v>
      </c>
      <c r="W1334" s="7">
        <f t="shared" si="227"/>
        <v>0</v>
      </c>
      <c r="X1334" s="7">
        <f t="shared" si="228"/>
        <v>0</v>
      </c>
    </row>
    <row r="1335" spans="1:24">
      <c r="A1335">
        <v>1334</v>
      </c>
      <c r="B1335" s="96" t="s">
        <v>2269</v>
      </c>
      <c r="C1335" s="95">
        <v>41953</v>
      </c>
      <c r="D1335" s="82">
        <v>9030000</v>
      </c>
      <c r="E1335" s="82">
        <v>9015000</v>
      </c>
      <c r="F1335" s="82">
        <v>9075000</v>
      </c>
      <c r="G1335" s="82">
        <v>9030000</v>
      </c>
      <c r="I1335" s="97">
        <v>0</v>
      </c>
      <c r="J1335" s="97">
        <v>0</v>
      </c>
      <c r="K1335" s="97">
        <v>0</v>
      </c>
      <c r="M1335" s="7">
        <f t="shared" si="221"/>
        <v>0</v>
      </c>
      <c r="N1335" s="7">
        <f t="shared" si="230"/>
        <v>0</v>
      </c>
      <c r="O1335" s="7">
        <f t="shared" si="229"/>
        <v>-45000</v>
      </c>
      <c r="P1335" s="99">
        <f t="shared" si="222"/>
        <v>-4.9586776859504135E-3</v>
      </c>
      <c r="Q1335" s="99">
        <f t="shared" si="231"/>
        <v>-8.1222923584912191E-3</v>
      </c>
      <c r="S1335" s="7">
        <f t="shared" si="223"/>
        <v>9933000</v>
      </c>
      <c r="T1335" s="7">
        <f t="shared" si="224"/>
        <v>3010000</v>
      </c>
      <c r="U1335" s="7">
        <f t="shared" si="225"/>
        <v>9145000</v>
      </c>
      <c r="V1335" s="7">
        <f t="shared" si="226"/>
        <v>0</v>
      </c>
      <c r="W1335" s="7">
        <f t="shared" si="227"/>
        <v>0</v>
      </c>
      <c r="X1335" s="7">
        <f t="shared" si="228"/>
        <v>0</v>
      </c>
    </row>
    <row r="1336" spans="1:24">
      <c r="A1336">
        <v>1335</v>
      </c>
      <c r="B1336" s="96" t="s">
        <v>2268</v>
      </c>
      <c r="C1336" s="95">
        <v>41954</v>
      </c>
      <c r="D1336" s="82">
        <v>9000000</v>
      </c>
      <c r="E1336" s="82">
        <v>8955000</v>
      </c>
      <c r="F1336" s="82">
        <v>9025000</v>
      </c>
      <c r="G1336" s="82">
        <v>9000000</v>
      </c>
      <c r="I1336" s="98">
        <v>0</v>
      </c>
      <c r="J1336" s="98">
        <v>0</v>
      </c>
      <c r="K1336" s="98">
        <v>0</v>
      </c>
      <c r="M1336" s="7">
        <f t="shared" si="221"/>
        <v>0</v>
      </c>
      <c r="N1336" s="7">
        <f t="shared" si="230"/>
        <v>0</v>
      </c>
      <c r="O1336" s="7">
        <f t="shared" si="229"/>
        <v>-30000</v>
      </c>
      <c r="P1336" s="99">
        <f t="shared" si="222"/>
        <v>-3.3222591362126247E-3</v>
      </c>
      <c r="Q1336" s="99">
        <f t="shared" si="231"/>
        <v>5.8023214135071669E-4</v>
      </c>
      <c r="S1336" s="7">
        <f t="shared" si="223"/>
        <v>9900000</v>
      </c>
      <c r="T1336" s="7">
        <f t="shared" si="224"/>
        <v>3000000</v>
      </c>
      <c r="U1336" s="7">
        <f t="shared" si="225"/>
        <v>9220000</v>
      </c>
      <c r="V1336" s="7">
        <f t="shared" si="226"/>
        <v>0</v>
      </c>
      <c r="W1336" s="7">
        <f t="shared" si="227"/>
        <v>0</v>
      </c>
      <c r="X1336" s="7">
        <f t="shared" si="228"/>
        <v>0</v>
      </c>
    </row>
    <row r="1337" spans="1:24">
      <c r="A1337">
        <v>1336</v>
      </c>
      <c r="B1337" s="96" t="s">
        <v>2267</v>
      </c>
      <c r="C1337" s="95">
        <v>41955</v>
      </c>
      <c r="D1337" s="82">
        <v>9060000</v>
      </c>
      <c r="E1337" s="82">
        <v>9020000</v>
      </c>
      <c r="F1337" s="82">
        <v>9065000</v>
      </c>
      <c r="G1337" s="82">
        <v>9060000</v>
      </c>
      <c r="I1337" s="82">
        <f>G1337*1.1</f>
        <v>9966000</v>
      </c>
      <c r="J1337" s="82">
        <f>G1337/3</f>
        <v>3020000</v>
      </c>
      <c r="K1337" s="7">
        <f>G1605</f>
        <v>9215000</v>
      </c>
      <c r="L1337" s="7">
        <f>K1337-I1337</f>
        <v>-751000</v>
      </c>
      <c r="M1337" s="7">
        <f t="shared" si="221"/>
        <v>377500</v>
      </c>
      <c r="N1337" s="7">
        <f t="shared" si="230"/>
        <v>-373500</v>
      </c>
      <c r="O1337" s="7">
        <f t="shared" si="229"/>
        <v>60000</v>
      </c>
      <c r="P1337" s="99">
        <f t="shared" si="222"/>
        <v>6.6666666666666671E-3</v>
      </c>
      <c r="Q1337" s="99">
        <f t="shared" si="231"/>
        <v>-3.628453587659692E-3</v>
      </c>
      <c r="R1337">
        <v>1</v>
      </c>
      <c r="S1337" s="7">
        <f t="shared" si="223"/>
        <v>9966000</v>
      </c>
      <c r="T1337" s="7">
        <f t="shared" si="224"/>
        <v>3020000</v>
      </c>
      <c r="U1337" s="7">
        <f t="shared" si="225"/>
        <v>9215000</v>
      </c>
      <c r="V1337" s="7">
        <f t="shared" si="226"/>
        <v>-751000</v>
      </c>
      <c r="W1337" s="7">
        <f t="shared" si="227"/>
        <v>377500</v>
      </c>
      <c r="X1337" s="7">
        <f t="shared" si="228"/>
        <v>-373500</v>
      </c>
    </row>
    <row r="1338" spans="1:24">
      <c r="A1338">
        <v>1337</v>
      </c>
      <c r="B1338" s="96" t="s">
        <v>2266</v>
      </c>
      <c r="C1338" s="95">
        <v>41956</v>
      </c>
      <c r="D1338" s="82">
        <v>9045000</v>
      </c>
      <c r="E1338" s="82">
        <v>9015000</v>
      </c>
      <c r="F1338" s="82">
        <v>9045000</v>
      </c>
      <c r="G1338" s="82">
        <v>9045000</v>
      </c>
      <c r="I1338" s="97">
        <v>0</v>
      </c>
      <c r="J1338" s="97">
        <v>0</v>
      </c>
      <c r="K1338" s="97">
        <v>0</v>
      </c>
      <c r="M1338" s="7">
        <f t="shared" si="221"/>
        <v>0</v>
      </c>
      <c r="N1338" s="7">
        <f t="shared" si="230"/>
        <v>0</v>
      </c>
      <c r="O1338" s="7">
        <f t="shared" si="229"/>
        <v>-15000</v>
      </c>
      <c r="P1338" s="99">
        <f t="shared" si="222"/>
        <v>-1.6556291390728477E-3</v>
      </c>
      <c r="Q1338" s="99">
        <f t="shared" si="231"/>
        <v>3.0382130790069751E-3</v>
      </c>
      <c r="S1338" s="7">
        <f t="shared" si="223"/>
        <v>9949500</v>
      </c>
      <c r="T1338" s="7">
        <f t="shared" si="224"/>
        <v>3015000</v>
      </c>
      <c r="U1338" s="7">
        <f t="shared" si="225"/>
        <v>9230000</v>
      </c>
      <c r="V1338" s="7">
        <f t="shared" si="226"/>
        <v>0</v>
      </c>
      <c r="W1338" s="7">
        <f t="shared" si="227"/>
        <v>0</v>
      </c>
      <c r="X1338" s="7">
        <f t="shared" si="228"/>
        <v>0</v>
      </c>
    </row>
    <row r="1339" spans="1:24">
      <c r="A1339">
        <v>1338</v>
      </c>
      <c r="B1339" s="96" t="s">
        <v>2265</v>
      </c>
      <c r="C1339" s="95">
        <v>41957</v>
      </c>
      <c r="D1339" s="82">
        <v>9045000</v>
      </c>
      <c r="E1339" s="82">
        <v>9035000</v>
      </c>
      <c r="F1339" s="82">
        <v>9050000</v>
      </c>
      <c r="G1339" s="82">
        <v>9045000</v>
      </c>
      <c r="I1339" s="97">
        <v>0</v>
      </c>
      <c r="J1339" s="97">
        <v>0</v>
      </c>
      <c r="K1339" s="97">
        <v>0</v>
      </c>
      <c r="M1339" s="7">
        <f t="shared" si="221"/>
        <v>0</v>
      </c>
      <c r="N1339" s="7">
        <f t="shared" si="230"/>
        <v>0</v>
      </c>
      <c r="O1339" s="7">
        <f t="shared" si="229"/>
        <v>0</v>
      </c>
      <c r="P1339" s="99">
        <f t="shared" si="222"/>
        <v>0</v>
      </c>
      <c r="Q1339" s="99">
        <f t="shared" si="231"/>
        <v>-3.8205600875207612E-3</v>
      </c>
      <c r="S1339" s="7">
        <f t="shared" si="223"/>
        <v>9949500</v>
      </c>
      <c r="T1339" s="7">
        <f t="shared" si="224"/>
        <v>3015000</v>
      </c>
      <c r="U1339" s="7">
        <f t="shared" si="225"/>
        <v>9285000</v>
      </c>
      <c r="V1339" s="7">
        <f t="shared" si="226"/>
        <v>0</v>
      </c>
      <c r="W1339" s="7">
        <f t="shared" si="227"/>
        <v>0</v>
      </c>
      <c r="X1339" s="7">
        <f t="shared" si="228"/>
        <v>0</v>
      </c>
    </row>
    <row r="1340" spans="1:24">
      <c r="A1340">
        <v>1339</v>
      </c>
      <c r="B1340" s="96" t="s">
        <v>2264</v>
      </c>
      <c r="C1340" s="95">
        <v>41958</v>
      </c>
      <c r="D1340" s="82">
        <v>9150000</v>
      </c>
      <c r="E1340" s="82">
        <v>9140000</v>
      </c>
      <c r="F1340" s="82">
        <v>9165000</v>
      </c>
      <c r="G1340" s="82">
        <v>9150000</v>
      </c>
      <c r="I1340" s="97">
        <v>0</v>
      </c>
      <c r="J1340" s="97">
        <v>0</v>
      </c>
      <c r="K1340" s="97">
        <v>0</v>
      </c>
      <c r="M1340" s="7">
        <f t="shared" si="221"/>
        <v>0</v>
      </c>
      <c r="N1340" s="7">
        <f t="shared" si="230"/>
        <v>0</v>
      </c>
      <c r="O1340" s="7">
        <f t="shared" si="229"/>
        <v>105000</v>
      </c>
      <c r="P1340" s="99">
        <f t="shared" si="222"/>
        <v>1.1608623548922056E-2</v>
      </c>
      <c r="Q1340" s="99">
        <f t="shared" si="231"/>
        <v>-3.2698992945692186E-3</v>
      </c>
      <c r="S1340" s="7">
        <f t="shared" si="223"/>
        <v>10065000</v>
      </c>
      <c r="T1340" s="7">
        <f t="shared" si="224"/>
        <v>3050000</v>
      </c>
      <c r="U1340" s="7">
        <f t="shared" si="225"/>
        <v>9345000</v>
      </c>
      <c r="V1340" s="7">
        <f t="shared" si="226"/>
        <v>0</v>
      </c>
      <c r="W1340" s="7">
        <f t="shared" si="227"/>
        <v>0</v>
      </c>
      <c r="X1340" s="7">
        <f t="shared" si="228"/>
        <v>0</v>
      </c>
    </row>
    <row r="1341" spans="1:24">
      <c r="A1341">
        <v>1340</v>
      </c>
      <c r="B1341" s="96" t="s">
        <v>2263</v>
      </c>
      <c r="C1341" s="95">
        <v>41959</v>
      </c>
      <c r="D1341" s="82">
        <v>9140000</v>
      </c>
      <c r="E1341" s="82">
        <v>9130000</v>
      </c>
      <c r="F1341" s="82">
        <v>9150000</v>
      </c>
      <c r="G1341" s="82">
        <v>9140000</v>
      </c>
      <c r="I1341" s="98">
        <v>0</v>
      </c>
      <c r="J1341" s="98">
        <v>0</v>
      </c>
      <c r="K1341" s="98">
        <v>0</v>
      </c>
      <c r="M1341" s="7">
        <f t="shared" si="221"/>
        <v>0</v>
      </c>
      <c r="N1341" s="7">
        <f t="shared" si="230"/>
        <v>0</v>
      </c>
      <c r="O1341" s="7">
        <f t="shared" si="229"/>
        <v>-10000</v>
      </c>
      <c r="P1341" s="99">
        <f t="shared" si="222"/>
        <v>-1.092896174863388E-3</v>
      </c>
      <c r="Q1341" s="99">
        <f t="shared" si="231"/>
        <v>1.3297401940303251E-2</v>
      </c>
      <c r="S1341" s="7">
        <f t="shared" si="223"/>
        <v>10054000</v>
      </c>
      <c r="T1341" s="7">
        <f t="shared" si="224"/>
        <v>3046666.6666666665</v>
      </c>
      <c r="U1341" s="7">
        <f t="shared" si="225"/>
        <v>9340000</v>
      </c>
      <c r="V1341" s="7">
        <f t="shared" si="226"/>
        <v>0</v>
      </c>
      <c r="W1341" s="7">
        <f t="shared" si="227"/>
        <v>0</v>
      </c>
      <c r="X1341" s="7">
        <f t="shared" si="228"/>
        <v>0</v>
      </c>
    </row>
    <row r="1342" spans="1:24">
      <c r="A1342">
        <v>1341</v>
      </c>
      <c r="B1342" s="96" t="s">
        <v>2262</v>
      </c>
      <c r="C1342" s="95">
        <v>41960</v>
      </c>
      <c r="D1342" s="82">
        <v>9140000</v>
      </c>
      <c r="E1342" s="82">
        <v>9130000</v>
      </c>
      <c r="F1342" s="82">
        <v>9145000</v>
      </c>
      <c r="G1342" s="82">
        <v>9140000</v>
      </c>
      <c r="I1342" s="82">
        <f>G1342*1.1</f>
        <v>10054000</v>
      </c>
      <c r="J1342" s="82">
        <f>G1342/3</f>
        <v>3046666.6666666665</v>
      </c>
      <c r="K1342" s="7">
        <f>G1610</f>
        <v>9390000</v>
      </c>
      <c r="L1342" s="7">
        <f>K1342-I1342</f>
        <v>-664000</v>
      </c>
      <c r="M1342" s="7">
        <f t="shared" si="221"/>
        <v>380833.33333333326</v>
      </c>
      <c r="N1342" s="7">
        <f t="shared" si="230"/>
        <v>-283166.66666666674</v>
      </c>
      <c r="O1342" s="7">
        <f t="shared" si="229"/>
        <v>0</v>
      </c>
      <c r="P1342" s="99">
        <f t="shared" si="222"/>
        <v>0</v>
      </c>
      <c r="Q1342" s="99">
        <f t="shared" si="231"/>
        <v>1.5526764901652487E-2</v>
      </c>
      <c r="R1342">
        <v>1</v>
      </c>
      <c r="S1342" s="7">
        <f t="shared" si="223"/>
        <v>10054000</v>
      </c>
      <c r="T1342" s="7">
        <f t="shared" si="224"/>
        <v>3046666.6666666665</v>
      </c>
      <c r="U1342" s="7">
        <f t="shared" si="225"/>
        <v>9390000</v>
      </c>
      <c r="V1342" s="7">
        <f t="shared" si="226"/>
        <v>-664000</v>
      </c>
      <c r="W1342" s="7">
        <f t="shared" si="227"/>
        <v>380833.33333333326</v>
      </c>
      <c r="X1342" s="7">
        <f t="shared" si="228"/>
        <v>-283166.66666666674</v>
      </c>
    </row>
    <row r="1343" spans="1:24">
      <c r="A1343">
        <v>1342</v>
      </c>
      <c r="B1343" s="96" t="s">
        <v>2261</v>
      </c>
      <c r="C1343" s="95">
        <v>41961</v>
      </c>
      <c r="D1343" s="82">
        <v>9170000</v>
      </c>
      <c r="E1343" s="82">
        <v>9130000</v>
      </c>
      <c r="F1343" s="82">
        <v>9185000</v>
      </c>
      <c r="G1343" s="82">
        <v>9170000</v>
      </c>
      <c r="I1343" s="97">
        <v>0</v>
      </c>
      <c r="J1343" s="97">
        <v>0</v>
      </c>
      <c r="K1343" s="97">
        <v>0</v>
      </c>
      <c r="M1343" s="7">
        <f t="shared" si="221"/>
        <v>0</v>
      </c>
      <c r="N1343" s="7">
        <f t="shared" si="230"/>
        <v>0</v>
      </c>
      <c r="O1343" s="7">
        <f t="shared" si="229"/>
        <v>30000</v>
      </c>
      <c r="P1343" s="99">
        <f t="shared" si="222"/>
        <v>3.2822757111597373E-3</v>
      </c>
      <c r="Q1343" s="99">
        <f t="shared" si="231"/>
        <v>8.8600982349858193E-3</v>
      </c>
      <c r="S1343" s="7">
        <f t="shared" si="223"/>
        <v>10087000</v>
      </c>
      <c r="T1343" s="7">
        <f t="shared" si="224"/>
        <v>3056666.6666666665</v>
      </c>
      <c r="U1343" s="7">
        <f t="shared" si="225"/>
        <v>9425000</v>
      </c>
      <c r="V1343" s="7">
        <f t="shared" si="226"/>
        <v>0</v>
      </c>
      <c r="W1343" s="7">
        <f t="shared" si="227"/>
        <v>0</v>
      </c>
      <c r="X1343" s="7">
        <f t="shared" si="228"/>
        <v>0</v>
      </c>
    </row>
    <row r="1344" spans="1:24">
      <c r="A1344">
        <v>1343</v>
      </c>
      <c r="B1344" s="96" t="s">
        <v>2260</v>
      </c>
      <c r="C1344" s="95">
        <v>41962</v>
      </c>
      <c r="D1344" s="82">
        <v>9170000</v>
      </c>
      <c r="E1344" s="82">
        <v>9160000</v>
      </c>
      <c r="F1344" s="82">
        <v>9180000</v>
      </c>
      <c r="G1344" s="82">
        <v>9170000</v>
      </c>
      <c r="I1344" s="97">
        <v>0</v>
      </c>
      <c r="J1344" s="97">
        <v>0</v>
      </c>
      <c r="K1344" s="97">
        <v>0</v>
      </c>
      <c r="M1344" s="7">
        <f t="shared" si="221"/>
        <v>0</v>
      </c>
      <c r="N1344" s="7">
        <f t="shared" si="230"/>
        <v>0</v>
      </c>
      <c r="O1344" s="7">
        <f t="shared" si="229"/>
        <v>0</v>
      </c>
      <c r="P1344" s="99">
        <f t="shared" si="222"/>
        <v>0</v>
      </c>
      <c r="Q1344" s="99">
        <f t="shared" si="231"/>
        <v>1.3798003085218405E-2</v>
      </c>
      <c r="S1344" s="7">
        <f t="shared" si="223"/>
        <v>10087000</v>
      </c>
      <c r="T1344" s="7">
        <f t="shared" si="224"/>
        <v>3056666.6666666665</v>
      </c>
      <c r="U1344" s="7">
        <f t="shared" si="225"/>
        <v>9415000</v>
      </c>
      <c r="V1344" s="7">
        <f t="shared" si="226"/>
        <v>0</v>
      </c>
      <c r="W1344" s="7">
        <f t="shared" si="227"/>
        <v>0</v>
      </c>
      <c r="X1344" s="7">
        <f t="shared" si="228"/>
        <v>0</v>
      </c>
    </row>
    <row r="1345" spans="1:24">
      <c r="A1345">
        <v>1344</v>
      </c>
      <c r="B1345" s="96" t="s">
        <v>2259</v>
      </c>
      <c r="C1345" s="95">
        <v>41963</v>
      </c>
      <c r="D1345" s="82">
        <v>9140000</v>
      </c>
      <c r="E1345" s="82">
        <v>9130000</v>
      </c>
      <c r="F1345" s="82">
        <v>9150000</v>
      </c>
      <c r="G1345" s="82">
        <v>9140000</v>
      </c>
      <c r="I1345" s="97">
        <v>0</v>
      </c>
      <c r="J1345" s="97">
        <v>0</v>
      </c>
      <c r="K1345" s="97">
        <v>0</v>
      </c>
      <c r="M1345" s="7">
        <f t="shared" si="221"/>
        <v>0</v>
      </c>
      <c r="N1345" s="7">
        <f t="shared" si="230"/>
        <v>0</v>
      </c>
      <c r="O1345" s="7">
        <f t="shared" si="229"/>
        <v>-30000</v>
      </c>
      <c r="P1345" s="99">
        <f t="shared" si="222"/>
        <v>-3.2715376226826608E-3</v>
      </c>
      <c r="Q1345" s="99">
        <f t="shared" si="231"/>
        <v>1.3798003085218405E-2</v>
      </c>
      <c r="S1345" s="7">
        <f t="shared" si="223"/>
        <v>10054000</v>
      </c>
      <c r="T1345" s="7">
        <f t="shared" si="224"/>
        <v>3046666.6666666665</v>
      </c>
      <c r="U1345" s="7">
        <f t="shared" si="225"/>
        <v>9400000</v>
      </c>
      <c r="V1345" s="7">
        <f t="shared" si="226"/>
        <v>0</v>
      </c>
      <c r="W1345" s="7">
        <f t="shared" si="227"/>
        <v>0</v>
      </c>
      <c r="X1345" s="7">
        <f t="shared" si="228"/>
        <v>0</v>
      </c>
    </row>
    <row r="1346" spans="1:24">
      <c r="A1346">
        <v>1345</v>
      </c>
      <c r="B1346" s="96" t="s">
        <v>2258</v>
      </c>
      <c r="C1346" s="95">
        <v>41965</v>
      </c>
      <c r="D1346" s="82">
        <v>9150000</v>
      </c>
      <c r="E1346" s="82">
        <v>9140000</v>
      </c>
      <c r="F1346" s="82">
        <v>9165000</v>
      </c>
      <c r="G1346" s="82">
        <v>9150000</v>
      </c>
      <c r="I1346" s="98">
        <v>0</v>
      </c>
      <c r="J1346" s="98">
        <v>0</v>
      </c>
      <c r="K1346" s="98">
        <v>0</v>
      </c>
      <c r="M1346" s="7">
        <f t="shared" ref="M1346:M1409" si="232">J1346*$AI$6/200</f>
        <v>0</v>
      </c>
      <c r="N1346" s="7">
        <f t="shared" si="230"/>
        <v>0</v>
      </c>
      <c r="O1346" s="7">
        <f t="shared" si="229"/>
        <v>10000</v>
      </c>
      <c r="P1346" s="99">
        <f t="shared" si="222"/>
        <v>1.0940919037199124E-3</v>
      </c>
      <c r="Q1346" s="99">
        <f t="shared" si="231"/>
        <v>-1.0821580863863115E-3</v>
      </c>
      <c r="S1346" s="7">
        <f t="shared" si="223"/>
        <v>10065000</v>
      </c>
      <c r="T1346" s="7">
        <f t="shared" si="224"/>
        <v>3050000</v>
      </c>
      <c r="U1346" s="7">
        <f t="shared" si="225"/>
        <v>9500000</v>
      </c>
      <c r="V1346" s="7">
        <f t="shared" si="226"/>
        <v>0</v>
      </c>
      <c r="W1346" s="7">
        <f t="shared" si="227"/>
        <v>0</v>
      </c>
      <c r="X1346" s="7">
        <f t="shared" si="228"/>
        <v>0</v>
      </c>
    </row>
    <row r="1347" spans="1:24">
      <c r="A1347">
        <v>1346</v>
      </c>
      <c r="B1347" s="96" t="s">
        <v>2257</v>
      </c>
      <c r="C1347" s="95">
        <v>41966</v>
      </c>
      <c r="D1347" s="82">
        <v>9150000</v>
      </c>
      <c r="E1347" s="82">
        <v>9130000</v>
      </c>
      <c r="F1347" s="82">
        <v>9160000</v>
      </c>
      <c r="G1347" s="82">
        <v>9150000</v>
      </c>
      <c r="I1347" s="82">
        <f>G1347*1.1</f>
        <v>10065000</v>
      </c>
      <c r="J1347" s="82">
        <f>G1347/3</f>
        <v>3050000</v>
      </c>
      <c r="K1347" s="7">
        <f>G1615</f>
        <v>9565000</v>
      </c>
      <c r="L1347" s="7">
        <f>K1347-I1347</f>
        <v>-500000</v>
      </c>
      <c r="M1347" s="7">
        <f t="shared" si="232"/>
        <v>381250</v>
      </c>
      <c r="N1347" s="7">
        <f t="shared" si="230"/>
        <v>-118750</v>
      </c>
      <c r="O1347" s="7">
        <f t="shared" si="229"/>
        <v>0</v>
      </c>
      <c r="P1347" s="99">
        <f t="shared" ref="P1347:P1410" si="233">O1347/G1346</f>
        <v>0</v>
      </c>
      <c r="Q1347" s="99">
        <f t="shared" si="231"/>
        <v>1.1048299921969889E-3</v>
      </c>
      <c r="R1347">
        <v>1</v>
      </c>
      <c r="S1347" s="7">
        <f t="shared" ref="S1347:S1410" si="234">G1347*1.1</f>
        <v>10065000</v>
      </c>
      <c r="T1347" s="7">
        <f t="shared" ref="T1347:T1410" si="235">G1347/3</f>
        <v>3050000</v>
      </c>
      <c r="U1347" s="7">
        <f t="shared" ref="U1347:U1410" si="236">G1615</f>
        <v>9565000</v>
      </c>
      <c r="V1347" s="7">
        <f t="shared" ref="V1347:V1410" si="237">(U1347-S1347)*R1347</f>
        <v>-500000</v>
      </c>
      <c r="W1347" s="7">
        <f t="shared" ref="W1347:W1410" si="238">(T1347*$AI$6/200)*R1347</f>
        <v>381250</v>
      </c>
      <c r="X1347" s="7">
        <f t="shared" ref="X1347:X1410" si="239">V1347+W1347</f>
        <v>-118750</v>
      </c>
    </row>
    <row r="1348" spans="1:24">
      <c r="A1348">
        <v>1347</v>
      </c>
      <c r="B1348" s="96" t="s">
        <v>2256</v>
      </c>
      <c r="C1348" s="95">
        <v>41967</v>
      </c>
      <c r="D1348" s="82">
        <v>9220000</v>
      </c>
      <c r="E1348" s="82">
        <v>9140000</v>
      </c>
      <c r="F1348" s="82">
        <v>9225000</v>
      </c>
      <c r="G1348" s="82">
        <v>9220000</v>
      </c>
      <c r="I1348" s="97">
        <v>0</v>
      </c>
      <c r="J1348" s="97">
        <v>0</v>
      </c>
      <c r="K1348" s="97">
        <v>0</v>
      </c>
      <c r="M1348" s="7">
        <f t="shared" si="232"/>
        <v>0</v>
      </c>
      <c r="N1348" s="7">
        <f t="shared" si="230"/>
        <v>0</v>
      </c>
      <c r="O1348" s="7">
        <f t="shared" ref="O1348:O1411" si="240">G1348-G1347</f>
        <v>70000</v>
      </c>
      <c r="P1348" s="99">
        <f t="shared" si="233"/>
        <v>7.6502732240437158E-3</v>
      </c>
      <c r="Q1348" s="99">
        <f t="shared" si="231"/>
        <v>1.1048299921969889E-3</v>
      </c>
      <c r="S1348" s="7">
        <f t="shared" si="234"/>
        <v>10142000</v>
      </c>
      <c r="T1348" s="7">
        <f t="shared" si="235"/>
        <v>3073333.3333333335</v>
      </c>
      <c r="U1348" s="7">
        <f t="shared" si="236"/>
        <v>9490000</v>
      </c>
      <c r="V1348" s="7">
        <f t="shared" si="237"/>
        <v>0</v>
      </c>
      <c r="W1348" s="7">
        <f t="shared" si="238"/>
        <v>0</v>
      </c>
      <c r="X1348" s="7">
        <f t="shared" si="239"/>
        <v>0</v>
      </c>
    </row>
    <row r="1349" spans="1:24">
      <c r="A1349">
        <v>1348</v>
      </c>
      <c r="B1349" s="96" t="s">
        <v>2255</v>
      </c>
      <c r="C1349" s="95">
        <v>41968</v>
      </c>
      <c r="D1349" s="82">
        <v>9290000</v>
      </c>
      <c r="E1349" s="82">
        <v>9215000</v>
      </c>
      <c r="F1349" s="82">
        <v>9305000</v>
      </c>
      <c r="G1349" s="82">
        <v>9290000</v>
      </c>
      <c r="I1349" s="97">
        <v>0</v>
      </c>
      <c r="J1349" s="97">
        <v>0</v>
      </c>
      <c r="K1349" s="97">
        <v>0</v>
      </c>
      <c r="M1349" s="7">
        <f t="shared" si="232"/>
        <v>0</v>
      </c>
      <c r="N1349" s="7">
        <f t="shared" si="230"/>
        <v>0</v>
      </c>
      <c r="O1349" s="7">
        <f t="shared" si="240"/>
        <v>70000</v>
      </c>
      <c r="P1349" s="99">
        <f t="shared" si="233"/>
        <v>7.5921908893709323E-3</v>
      </c>
      <c r="Q1349" s="99">
        <f t="shared" si="231"/>
        <v>5.4728275050809679E-3</v>
      </c>
      <c r="S1349" s="7">
        <f t="shared" si="234"/>
        <v>10219000</v>
      </c>
      <c r="T1349" s="7">
        <f t="shared" si="235"/>
        <v>3096666.6666666665</v>
      </c>
      <c r="U1349" s="7">
        <f t="shared" si="236"/>
        <v>9485000</v>
      </c>
      <c r="V1349" s="7">
        <f t="shared" si="237"/>
        <v>0</v>
      </c>
      <c r="W1349" s="7">
        <f t="shared" si="238"/>
        <v>0</v>
      </c>
      <c r="X1349" s="7">
        <f t="shared" si="239"/>
        <v>0</v>
      </c>
    </row>
    <row r="1350" spans="1:24">
      <c r="A1350">
        <v>1349</v>
      </c>
      <c r="B1350" s="96" t="s">
        <v>2254</v>
      </c>
      <c r="C1350" s="95">
        <v>41969</v>
      </c>
      <c r="D1350" s="82">
        <v>9380000</v>
      </c>
      <c r="E1350" s="82">
        <v>9295000</v>
      </c>
      <c r="F1350" s="82">
        <v>9380000</v>
      </c>
      <c r="G1350" s="82">
        <v>9380000</v>
      </c>
      <c r="I1350" s="97">
        <v>0</v>
      </c>
      <c r="J1350" s="97">
        <v>0</v>
      </c>
      <c r="K1350" s="97">
        <v>0</v>
      </c>
      <c r="M1350" s="7">
        <f t="shared" si="232"/>
        <v>0</v>
      </c>
      <c r="N1350" s="7">
        <f t="shared" si="230"/>
        <v>0</v>
      </c>
      <c r="O1350" s="7">
        <f t="shared" si="240"/>
        <v>90000</v>
      </c>
      <c r="P1350" s="99">
        <f t="shared" si="233"/>
        <v>9.6878363832077503E-3</v>
      </c>
      <c r="Q1350" s="99">
        <f t="shared" si="231"/>
        <v>1.3065018394451899E-2</v>
      </c>
      <c r="S1350" s="7">
        <f t="shared" si="234"/>
        <v>10318000</v>
      </c>
      <c r="T1350" s="7">
        <f t="shared" si="235"/>
        <v>3126666.6666666665</v>
      </c>
      <c r="U1350" s="7">
        <f t="shared" si="236"/>
        <v>9395000</v>
      </c>
      <c r="V1350" s="7">
        <f t="shared" si="237"/>
        <v>0</v>
      </c>
      <c r="W1350" s="7">
        <f t="shared" si="238"/>
        <v>0</v>
      </c>
      <c r="X1350" s="7">
        <f t="shared" si="239"/>
        <v>0</v>
      </c>
    </row>
    <row r="1351" spans="1:24">
      <c r="A1351">
        <v>1350</v>
      </c>
      <c r="B1351" s="96" t="s">
        <v>2253</v>
      </c>
      <c r="C1351" s="95">
        <v>41970</v>
      </c>
      <c r="D1351" s="82">
        <v>9385000</v>
      </c>
      <c r="E1351" s="82">
        <v>9360000</v>
      </c>
      <c r="F1351" s="82">
        <v>9400000</v>
      </c>
      <c r="G1351" s="82">
        <v>9385000</v>
      </c>
      <c r="I1351" s="98">
        <v>0</v>
      </c>
      <c r="J1351" s="98">
        <v>0</v>
      </c>
      <c r="K1351" s="98">
        <v>0</v>
      </c>
      <c r="M1351" s="7">
        <f t="shared" si="232"/>
        <v>0</v>
      </c>
      <c r="N1351" s="7">
        <f t="shared" si="230"/>
        <v>0</v>
      </c>
      <c r="O1351" s="7">
        <f t="shared" si="240"/>
        <v>5000</v>
      </c>
      <c r="P1351" s="99">
        <f t="shared" si="233"/>
        <v>5.3304904051172707E-4</v>
      </c>
      <c r="Q1351" s="99">
        <f t="shared" si="231"/>
        <v>2.6024392400342308E-2</v>
      </c>
      <c r="S1351" s="7">
        <f t="shared" si="234"/>
        <v>10323500</v>
      </c>
      <c r="T1351" s="7">
        <f t="shared" si="235"/>
        <v>3128333.3333333335</v>
      </c>
      <c r="U1351" s="7">
        <f t="shared" si="236"/>
        <v>9435000</v>
      </c>
      <c r="V1351" s="7">
        <f t="shared" si="237"/>
        <v>0</v>
      </c>
      <c r="W1351" s="7">
        <f t="shared" si="238"/>
        <v>0</v>
      </c>
      <c r="X1351" s="7">
        <f t="shared" si="239"/>
        <v>0</v>
      </c>
    </row>
    <row r="1352" spans="1:24">
      <c r="A1352">
        <v>1351</v>
      </c>
      <c r="B1352" s="96" t="s">
        <v>2252</v>
      </c>
      <c r="C1352" s="95">
        <v>41972</v>
      </c>
      <c r="D1352" s="82">
        <v>9450000</v>
      </c>
      <c r="E1352" s="82">
        <v>9350000</v>
      </c>
      <c r="F1352" s="82">
        <v>9465000</v>
      </c>
      <c r="G1352" s="82">
        <v>9450000</v>
      </c>
      <c r="I1352" s="82">
        <f>G1352*1.1</f>
        <v>10395000</v>
      </c>
      <c r="J1352" s="82">
        <f>G1352/3</f>
        <v>3150000</v>
      </c>
      <c r="K1352" s="7">
        <f>G1620</f>
        <v>9410000</v>
      </c>
      <c r="L1352" s="7">
        <f>K1352-I1352</f>
        <v>-985000</v>
      </c>
      <c r="M1352" s="7">
        <f t="shared" si="232"/>
        <v>393750</v>
      </c>
      <c r="N1352" s="7">
        <f t="shared" ref="N1352:N1415" si="241">L1352+M1352</f>
        <v>-591250</v>
      </c>
      <c r="O1352" s="7">
        <f t="shared" si="240"/>
        <v>65000</v>
      </c>
      <c r="P1352" s="99">
        <f t="shared" si="233"/>
        <v>6.9259456579648373E-3</v>
      </c>
      <c r="Q1352" s="99">
        <f t="shared" ref="Q1352:Q1415" si="242">SUM(P1347:P1351)</f>
        <v>2.5463349537134125E-2</v>
      </c>
      <c r="R1352">
        <v>1</v>
      </c>
      <c r="S1352" s="7">
        <f t="shared" si="234"/>
        <v>10395000</v>
      </c>
      <c r="T1352" s="7">
        <f t="shared" si="235"/>
        <v>3150000</v>
      </c>
      <c r="U1352" s="7">
        <f t="shared" si="236"/>
        <v>9410000</v>
      </c>
      <c r="V1352" s="7">
        <f t="shared" si="237"/>
        <v>-985000</v>
      </c>
      <c r="W1352" s="7">
        <f t="shared" si="238"/>
        <v>393750</v>
      </c>
      <c r="X1352" s="7">
        <f t="shared" si="239"/>
        <v>-591250</v>
      </c>
    </row>
    <row r="1353" spans="1:24">
      <c r="A1353">
        <v>1352</v>
      </c>
      <c r="B1353" s="96" t="s">
        <v>2251</v>
      </c>
      <c r="C1353" s="95">
        <v>41973</v>
      </c>
      <c r="D1353" s="82">
        <v>9550000</v>
      </c>
      <c r="E1353" s="82">
        <v>9470000</v>
      </c>
      <c r="F1353" s="82">
        <v>9625000</v>
      </c>
      <c r="G1353" s="82">
        <v>9550000</v>
      </c>
      <c r="I1353" s="97">
        <v>0</v>
      </c>
      <c r="J1353" s="97">
        <v>0</v>
      </c>
      <c r="K1353" s="97">
        <v>0</v>
      </c>
      <c r="M1353" s="7">
        <f t="shared" si="232"/>
        <v>0</v>
      </c>
      <c r="N1353" s="7">
        <f t="shared" si="241"/>
        <v>0</v>
      </c>
      <c r="O1353" s="7">
        <f t="shared" si="240"/>
        <v>100000</v>
      </c>
      <c r="P1353" s="99">
        <f t="shared" si="233"/>
        <v>1.0582010582010581E-2</v>
      </c>
      <c r="Q1353" s="99">
        <f t="shared" si="242"/>
        <v>3.2389295195098963E-2</v>
      </c>
      <c r="S1353" s="7">
        <f t="shared" si="234"/>
        <v>10505000</v>
      </c>
      <c r="T1353" s="7">
        <f t="shared" si="235"/>
        <v>3183333.3333333335</v>
      </c>
      <c r="U1353" s="7">
        <f t="shared" si="236"/>
        <v>9415000</v>
      </c>
      <c r="V1353" s="7">
        <f t="shared" si="237"/>
        <v>0</v>
      </c>
      <c r="W1353" s="7">
        <f t="shared" si="238"/>
        <v>0</v>
      </c>
      <c r="X1353" s="7">
        <f t="shared" si="239"/>
        <v>0</v>
      </c>
    </row>
    <row r="1354" spans="1:24">
      <c r="A1354">
        <v>1353</v>
      </c>
      <c r="B1354" s="96" t="s">
        <v>2250</v>
      </c>
      <c r="C1354" s="95">
        <v>41974</v>
      </c>
      <c r="D1354" s="82">
        <v>9510000</v>
      </c>
      <c r="E1354" s="82">
        <v>9475000</v>
      </c>
      <c r="F1354" s="82">
        <v>9545000</v>
      </c>
      <c r="G1354" s="82">
        <v>9510000</v>
      </c>
      <c r="I1354" s="97">
        <v>0</v>
      </c>
      <c r="J1354" s="97">
        <v>0</v>
      </c>
      <c r="K1354" s="97">
        <v>0</v>
      </c>
      <c r="M1354" s="7">
        <f t="shared" si="232"/>
        <v>0</v>
      </c>
      <c r="N1354" s="7">
        <f t="shared" si="241"/>
        <v>0</v>
      </c>
      <c r="O1354" s="7">
        <f t="shared" si="240"/>
        <v>-40000</v>
      </c>
      <c r="P1354" s="99">
        <f t="shared" si="233"/>
        <v>-4.1884816753926706E-3</v>
      </c>
      <c r="Q1354" s="99">
        <f t="shared" si="242"/>
        <v>3.5321032553065831E-2</v>
      </c>
      <c r="S1354" s="7">
        <f t="shared" si="234"/>
        <v>10461000</v>
      </c>
      <c r="T1354" s="7">
        <f t="shared" si="235"/>
        <v>3170000</v>
      </c>
      <c r="U1354" s="7">
        <f t="shared" si="236"/>
        <v>9415000</v>
      </c>
      <c r="V1354" s="7">
        <f t="shared" si="237"/>
        <v>0</v>
      </c>
      <c r="W1354" s="7">
        <f t="shared" si="238"/>
        <v>0</v>
      </c>
      <c r="X1354" s="7">
        <f t="shared" si="239"/>
        <v>0</v>
      </c>
    </row>
    <row r="1355" spans="1:24">
      <c r="A1355">
        <v>1354</v>
      </c>
      <c r="B1355" s="96" t="s">
        <v>2249</v>
      </c>
      <c r="C1355" s="95">
        <v>41975</v>
      </c>
      <c r="D1355" s="82">
        <v>9555000</v>
      </c>
      <c r="E1355" s="82">
        <v>9550000</v>
      </c>
      <c r="F1355" s="82">
        <v>9605000</v>
      </c>
      <c r="G1355" s="82">
        <v>9555000</v>
      </c>
      <c r="I1355" s="97">
        <v>0</v>
      </c>
      <c r="J1355" s="97">
        <v>0</v>
      </c>
      <c r="K1355" s="97">
        <v>0</v>
      </c>
      <c r="M1355" s="7">
        <f t="shared" si="232"/>
        <v>0</v>
      </c>
      <c r="N1355" s="7">
        <f t="shared" si="241"/>
        <v>0</v>
      </c>
      <c r="O1355" s="7">
        <f t="shared" si="240"/>
        <v>45000</v>
      </c>
      <c r="P1355" s="99">
        <f t="shared" si="233"/>
        <v>4.7318611987381704E-3</v>
      </c>
      <c r="Q1355" s="99">
        <f t="shared" si="242"/>
        <v>2.3540359988302225E-2</v>
      </c>
      <c r="S1355" s="7">
        <f t="shared" si="234"/>
        <v>10510500</v>
      </c>
      <c r="T1355" s="7">
        <f t="shared" si="235"/>
        <v>3185000</v>
      </c>
      <c r="U1355" s="7">
        <f t="shared" si="236"/>
        <v>9430000</v>
      </c>
      <c r="V1355" s="7">
        <f t="shared" si="237"/>
        <v>0</v>
      </c>
      <c r="W1355" s="7">
        <f t="shared" si="238"/>
        <v>0</v>
      </c>
      <c r="X1355" s="7">
        <f t="shared" si="239"/>
        <v>0</v>
      </c>
    </row>
    <row r="1356" spans="1:24">
      <c r="A1356">
        <v>1355</v>
      </c>
      <c r="B1356" s="96" t="s">
        <v>2248</v>
      </c>
      <c r="C1356" s="95">
        <v>41976</v>
      </c>
      <c r="D1356" s="82">
        <v>9560000</v>
      </c>
      <c r="E1356" s="82">
        <v>9530000</v>
      </c>
      <c r="F1356" s="82">
        <v>9580000</v>
      </c>
      <c r="G1356" s="82">
        <v>9560000</v>
      </c>
      <c r="I1356" s="98">
        <v>0</v>
      </c>
      <c r="J1356" s="98">
        <v>0</v>
      </c>
      <c r="K1356" s="98">
        <v>0</v>
      </c>
      <c r="M1356" s="7">
        <f t="shared" si="232"/>
        <v>0</v>
      </c>
      <c r="N1356" s="7">
        <f t="shared" si="241"/>
        <v>0</v>
      </c>
      <c r="O1356" s="7">
        <f t="shared" si="240"/>
        <v>5000</v>
      </c>
      <c r="P1356" s="99">
        <f t="shared" si="233"/>
        <v>5.2328623757195189E-4</v>
      </c>
      <c r="Q1356" s="99">
        <f t="shared" si="242"/>
        <v>1.8584384803832649E-2</v>
      </c>
      <c r="S1356" s="7">
        <f t="shared" si="234"/>
        <v>10516000</v>
      </c>
      <c r="T1356" s="7">
        <f t="shared" si="235"/>
        <v>3186666.6666666665</v>
      </c>
      <c r="U1356" s="7">
        <f t="shared" si="236"/>
        <v>9465000</v>
      </c>
      <c r="V1356" s="7">
        <f t="shared" si="237"/>
        <v>0</v>
      </c>
      <c r="W1356" s="7">
        <f t="shared" si="238"/>
        <v>0</v>
      </c>
      <c r="X1356" s="7">
        <f t="shared" si="239"/>
        <v>0</v>
      </c>
    </row>
    <row r="1357" spans="1:24">
      <c r="A1357">
        <v>1356</v>
      </c>
      <c r="B1357" s="96" t="s">
        <v>2247</v>
      </c>
      <c r="C1357" s="95">
        <v>41977</v>
      </c>
      <c r="D1357" s="82">
        <v>9565000</v>
      </c>
      <c r="E1357" s="82">
        <v>9550000</v>
      </c>
      <c r="F1357" s="82">
        <v>9565000</v>
      </c>
      <c r="G1357" s="82">
        <v>9565000</v>
      </c>
      <c r="I1357" s="82">
        <f>G1357*1.1</f>
        <v>10521500</v>
      </c>
      <c r="J1357" s="82">
        <f>G1357/3</f>
        <v>3188333.3333333335</v>
      </c>
      <c r="K1357" s="7">
        <f>G1625</f>
        <v>9535000</v>
      </c>
      <c r="L1357" s="7">
        <f>K1357-I1357</f>
        <v>-986500</v>
      </c>
      <c r="M1357" s="7">
        <f t="shared" si="232"/>
        <v>398541.66666666674</v>
      </c>
      <c r="N1357" s="7">
        <f t="shared" si="241"/>
        <v>-587958.33333333326</v>
      </c>
      <c r="O1357" s="7">
        <f t="shared" si="240"/>
        <v>5000</v>
      </c>
      <c r="P1357" s="99">
        <f t="shared" si="233"/>
        <v>5.2301255230125519E-4</v>
      </c>
      <c r="Q1357" s="99">
        <f t="shared" si="242"/>
        <v>1.8574622000892875E-2</v>
      </c>
      <c r="R1357">
        <v>1</v>
      </c>
      <c r="S1357" s="7">
        <f t="shared" si="234"/>
        <v>10521500</v>
      </c>
      <c r="T1357" s="7">
        <f t="shared" si="235"/>
        <v>3188333.3333333335</v>
      </c>
      <c r="U1357" s="7">
        <f t="shared" si="236"/>
        <v>9535000</v>
      </c>
      <c r="V1357" s="7">
        <f t="shared" si="237"/>
        <v>-986500</v>
      </c>
      <c r="W1357" s="7">
        <f t="shared" si="238"/>
        <v>398541.66666666674</v>
      </c>
      <c r="X1357" s="7">
        <f t="shared" si="239"/>
        <v>-587958.33333333326</v>
      </c>
    </row>
    <row r="1358" spans="1:24">
      <c r="A1358">
        <v>1357</v>
      </c>
      <c r="B1358" s="96" t="s">
        <v>2246</v>
      </c>
      <c r="C1358" s="95">
        <v>41979</v>
      </c>
      <c r="D1358" s="82">
        <v>9490000</v>
      </c>
      <c r="E1358" s="82">
        <v>9490000</v>
      </c>
      <c r="F1358" s="82">
        <v>9520000</v>
      </c>
      <c r="G1358" s="82">
        <v>9490000</v>
      </c>
      <c r="I1358" s="97">
        <v>0</v>
      </c>
      <c r="J1358" s="97">
        <v>0</v>
      </c>
      <c r="K1358" s="97">
        <v>0</v>
      </c>
      <c r="M1358" s="7">
        <f t="shared" si="232"/>
        <v>0</v>
      </c>
      <c r="N1358" s="7">
        <f t="shared" si="241"/>
        <v>0</v>
      </c>
      <c r="O1358" s="7">
        <f t="shared" si="240"/>
        <v>-75000</v>
      </c>
      <c r="P1358" s="99">
        <f t="shared" si="233"/>
        <v>-7.8410872974385773E-3</v>
      </c>
      <c r="Q1358" s="99">
        <f t="shared" si="242"/>
        <v>1.2171688895229286E-2</v>
      </c>
      <c r="S1358" s="7">
        <f t="shared" si="234"/>
        <v>10439000</v>
      </c>
      <c r="T1358" s="7">
        <f t="shared" si="235"/>
        <v>3163333.3333333335</v>
      </c>
      <c r="U1358" s="7">
        <f t="shared" si="236"/>
        <v>9420000</v>
      </c>
      <c r="V1358" s="7">
        <f t="shared" si="237"/>
        <v>0</v>
      </c>
      <c r="W1358" s="7">
        <f t="shared" si="238"/>
        <v>0</v>
      </c>
      <c r="X1358" s="7">
        <f t="shared" si="239"/>
        <v>0</v>
      </c>
    </row>
    <row r="1359" spans="1:24">
      <c r="A1359">
        <v>1358</v>
      </c>
      <c r="B1359" s="96" t="s">
        <v>2245</v>
      </c>
      <c r="C1359" s="95">
        <v>41980</v>
      </c>
      <c r="D1359" s="82">
        <v>9570000</v>
      </c>
      <c r="E1359" s="82">
        <v>9510000</v>
      </c>
      <c r="F1359" s="82">
        <v>9580000</v>
      </c>
      <c r="G1359" s="82">
        <v>9570000</v>
      </c>
      <c r="I1359" s="97">
        <v>0</v>
      </c>
      <c r="J1359" s="97">
        <v>0</v>
      </c>
      <c r="K1359" s="97">
        <v>0</v>
      </c>
      <c r="M1359" s="7">
        <f t="shared" si="232"/>
        <v>0</v>
      </c>
      <c r="N1359" s="7">
        <f t="shared" si="241"/>
        <v>0</v>
      </c>
      <c r="O1359" s="7">
        <f t="shared" si="240"/>
        <v>80000</v>
      </c>
      <c r="P1359" s="99">
        <f t="shared" si="233"/>
        <v>8.4299262381454156E-3</v>
      </c>
      <c r="Q1359" s="99">
        <f t="shared" si="242"/>
        <v>-6.2514089842198705E-3</v>
      </c>
      <c r="S1359" s="7">
        <f t="shared" si="234"/>
        <v>10527000</v>
      </c>
      <c r="T1359" s="7">
        <f t="shared" si="235"/>
        <v>3190000</v>
      </c>
      <c r="U1359" s="7">
        <f t="shared" si="236"/>
        <v>9375000</v>
      </c>
      <c r="V1359" s="7">
        <f t="shared" si="237"/>
        <v>0</v>
      </c>
      <c r="W1359" s="7">
        <f t="shared" si="238"/>
        <v>0</v>
      </c>
      <c r="X1359" s="7">
        <f t="shared" si="239"/>
        <v>0</v>
      </c>
    </row>
    <row r="1360" spans="1:24">
      <c r="A1360">
        <v>1359</v>
      </c>
      <c r="B1360" s="96" t="s">
        <v>2244</v>
      </c>
      <c r="C1360" s="95">
        <v>41981</v>
      </c>
      <c r="D1360" s="82">
        <v>9630000</v>
      </c>
      <c r="E1360" s="82">
        <v>9620000</v>
      </c>
      <c r="F1360" s="82">
        <v>9670000</v>
      </c>
      <c r="G1360" s="82">
        <v>9630000</v>
      </c>
      <c r="I1360" s="97">
        <v>0</v>
      </c>
      <c r="J1360" s="97">
        <v>0</v>
      </c>
      <c r="K1360" s="97">
        <v>0</v>
      </c>
      <c r="M1360" s="7">
        <f t="shared" si="232"/>
        <v>0</v>
      </c>
      <c r="N1360" s="7">
        <f t="shared" si="241"/>
        <v>0</v>
      </c>
      <c r="O1360" s="7">
        <f t="shared" si="240"/>
        <v>60000</v>
      </c>
      <c r="P1360" s="99">
        <f t="shared" si="233"/>
        <v>6.269592476489028E-3</v>
      </c>
      <c r="Q1360" s="99">
        <f t="shared" si="242"/>
        <v>6.3669989293182157E-3</v>
      </c>
      <c r="S1360" s="7">
        <f t="shared" si="234"/>
        <v>10593000</v>
      </c>
      <c r="T1360" s="7">
        <f t="shared" si="235"/>
        <v>3210000</v>
      </c>
      <c r="U1360" s="7">
        <f t="shared" si="236"/>
        <v>9365000</v>
      </c>
      <c r="V1360" s="7">
        <f t="shared" si="237"/>
        <v>0</v>
      </c>
      <c r="W1360" s="7">
        <f t="shared" si="238"/>
        <v>0</v>
      </c>
      <c r="X1360" s="7">
        <f t="shared" si="239"/>
        <v>0</v>
      </c>
    </row>
    <row r="1361" spans="1:24">
      <c r="A1361">
        <v>1360</v>
      </c>
      <c r="B1361" s="96" t="s">
        <v>2243</v>
      </c>
      <c r="C1361" s="95">
        <v>41982</v>
      </c>
      <c r="D1361" s="82">
        <v>9680000</v>
      </c>
      <c r="E1361" s="82">
        <v>9630000</v>
      </c>
      <c r="F1361" s="82">
        <v>9680000</v>
      </c>
      <c r="G1361" s="82">
        <v>9680000</v>
      </c>
      <c r="I1361" s="98">
        <v>0</v>
      </c>
      <c r="J1361" s="98">
        <v>0</v>
      </c>
      <c r="K1361" s="98">
        <v>0</v>
      </c>
      <c r="M1361" s="7">
        <f t="shared" si="232"/>
        <v>0</v>
      </c>
      <c r="N1361" s="7">
        <f t="shared" si="241"/>
        <v>0</v>
      </c>
      <c r="O1361" s="7">
        <f t="shared" si="240"/>
        <v>50000</v>
      </c>
      <c r="P1361" s="99">
        <f t="shared" si="233"/>
        <v>5.1921079958463139E-3</v>
      </c>
      <c r="Q1361" s="99">
        <f t="shared" si="242"/>
        <v>7.9047302070690724E-3</v>
      </c>
      <c r="S1361" s="7">
        <f t="shared" si="234"/>
        <v>10648000</v>
      </c>
      <c r="T1361" s="7">
        <f t="shared" si="235"/>
        <v>3226666.6666666665</v>
      </c>
      <c r="U1361" s="7">
        <f t="shared" si="236"/>
        <v>9340000</v>
      </c>
      <c r="V1361" s="7">
        <f t="shared" si="237"/>
        <v>0</v>
      </c>
      <c r="W1361" s="7">
        <f t="shared" si="238"/>
        <v>0</v>
      </c>
      <c r="X1361" s="7">
        <f t="shared" si="239"/>
        <v>0</v>
      </c>
    </row>
    <row r="1362" spans="1:24">
      <c r="A1362">
        <v>1361</v>
      </c>
      <c r="B1362" s="96" t="s">
        <v>2242</v>
      </c>
      <c r="C1362" s="95">
        <v>41983</v>
      </c>
      <c r="D1362" s="82">
        <v>9810000</v>
      </c>
      <c r="E1362" s="82">
        <v>9675000</v>
      </c>
      <c r="F1362" s="82">
        <v>9810000</v>
      </c>
      <c r="G1362" s="82">
        <v>9810000</v>
      </c>
      <c r="I1362" s="82">
        <f>G1362*1.1</f>
        <v>10791000</v>
      </c>
      <c r="J1362" s="82">
        <f>G1362/3</f>
        <v>3270000</v>
      </c>
      <c r="K1362" s="7">
        <f>G1630</f>
        <v>9300000</v>
      </c>
      <c r="L1362" s="7">
        <f>K1362-I1362</f>
        <v>-1491000</v>
      </c>
      <c r="M1362" s="7">
        <f t="shared" si="232"/>
        <v>408750</v>
      </c>
      <c r="N1362" s="7">
        <f t="shared" si="241"/>
        <v>-1082250</v>
      </c>
      <c r="O1362" s="7">
        <f t="shared" si="240"/>
        <v>130000</v>
      </c>
      <c r="P1362" s="99">
        <f t="shared" si="233"/>
        <v>1.3429752066115703E-2</v>
      </c>
      <c r="Q1362" s="99">
        <f t="shared" si="242"/>
        <v>1.2573551965343436E-2</v>
      </c>
      <c r="R1362">
        <v>1</v>
      </c>
      <c r="S1362" s="7">
        <f t="shared" si="234"/>
        <v>10791000</v>
      </c>
      <c r="T1362" s="7">
        <f t="shared" si="235"/>
        <v>3270000</v>
      </c>
      <c r="U1362" s="7">
        <f t="shared" si="236"/>
        <v>9300000</v>
      </c>
      <c r="V1362" s="7">
        <f t="shared" si="237"/>
        <v>-1491000</v>
      </c>
      <c r="W1362" s="7">
        <f t="shared" si="238"/>
        <v>408750</v>
      </c>
      <c r="X1362" s="7">
        <f t="shared" si="239"/>
        <v>-1082250</v>
      </c>
    </row>
    <row r="1363" spans="1:24">
      <c r="A1363">
        <v>1362</v>
      </c>
      <c r="B1363" s="96" t="s">
        <v>2241</v>
      </c>
      <c r="C1363" s="95">
        <v>41984</v>
      </c>
      <c r="D1363" s="82">
        <v>9800000</v>
      </c>
      <c r="E1363" s="82">
        <v>9790000</v>
      </c>
      <c r="F1363" s="82">
        <v>9835000</v>
      </c>
      <c r="G1363" s="82">
        <v>9800000</v>
      </c>
      <c r="I1363" s="97">
        <v>0</v>
      </c>
      <c r="J1363" s="97">
        <v>0</v>
      </c>
      <c r="K1363" s="97">
        <v>0</v>
      </c>
      <c r="M1363" s="7">
        <f t="shared" si="232"/>
        <v>0</v>
      </c>
      <c r="N1363" s="7">
        <f t="shared" si="241"/>
        <v>0</v>
      </c>
      <c r="O1363" s="7">
        <f t="shared" si="240"/>
        <v>-10000</v>
      </c>
      <c r="P1363" s="99">
        <f t="shared" si="233"/>
        <v>-1.0193679918450561E-3</v>
      </c>
      <c r="Q1363" s="99">
        <f t="shared" si="242"/>
        <v>2.5480291479157882E-2</v>
      </c>
      <c r="S1363" s="7">
        <f t="shared" si="234"/>
        <v>10780000</v>
      </c>
      <c r="T1363" s="7">
        <f t="shared" si="235"/>
        <v>3266666.6666666665</v>
      </c>
      <c r="U1363" s="7">
        <f t="shared" si="236"/>
        <v>9220000</v>
      </c>
      <c r="V1363" s="7">
        <f t="shared" si="237"/>
        <v>0</v>
      </c>
      <c r="W1363" s="7">
        <f t="shared" si="238"/>
        <v>0</v>
      </c>
      <c r="X1363" s="7">
        <f t="shared" si="239"/>
        <v>0</v>
      </c>
    </row>
    <row r="1364" spans="1:24">
      <c r="A1364">
        <v>1363</v>
      </c>
      <c r="B1364" s="96" t="s">
        <v>2240</v>
      </c>
      <c r="C1364" s="95">
        <v>41985</v>
      </c>
      <c r="D1364" s="82">
        <v>9800000</v>
      </c>
      <c r="E1364" s="82">
        <v>9795000</v>
      </c>
      <c r="F1364" s="82">
        <v>9800000</v>
      </c>
      <c r="G1364" s="82">
        <v>9800000</v>
      </c>
      <c r="I1364" s="97">
        <v>0</v>
      </c>
      <c r="J1364" s="97">
        <v>0</v>
      </c>
      <c r="K1364" s="97">
        <v>0</v>
      </c>
      <c r="M1364" s="7">
        <f t="shared" si="232"/>
        <v>0</v>
      </c>
      <c r="N1364" s="7">
        <f t="shared" si="241"/>
        <v>0</v>
      </c>
      <c r="O1364" s="7">
        <f t="shared" si="240"/>
        <v>0</v>
      </c>
      <c r="P1364" s="99">
        <f t="shared" si="233"/>
        <v>0</v>
      </c>
      <c r="Q1364" s="99">
        <f t="shared" si="242"/>
        <v>3.2302010784751402E-2</v>
      </c>
      <c r="S1364" s="7">
        <f t="shared" si="234"/>
        <v>10780000</v>
      </c>
      <c r="T1364" s="7">
        <f t="shared" si="235"/>
        <v>3266666.6666666665</v>
      </c>
      <c r="U1364" s="7">
        <f t="shared" si="236"/>
        <v>9180000</v>
      </c>
      <c r="V1364" s="7">
        <f t="shared" si="237"/>
        <v>0</v>
      </c>
      <c r="W1364" s="7">
        <f t="shared" si="238"/>
        <v>0</v>
      </c>
      <c r="X1364" s="7">
        <f t="shared" si="239"/>
        <v>0</v>
      </c>
    </row>
    <row r="1365" spans="1:24">
      <c r="A1365">
        <v>1364</v>
      </c>
      <c r="B1365" s="96" t="s">
        <v>2239</v>
      </c>
      <c r="C1365" s="95">
        <v>41986</v>
      </c>
      <c r="D1365" s="82">
        <v>9800000</v>
      </c>
      <c r="E1365" s="82">
        <v>9795000</v>
      </c>
      <c r="F1365" s="82">
        <v>9800000</v>
      </c>
      <c r="G1365" s="82">
        <v>9800000</v>
      </c>
      <c r="I1365" s="97">
        <v>0</v>
      </c>
      <c r="J1365" s="97">
        <v>0</v>
      </c>
      <c r="K1365" s="97">
        <v>0</v>
      </c>
      <c r="M1365" s="7">
        <f t="shared" si="232"/>
        <v>0</v>
      </c>
      <c r="N1365" s="7">
        <f t="shared" si="241"/>
        <v>0</v>
      </c>
      <c r="O1365" s="7">
        <f t="shared" si="240"/>
        <v>0</v>
      </c>
      <c r="P1365" s="99">
        <f t="shared" si="233"/>
        <v>0</v>
      </c>
      <c r="Q1365" s="99">
        <f t="shared" si="242"/>
        <v>2.3872084546605988E-2</v>
      </c>
      <c r="S1365" s="7">
        <f t="shared" si="234"/>
        <v>10780000</v>
      </c>
      <c r="T1365" s="7">
        <f t="shared" si="235"/>
        <v>3266666.6666666665</v>
      </c>
      <c r="U1365" s="7">
        <f t="shared" si="236"/>
        <v>9085000</v>
      </c>
      <c r="V1365" s="7">
        <f t="shared" si="237"/>
        <v>0</v>
      </c>
      <c r="W1365" s="7">
        <f t="shared" si="238"/>
        <v>0</v>
      </c>
      <c r="X1365" s="7">
        <f t="shared" si="239"/>
        <v>0</v>
      </c>
    </row>
    <row r="1366" spans="1:24">
      <c r="A1366">
        <v>1365</v>
      </c>
      <c r="B1366" s="96" t="s">
        <v>2238</v>
      </c>
      <c r="C1366" s="95">
        <v>41987</v>
      </c>
      <c r="D1366" s="82">
        <v>10010000</v>
      </c>
      <c r="E1366" s="82">
        <v>9815000</v>
      </c>
      <c r="F1366" s="82">
        <v>10010000</v>
      </c>
      <c r="G1366" s="82">
        <v>10010000</v>
      </c>
      <c r="I1366" s="98">
        <v>0</v>
      </c>
      <c r="J1366" s="98">
        <v>0</v>
      </c>
      <c r="K1366" s="98">
        <v>0</v>
      </c>
      <c r="M1366" s="7">
        <f t="shared" si="232"/>
        <v>0</v>
      </c>
      <c r="N1366" s="7">
        <f t="shared" si="241"/>
        <v>0</v>
      </c>
      <c r="O1366" s="7">
        <f t="shared" si="240"/>
        <v>210000</v>
      </c>
      <c r="P1366" s="99">
        <f t="shared" si="233"/>
        <v>2.1428571428571429E-2</v>
      </c>
      <c r="Q1366" s="99">
        <f t="shared" si="242"/>
        <v>1.7602492070116958E-2</v>
      </c>
      <c r="S1366" s="7">
        <f t="shared" si="234"/>
        <v>11011000</v>
      </c>
      <c r="T1366" s="7">
        <f t="shared" si="235"/>
        <v>3336666.6666666665</v>
      </c>
      <c r="U1366" s="7">
        <f t="shared" si="236"/>
        <v>9100000</v>
      </c>
      <c r="V1366" s="7">
        <f t="shared" si="237"/>
        <v>0</v>
      </c>
      <c r="W1366" s="7">
        <f t="shared" si="238"/>
        <v>0</v>
      </c>
      <c r="X1366" s="7">
        <f t="shared" si="239"/>
        <v>0</v>
      </c>
    </row>
    <row r="1367" spans="1:24">
      <c r="A1367">
        <v>1366</v>
      </c>
      <c r="B1367" s="96" t="s">
        <v>2237</v>
      </c>
      <c r="C1367" s="95">
        <v>41988</v>
      </c>
      <c r="D1367" s="82">
        <v>9960000</v>
      </c>
      <c r="E1367" s="82">
        <v>9950000</v>
      </c>
      <c r="F1367" s="82">
        <v>10120000</v>
      </c>
      <c r="G1367" s="82">
        <v>9960000</v>
      </c>
      <c r="I1367" s="82">
        <f>G1367*1.1</f>
        <v>10956000</v>
      </c>
      <c r="J1367" s="82">
        <f>G1367/3</f>
        <v>3320000</v>
      </c>
      <c r="K1367" s="7">
        <f>G1635</f>
        <v>9155000</v>
      </c>
      <c r="L1367" s="7">
        <f>K1367-I1367</f>
        <v>-1801000</v>
      </c>
      <c r="M1367" s="7">
        <f t="shared" si="232"/>
        <v>415000</v>
      </c>
      <c r="N1367" s="7">
        <f t="shared" si="241"/>
        <v>-1386000</v>
      </c>
      <c r="O1367" s="7">
        <f t="shared" si="240"/>
        <v>-50000</v>
      </c>
      <c r="P1367" s="99">
        <f t="shared" si="233"/>
        <v>-4.995004995004995E-3</v>
      </c>
      <c r="Q1367" s="99">
        <f t="shared" si="242"/>
        <v>3.3838955502842077E-2</v>
      </c>
      <c r="R1367">
        <v>1</v>
      </c>
      <c r="S1367" s="7">
        <f t="shared" si="234"/>
        <v>10956000</v>
      </c>
      <c r="T1367" s="7">
        <f t="shared" si="235"/>
        <v>3320000</v>
      </c>
      <c r="U1367" s="7">
        <f t="shared" si="236"/>
        <v>9155000</v>
      </c>
      <c r="V1367" s="7">
        <f t="shared" si="237"/>
        <v>-1801000</v>
      </c>
      <c r="W1367" s="7">
        <f t="shared" si="238"/>
        <v>415000</v>
      </c>
      <c r="X1367" s="7">
        <f t="shared" si="239"/>
        <v>-1386000</v>
      </c>
    </row>
    <row r="1368" spans="1:24">
      <c r="A1368">
        <v>1367</v>
      </c>
      <c r="B1368" s="96" t="s">
        <v>2236</v>
      </c>
      <c r="C1368" s="95">
        <v>41989</v>
      </c>
      <c r="D1368" s="82">
        <v>9970000</v>
      </c>
      <c r="E1368" s="82">
        <v>9850000</v>
      </c>
      <c r="F1368" s="82">
        <v>10020000</v>
      </c>
      <c r="G1368" s="82">
        <v>9970000</v>
      </c>
      <c r="I1368" s="97">
        <v>0</v>
      </c>
      <c r="J1368" s="97">
        <v>0</v>
      </c>
      <c r="K1368" s="97">
        <v>0</v>
      </c>
      <c r="M1368" s="7">
        <f t="shared" si="232"/>
        <v>0</v>
      </c>
      <c r="N1368" s="7">
        <f t="shared" si="241"/>
        <v>0</v>
      </c>
      <c r="O1368" s="7">
        <f t="shared" si="240"/>
        <v>10000</v>
      </c>
      <c r="P1368" s="99">
        <f t="shared" si="233"/>
        <v>1.004016064257028E-3</v>
      </c>
      <c r="Q1368" s="99">
        <f t="shared" si="242"/>
        <v>1.5414198441721375E-2</v>
      </c>
      <c r="S1368" s="7">
        <f t="shared" si="234"/>
        <v>10967000</v>
      </c>
      <c r="T1368" s="7">
        <f t="shared" si="235"/>
        <v>3323333.3333333335</v>
      </c>
      <c r="U1368" s="7">
        <f t="shared" si="236"/>
        <v>9150000</v>
      </c>
      <c r="V1368" s="7">
        <f t="shared" si="237"/>
        <v>0</v>
      </c>
      <c r="W1368" s="7">
        <f t="shared" si="238"/>
        <v>0</v>
      </c>
      <c r="X1368" s="7">
        <f t="shared" si="239"/>
        <v>0</v>
      </c>
    </row>
    <row r="1369" spans="1:24">
      <c r="A1369">
        <v>1368</v>
      </c>
      <c r="B1369" s="96" t="s">
        <v>2235</v>
      </c>
      <c r="C1369" s="95">
        <v>41990</v>
      </c>
      <c r="D1369" s="82">
        <v>9905000</v>
      </c>
      <c r="E1369" s="82">
        <v>9900000</v>
      </c>
      <c r="F1369" s="82">
        <v>9950000</v>
      </c>
      <c r="G1369" s="82">
        <v>9905000</v>
      </c>
      <c r="I1369" s="97">
        <v>0</v>
      </c>
      <c r="J1369" s="97">
        <v>0</v>
      </c>
      <c r="K1369" s="97">
        <v>0</v>
      </c>
      <c r="M1369" s="7">
        <f t="shared" si="232"/>
        <v>0</v>
      </c>
      <c r="N1369" s="7">
        <f t="shared" si="241"/>
        <v>0</v>
      </c>
      <c r="O1369" s="7">
        <f t="shared" si="240"/>
        <v>-65000</v>
      </c>
      <c r="P1369" s="99">
        <f t="shared" si="233"/>
        <v>-6.5195586760280842E-3</v>
      </c>
      <c r="Q1369" s="99">
        <f t="shared" si="242"/>
        <v>1.743758249782346E-2</v>
      </c>
      <c r="S1369" s="7">
        <f t="shared" si="234"/>
        <v>10895500</v>
      </c>
      <c r="T1369" s="7">
        <f t="shared" si="235"/>
        <v>3301666.6666666665</v>
      </c>
      <c r="U1369" s="7">
        <f t="shared" si="236"/>
        <v>9150000</v>
      </c>
      <c r="V1369" s="7">
        <f t="shared" si="237"/>
        <v>0</v>
      </c>
      <c r="W1369" s="7">
        <f t="shared" si="238"/>
        <v>0</v>
      </c>
      <c r="X1369" s="7">
        <f t="shared" si="239"/>
        <v>0</v>
      </c>
    </row>
    <row r="1370" spans="1:24">
      <c r="A1370">
        <v>1369</v>
      </c>
      <c r="B1370" s="96" t="s">
        <v>2234</v>
      </c>
      <c r="C1370" s="95">
        <v>41991</v>
      </c>
      <c r="D1370" s="82">
        <v>9990000</v>
      </c>
      <c r="E1370" s="82">
        <v>9910000</v>
      </c>
      <c r="F1370" s="82">
        <v>9995000</v>
      </c>
      <c r="G1370" s="82">
        <v>9990000</v>
      </c>
      <c r="I1370" s="97">
        <v>0</v>
      </c>
      <c r="J1370" s="97">
        <v>0</v>
      </c>
      <c r="K1370" s="97">
        <v>0</v>
      </c>
      <c r="M1370" s="7">
        <f t="shared" si="232"/>
        <v>0</v>
      </c>
      <c r="N1370" s="7">
        <f t="shared" si="241"/>
        <v>0</v>
      </c>
      <c r="O1370" s="7">
        <f t="shared" si="240"/>
        <v>85000</v>
      </c>
      <c r="P1370" s="99">
        <f t="shared" si="233"/>
        <v>8.581524482584554E-3</v>
      </c>
      <c r="Q1370" s="99">
        <f t="shared" si="242"/>
        <v>1.0918023821795375E-2</v>
      </c>
      <c r="S1370" s="7">
        <f t="shared" si="234"/>
        <v>10989000</v>
      </c>
      <c r="T1370" s="7">
        <f t="shared" si="235"/>
        <v>3330000</v>
      </c>
      <c r="U1370" s="7">
        <f t="shared" si="236"/>
        <v>9145000</v>
      </c>
      <c r="V1370" s="7">
        <f t="shared" si="237"/>
        <v>0</v>
      </c>
      <c r="W1370" s="7">
        <f t="shared" si="238"/>
        <v>0</v>
      </c>
      <c r="X1370" s="7">
        <f t="shared" si="239"/>
        <v>0</v>
      </c>
    </row>
    <row r="1371" spans="1:24">
      <c r="A1371">
        <v>1370</v>
      </c>
      <c r="B1371" s="96" t="s">
        <v>2233</v>
      </c>
      <c r="C1371" s="95">
        <v>41993</v>
      </c>
      <c r="D1371" s="82">
        <v>9935000</v>
      </c>
      <c r="E1371" s="82">
        <v>9875000</v>
      </c>
      <c r="F1371" s="82">
        <v>9975000</v>
      </c>
      <c r="G1371" s="82">
        <v>9935000</v>
      </c>
      <c r="I1371" s="98">
        <v>0</v>
      </c>
      <c r="J1371" s="98">
        <v>0</v>
      </c>
      <c r="K1371" s="98">
        <v>0</v>
      </c>
      <c r="M1371" s="7">
        <f t="shared" si="232"/>
        <v>0</v>
      </c>
      <c r="N1371" s="7">
        <f t="shared" si="241"/>
        <v>0</v>
      </c>
      <c r="O1371" s="7">
        <f t="shared" si="240"/>
        <v>-55000</v>
      </c>
      <c r="P1371" s="99">
        <f t="shared" si="233"/>
        <v>-5.5055055055055055E-3</v>
      </c>
      <c r="Q1371" s="99">
        <f t="shared" si="242"/>
        <v>1.9499548304379929E-2</v>
      </c>
      <c r="S1371" s="7">
        <f t="shared" si="234"/>
        <v>10928500</v>
      </c>
      <c r="T1371" s="7">
        <f t="shared" si="235"/>
        <v>3311666.6666666665</v>
      </c>
      <c r="U1371" s="7">
        <f t="shared" si="236"/>
        <v>9200000</v>
      </c>
      <c r="V1371" s="7">
        <f t="shared" si="237"/>
        <v>0</v>
      </c>
      <c r="W1371" s="7">
        <f t="shared" si="238"/>
        <v>0</v>
      </c>
      <c r="X1371" s="7">
        <f t="shared" si="239"/>
        <v>0</v>
      </c>
    </row>
    <row r="1372" spans="1:24">
      <c r="A1372">
        <v>1371</v>
      </c>
      <c r="B1372" s="96" t="s">
        <v>2232</v>
      </c>
      <c r="C1372" s="95">
        <v>41994</v>
      </c>
      <c r="D1372" s="82">
        <v>9935000</v>
      </c>
      <c r="E1372" s="82">
        <v>9930000</v>
      </c>
      <c r="F1372" s="82">
        <v>9935000</v>
      </c>
      <c r="G1372" s="82">
        <v>9935000</v>
      </c>
      <c r="I1372" s="82">
        <f>G1372*1.1</f>
        <v>10928500</v>
      </c>
      <c r="J1372" s="82">
        <f>G1372/3</f>
        <v>3311666.6666666665</v>
      </c>
      <c r="K1372" s="7">
        <f>G1640</f>
        <v>9180000</v>
      </c>
      <c r="L1372" s="7">
        <f>K1372-I1372</f>
        <v>-1748500</v>
      </c>
      <c r="M1372" s="7">
        <f t="shared" si="232"/>
        <v>413958.33333333326</v>
      </c>
      <c r="N1372" s="7">
        <f t="shared" si="241"/>
        <v>-1334541.6666666667</v>
      </c>
      <c r="O1372" s="7">
        <f t="shared" si="240"/>
        <v>0</v>
      </c>
      <c r="P1372" s="99">
        <f t="shared" si="233"/>
        <v>0</v>
      </c>
      <c r="Q1372" s="99">
        <f t="shared" si="242"/>
        <v>-7.434528629697003E-3</v>
      </c>
      <c r="R1372">
        <v>1</v>
      </c>
      <c r="S1372" s="7">
        <f t="shared" si="234"/>
        <v>10928500</v>
      </c>
      <c r="T1372" s="7">
        <f t="shared" si="235"/>
        <v>3311666.6666666665</v>
      </c>
      <c r="U1372" s="7">
        <f t="shared" si="236"/>
        <v>9180000</v>
      </c>
      <c r="V1372" s="7">
        <f t="shared" si="237"/>
        <v>-1748500</v>
      </c>
      <c r="W1372" s="7">
        <f t="shared" si="238"/>
        <v>413958.33333333326</v>
      </c>
      <c r="X1372" s="7">
        <f t="shared" si="239"/>
        <v>-1334541.6666666667</v>
      </c>
    </row>
    <row r="1373" spans="1:24">
      <c r="A1373">
        <v>1372</v>
      </c>
      <c r="B1373" s="96" t="s">
        <v>2231</v>
      </c>
      <c r="C1373" s="95">
        <v>41995</v>
      </c>
      <c r="D1373" s="82">
        <v>9960000</v>
      </c>
      <c r="E1373" s="82">
        <v>9910000</v>
      </c>
      <c r="F1373" s="82">
        <v>9960000</v>
      </c>
      <c r="G1373" s="82">
        <v>9960000</v>
      </c>
      <c r="I1373" s="97">
        <v>0</v>
      </c>
      <c r="J1373" s="97">
        <v>0</v>
      </c>
      <c r="K1373" s="97">
        <v>0</v>
      </c>
      <c r="M1373" s="7">
        <f t="shared" si="232"/>
        <v>0</v>
      </c>
      <c r="N1373" s="7">
        <f t="shared" si="241"/>
        <v>0</v>
      </c>
      <c r="O1373" s="7">
        <f t="shared" si="240"/>
        <v>25000</v>
      </c>
      <c r="P1373" s="99">
        <f t="shared" si="233"/>
        <v>2.5163563160543532E-3</v>
      </c>
      <c r="Q1373" s="99">
        <f t="shared" si="242"/>
        <v>-2.4395236346920071E-3</v>
      </c>
      <c r="S1373" s="7">
        <f t="shared" si="234"/>
        <v>10956000</v>
      </c>
      <c r="T1373" s="7">
        <f t="shared" si="235"/>
        <v>3320000</v>
      </c>
      <c r="U1373" s="7">
        <f t="shared" si="236"/>
        <v>9160000</v>
      </c>
      <c r="V1373" s="7">
        <f t="shared" si="237"/>
        <v>0</v>
      </c>
      <c r="W1373" s="7">
        <f t="shared" si="238"/>
        <v>0</v>
      </c>
      <c r="X1373" s="7">
        <f t="shared" si="239"/>
        <v>0</v>
      </c>
    </row>
    <row r="1374" spans="1:24">
      <c r="A1374">
        <v>1373</v>
      </c>
      <c r="B1374" s="96" t="s">
        <v>2230</v>
      </c>
      <c r="C1374" s="95">
        <v>41996</v>
      </c>
      <c r="D1374" s="82">
        <v>9960000</v>
      </c>
      <c r="E1374" s="82">
        <v>9940000</v>
      </c>
      <c r="F1374" s="82">
        <v>9960000</v>
      </c>
      <c r="G1374" s="82">
        <v>9960000</v>
      </c>
      <c r="I1374" s="97">
        <v>0</v>
      </c>
      <c r="J1374" s="97">
        <v>0</v>
      </c>
      <c r="K1374" s="97">
        <v>0</v>
      </c>
      <c r="M1374" s="7">
        <f t="shared" si="232"/>
        <v>0</v>
      </c>
      <c r="N1374" s="7">
        <f t="shared" si="241"/>
        <v>0</v>
      </c>
      <c r="O1374" s="7">
        <f t="shared" si="240"/>
        <v>0</v>
      </c>
      <c r="P1374" s="99">
        <f t="shared" si="233"/>
        <v>0</v>
      </c>
      <c r="Q1374" s="99">
        <f t="shared" si="242"/>
        <v>-9.2718338289468237E-4</v>
      </c>
      <c r="S1374" s="7">
        <f t="shared" si="234"/>
        <v>10956000</v>
      </c>
      <c r="T1374" s="7">
        <f t="shared" si="235"/>
        <v>3320000</v>
      </c>
      <c r="U1374" s="7">
        <f t="shared" si="236"/>
        <v>9080000</v>
      </c>
      <c r="V1374" s="7">
        <f t="shared" si="237"/>
        <v>0</v>
      </c>
      <c r="W1374" s="7">
        <f t="shared" si="238"/>
        <v>0</v>
      </c>
      <c r="X1374" s="7">
        <f t="shared" si="239"/>
        <v>0</v>
      </c>
    </row>
    <row r="1375" spans="1:24">
      <c r="A1375">
        <v>1374</v>
      </c>
      <c r="B1375" s="96" t="s">
        <v>2229</v>
      </c>
      <c r="C1375" s="95">
        <v>41997</v>
      </c>
      <c r="D1375" s="82">
        <v>9895000</v>
      </c>
      <c r="E1375" s="82">
        <v>9895000</v>
      </c>
      <c r="F1375" s="82">
        <v>9950000</v>
      </c>
      <c r="G1375" s="82">
        <v>9895000</v>
      </c>
      <c r="I1375" s="97">
        <v>0</v>
      </c>
      <c r="J1375" s="97">
        <v>0</v>
      </c>
      <c r="K1375" s="97">
        <v>0</v>
      </c>
      <c r="M1375" s="7">
        <f t="shared" si="232"/>
        <v>0</v>
      </c>
      <c r="N1375" s="7">
        <f t="shared" si="241"/>
        <v>0</v>
      </c>
      <c r="O1375" s="7">
        <f t="shared" si="240"/>
        <v>-65000</v>
      </c>
      <c r="P1375" s="99">
        <f t="shared" si="233"/>
        <v>-6.5261044176706823E-3</v>
      </c>
      <c r="Q1375" s="99">
        <f t="shared" si="242"/>
        <v>5.5923752931334014E-3</v>
      </c>
      <c r="S1375" s="7">
        <f t="shared" si="234"/>
        <v>10884500</v>
      </c>
      <c r="T1375" s="7">
        <f t="shared" si="235"/>
        <v>3298333.3333333335</v>
      </c>
      <c r="U1375" s="7">
        <f t="shared" si="236"/>
        <v>9065000</v>
      </c>
      <c r="V1375" s="7">
        <f t="shared" si="237"/>
        <v>0</v>
      </c>
      <c r="W1375" s="7">
        <f t="shared" si="238"/>
        <v>0</v>
      </c>
      <c r="X1375" s="7">
        <f t="shared" si="239"/>
        <v>0</v>
      </c>
    </row>
    <row r="1376" spans="1:24">
      <c r="A1376">
        <v>1375</v>
      </c>
      <c r="B1376" s="96" t="s">
        <v>2228</v>
      </c>
      <c r="C1376" s="95">
        <v>41998</v>
      </c>
      <c r="D1376" s="82">
        <v>9895000</v>
      </c>
      <c r="E1376" s="82">
        <v>9890000</v>
      </c>
      <c r="F1376" s="82">
        <v>9920000</v>
      </c>
      <c r="G1376" s="82">
        <v>9895000</v>
      </c>
      <c r="I1376" s="98">
        <v>0</v>
      </c>
      <c r="J1376" s="98">
        <v>0</v>
      </c>
      <c r="K1376" s="98">
        <v>0</v>
      </c>
      <c r="M1376" s="7">
        <f t="shared" si="232"/>
        <v>0</v>
      </c>
      <c r="N1376" s="7">
        <f t="shared" si="241"/>
        <v>0</v>
      </c>
      <c r="O1376" s="7">
        <f t="shared" si="240"/>
        <v>0</v>
      </c>
      <c r="P1376" s="99">
        <f t="shared" si="233"/>
        <v>0</v>
      </c>
      <c r="Q1376" s="99">
        <f t="shared" si="242"/>
        <v>-9.515253607121835E-3</v>
      </c>
      <c r="S1376" s="7">
        <f t="shared" si="234"/>
        <v>10884500</v>
      </c>
      <c r="T1376" s="7">
        <f t="shared" si="235"/>
        <v>3298333.3333333335</v>
      </c>
      <c r="U1376" s="7">
        <f t="shared" si="236"/>
        <v>9135000</v>
      </c>
      <c r="V1376" s="7">
        <f t="shared" si="237"/>
        <v>0</v>
      </c>
      <c r="W1376" s="7">
        <f t="shared" si="238"/>
        <v>0</v>
      </c>
      <c r="X1376" s="7">
        <f t="shared" si="239"/>
        <v>0</v>
      </c>
    </row>
    <row r="1377" spans="1:24">
      <c r="A1377">
        <v>1376</v>
      </c>
      <c r="B1377" s="96" t="s">
        <v>2227</v>
      </c>
      <c r="C1377" s="95">
        <v>41999</v>
      </c>
      <c r="D1377" s="82">
        <v>9895000</v>
      </c>
      <c r="E1377" s="82">
        <v>9895000</v>
      </c>
      <c r="F1377" s="82">
        <v>9900000</v>
      </c>
      <c r="G1377" s="82">
        <v>9895000</v>
      </c>
      <c r="I1377" s="82">
        <f>G1377*1.1</f>
        <v>10884500</v>
      </c>
      <c r="J1377" s="82">
        <f>G1377/3</f>
        <v>3298333.3333333335</v>
      </c>
      <c r="K1377" s="7">
        <f>G1645</f>
        <v>9070000</v>
      </c>
      <c r="L1377" s="7">
        <f>K1377-I1377</f>
        <v>-1814500</v>
      </c>
      <c r="M1377" s="7">
        <f t="shared" si="232"/>
        <v>412291.66666666674</v>
      </c>
      <c r="N1377" s="7">
        <f t="shared" si="241"/>
        <v>-1402208.3333333333</v>
      </c>
      <c r="O1377" s="7">
        <f t="shared" si="240"/>
        <v>0</v>
      </c>
      <c r="P1377" s="99">
        <f t="shared" si="233"/>
        <v>0</v>
      </c>
      <c r="Q1377" s="99">
        <f t="shared" si="242"/>
        <v>-4.0097481016163287E-3</v>
      </c>
      <c r="R1377">
        <v>1</v>
      </c>
      <c r="S1377" s="7">
        <f t="shared" si="234"/>
        <v>10884500</v>
      </c>
      <c r="T1377" s="7">
        <f t="shared" si="235"/>
        <v>3298333.3333333335</v>
      </c>
      <c r="U1377" s="7">
        <f t="shared" si="236"/>
        <v>9070000</v>
      </c>
      <c r="V1377" s="7">
        <f t="shared" si="237"/>
        <v>-1814500</v>
      </c>
      <c r="W1377" s="7">
        <f t="shared" si="238"/>
        <v>412291.66666666674</v>
      </c>
      <c r="X1377" s="7">
        <f t="shared" si="239"/>
        <v>-1402208.3333333333</v>
      </c>
    </row>
    <row r="1378" spans="1:24">
      <c r="A1378">
        <v>1377</v>
      </c>
      <c r="B1378" s="96" t="s">
        <v>2226</v>
      </c>
      <c r="C1378" s="95">
        <v>42000</v>
      </c>
      <c r="D1378" s="82">
        <v>9945000</v>
      </c>
      <c r="E1378" s="82">
        <v>9910000</v>
      </c>
      <c r="F1378" s="82">
        <v>9950000</v>
      </c>
      <c r="G1378" s="82">
        <v>9945000</v>
      </c>
      <c r="I1378" s="97">
        <v>0</v>
      </c>
      <c r="J1378" s="97">
        <v>0</v>
      </c>
      <c r="K1378" s="97">
        <v>0</v>
      </c>
      <c r="M1378" s="7">
        <f t="shared" si="232"/>
        <v>0</v>
      </c>
      <c r="N1378" s="7">
        <f t="shared" si="241"/>
        <v>0</v>
      </c>
      <c r="O1378" s="7">
        <f t="shared" si="240"/>
        <v>50000</v>
      </c>
      <c r="P1378" s="99">
        <f t="shared" si="233"/>
        <v>5.053057099545225E-3</v>
      </c>
      <c r="Q1378" s="99">
        <f t="shared" si="242"/>
        <v>-4.0097481016163287E-3</v>
      </c>
      <c r="S1378" s="7">
        <f t="shared" si="234"/>
        <v>10939500</v>
      </c>
      <c r="T1378" s="7">
        <f t="shared" si="235"/>
        <v>3315000</v>
      </c>
      <c r="U1378" s="7">
        <f t="shared" si="236"/>
        <v>9080000</v>
      </c>
      <c r="V1378" s="7">
        <f t="shared" si="237"/>
        <v>0</v>
      </c>
      <c r="W1378" s="7">
        <f t="shared" si="238"/>
        <v>0</v>
      </c>
      <c r="X1378" s="7">
        <f t="shared" si="239"/>
        <v>0</v>
      </c>
    </row>
    <row r="1379" spans="1:24">
      <c r="A1379">
        <v>1378</v>
      </c>
      <c r="B1379" s="96" t="s">
        <v>2225</v>
      </c>
      <c r="C1379" s="95">
        <v>42001</v>
      </c>
      <c r="D1379" s="82">
        <v>9955000</v>
      </c>
      <c r="E1379" s="82">
        <v>9940000</v>
      </c>
      <c r="F1379" s="82">
        <v>9975000</v>
      </c>
      <c r="G1379" s="82">
        <v>9955000</v>
      </c>
      <c r="I1379" s="97">
        <v>0</v>
      </c>
      <c r="J1379" s="97">
        <v>0</v>
      </c>
      <c r="K1379" s="97">
        <v>0</v>
      </c>
      <c r="M1379" s="7">
        <f t="shared" si="232"/>
        <v>0</v>
      </c>
      <c r="N1379" s="7">
        <f t="shared" si="241"/>
        <v>0</v>
      </c>
      <c r="O1379" s="7">
        <f t="shared" si="240"/>
        <v>10000</v>
      </c>
      <c r="P1379" s="99">
        <f t="shared" si="233"/>
        <v>1.0055304172951231E-3</v>
      </c>
      <c r="Q1379" s="99">
        <f t="shared" si="242"/>
        <v>-1.4730473181254573E-3</v>
      </c>
      <c r="S1379" s="7">
        <f t="shared" si="234"/>
        <v>10950500</v>
      </c>
      <c r="T1379" s="7">
        <f t="shared" si="235"/>
        <v>3318333.3333333335</v>
      </c>
      <c r="U1379" s="7">
        <f t="shared" si="236"/>
        <v>9035000</v>
      </c>
      <c r="V1379" s="7">
        <f t="shared" si="237"/>
        <v>0</v>
      </c>
      <c r="W1379" s="7">
        <f t="shared" si="238"/>
        <v>0</v>
      </c>
      <c r="X1379" s="7">
        <f t="shared" si="239"/>
        <v>0</v>
      </c>
    </row>
    <row r="1380" spans="1:24">
      <c r="A1380">
        <v>1379</v>
      </c>
      <c r="B1380" s="96" t="s">
        <v>2224</v>
      </c>
      <c r="C1380" s="95">
        <v>42002</v>
      </c>
      <c r="D1380" s="82">
        <v>9900000</v>
      </c>
      <c r="E1380" s="82">
        <v>9900000</v>
      </c>
      <c r="F1380" s="82">
        <v>9960000</v>
      </c>
      <c r="G1380" s="82">
        <v>9900000</v>
      </c>
      <c r="I1380" s="97">
        <v>0</v>
      </c>
      <c r="J1380" s="97">
        <v>0</v>
      </c>
      <c r="K1380" s="97">
        <v>0</v>
      </c>
      <c r="M1380" s="7">
        <f t="shared" si="232"/>
        <v>0</v>
      </c>
      <c r="N1380" s="7">
        <f t="shared" si="241"/>
        <v>0</v>
      </c>
      <c r="O1380" s="7">
        <f t="shared" si="240"/>
        <v>-55000</v>
      </c>
      <c r="P1380" s="99">
        <f t="shared" si="233"/>
        <v>-5.5248618784530384E-3</v>
      </c>
      <c r="Q1380" s="99">
        <f t="shared" si="242"/>
        <v>-4.6751690083033422E-4</v>
      </c>
      <c r="S1380" s="7">
        <f t="shared" si="234"/>
        <v>10890000</v>
      </c>
      <c r="T1380" s="7">
        <f t="shared" si="235"/>
        <v>3300000</v>
      </c>
      <c r="U1380" s="7">
        <f t="shared" si="236"/>
        <v>9080000</v>
      </c>
      <c r="V1380" s="7">
        <f t="shared" si="237"/>
        <v>0</v>
      </c>
      <c r="W1380" s="7">
        <f t="shared" si="238"/>
        <v>0</v>
      </c>
      <c r="X1380" s="7">
        <f t="shared" si="239"/>
        <v>0</v>
      </c>
    </row>
    <row r="1381" spans="1:24">
      <c r="A1381">
        <v>1380</v>
      </c>
      <c r="B1381" s="96" t="s">
        <v>2223</v>
      </c>
      <c r="C1381" s="95">
        <v>42003</v>
      </c>
      <c r="D1381" s="82">
        <v>9840000</v>
      </c>
      <c r="E1381" s="82">
        <v>9800000</v>
      </c>
      <c r="F1381" s="82">
        <v>9890000</v>
      </c>
      <c r="G1381" s="82">
        <v>9840000</v>
      </c>
      <c r="I1381" s="98">
        <v>0</v>
      </c>
      <c r="J1381" s="98">
        <v>0</v>
      </c>
      <c r="K1381" s="98">
        <v>0</v>
      </c>
      <c r="M1381" s="7">
        <f t="shared" si="232"/>
        <v>0</v>
      </c>
      <c r="N1381" s="7">
        <f t="shared" si="241"/>
        <v>0</v>
      </c>
      <c r="O1381" s="7">
        <f t="shared" si="240"/>
        <v>-60000</v>
      </c>
      <c r="P1381" s="99">
        <f t="shared" si="233"/>
        <v>-6.0606060606060606E-3</v>
      </c>
      <c r="Q1381" s="99">
        <f t="shared" si="242"/>
        <v>5.3372563838730968E-4</v>
      </c>
      <c r="S1381" s="7">
        <f t="shared" si="234"/>
        <v>10824000</v>
      </c>
      <c r="T1381" s="7">
        <f t="shared" si="235"/>
        <v>3280000</v>
      </c>
      <c r="U1381" s="7">
        <f t="shared" si="236"/>
        <v>9105000</v>
      </c>
      <c r="V1381" s="7">
        <f t="shared" si="237"/>
        <v>0</v>
      </c>
      <c r="W1381" s="7">
        <f t="shared" si="238"/>
        <v>0</v>
      </c>
      <c r="X1381" s="7">
        <f t="shared" si="239"/>
        <v>0</v>
      </c>
    </row>
    <row r="1382" spans="1:24">
      <c r="A1382">
        <v>1381</v>
      </c>
      <c r="B1382" s="96" t="s">
        <v>2222</v>
      </c>
      <c r="C1382" s="95">
        <v>42004</v>
      </c>
      <c r="D1382" s="82">
        <v>9830000</v>
      </c>
      <c r="E1382" s="82">
        <v>9815000</v>
      </c>
      <c r="F1382" s="82">
        <v>9875000</v>
      </c>
      <c r="G1382" s="82">
        <v>9830000</v>
      </c>
      <c r="I1382" s="82">
        <f>G1382*1.1</f>
        <v>10813000</v>
      </c>
      <c r="J1382" s="82">
        <f>G1382/3</f>
        <v>3276666.6666666665</v>
      </c>
      <c r="K1382" s="7">
        <f>G1650</f>
        <v>9115000</v>
      </c>
      <c r="L1382" s="7">
        <f>K1382-I1382</f>
        <v>-1698000</v>
      </c>
      <c r="M1382" s="7">
        <f t="shared" si="232"/>
        <v>409583.33333333326</v>
      </c>
      <c r="N1382" s="7">
        <f t="shared" si="241"/>
        <v>-1288416.6666666667</v>
      </c>
      <c r="O1382" s="7">
        <f t="shared" si="240"/>
        <v>-10000</v>
      </c>
      <c r="P1382" s="99">
        <f t="shared" si="233"/>
        <v>-1.0162601626016261E-3</v>
      </c>
      <c r="Q1382" s="99">
        <f t="shared" si="242"/>
        <v>-5.5268804222187509E-3</v>
      </c>
      <c r="R1382">
        <v>1</v>
      </c>
      <c r="S1382" s="7">
        <f t="shared" si="234"/>
        <v>10813000</v>
      </c>
      <c r="T1382" s="7">
        <f t="shared" si="235"/>
        <v>3276666.6666666665</v>
      </c>
      <c r="U1382" s="7">
        <f t="shared" si="236"/>
        <v>9115000</v>
      </c>
      <c r="V1382" s="7">
        <f t="shared" si="237"/>
        <v>-1698000</v>
      </c>
      <c r="W1382" s="7">
        <f t="shared" si="238"/>
        <v>409583.33333333326</v>
      </c>
      <c r="X1382" s="7">
        <f t="shared" si="239"/>
        <v>-1288416.6666666667</v>
      </c>
    </row>
    <row r="1383" spans="1:24">
      <c r="A1383">
        <v>1382</v>
      </c>
      <c r="B1383" s="96" t="s">
        <v>2221</v>
      </c>
      <c r="C1383" s="95">
        <v>42005</v>
      </c>
      <c r="D1383" s="82">
        <v>9770000</v>
      </c>
      <c r="E1383" s="82">
        <v>9755000</v>
      </c>
      <c r="F1383" s="82">
        <v>9780000</v>
      </c>
      <c r="G1383" s="82">
        <v>9770000</v>
      </c>
      <c r="I1383" s="97">
        <v>0</v>
      </c>
      <c r="J1383" s="97">
        <v>0</v>
      </c>
      <c r="K1383" s="97">
        <v>0</v>
      </c>
      <c r="M1383" s="7">
        <f t="shared" si="232"/>
        <v>0</v>
      </c>
      <c r="N1383" s="7">
        <f t="shared" si="241"/>
        <v>0</v>
      </c>
      <c r="O1383" s="7">
        <f t="shared" si="240"/>
        <v>-60000</v>
      </c>
      <c r="P1383" s="99">
        <f t="shared" si="233"/>
        <v>-6.1037639877924718E-3</v>
      </c>
      <c r="Q1383" s="99">
        <f t="shared" si="242"/>
        <v>-6.5431405848203773E-3</v>
      </c>
      <c r="S1383" s="7">
        <f t="shared" si="234"/>
        <v>10747000</v>
      </c>
      <c r="T1383" s="7">
        <f t="shared" si="235"/>
        <v>3256666.6666666665</v>
      </c>
      <c r="U1383" s="7">
        <f t="shared" si="236"/>
        <v>9060000</v>
      </c>
      <c r="V1383" s="7">
        <f t="shared" si="237"/>
        <v>0</v>
      </c>
      <c r="W1383" s="7">
        <f t="shared" si="238"/>
        <v>0</v>
      </c>
      <c r="X1383" s="7">
        <f t="shared" si="239"/>
        <v>0</v>
      </c>
    </row>
    <row r="1384" spans="1:24">
      <c r="A1384">
        <v>1383</v>
      </c>
      <c r="B1384" s="96" t="s">
        <v>2220</v>
      </c>
      <c r="C1384" s="95">
        <v>42007</v>
      </c>
      <c r="D1384" s="82">
        <v>9790000</v>
      </c>
      <c r="E1384" s="82">
        <v>9725000</v>
      </c>
      <c r="F1384" s="82">
        <v>9795000</v>
      </c>
      <c r="G1384" s="82">
        <v>9790000</v>
      </c>
      <c r="I1384" s="97">
        <v>0</v>
      </c>
      <c r="J1384" s="97">
        <v>0</v>
      </c>
      <c r="K1384" s="97">
        <v>0</v>
      </c>
      <c r="M1384" s="7">
        <f t="shared" si="232"/>
        <v>0</v>
      </c>
      <c r="N1384" s="7">
        <f t="shared" si="241"/>
        <v>0</v>
      </c>
      <c r="O1384" s="7">
        <f t="shared" si="240"/>
        <v>20000</v>
      </c>
      <c r="P1384" s="99">
        <f t="shared" si="233"/>
        <v>2.0470829068577278E-3</v>
      </c>
      <c r="Q1384" s="99">
        <f t="shared" si="242"/>
        <v>-1.7699961672158076E-2</v>
      </c>
      <c r="S1384" s="7">
        <f t="shared" si="234"/>
        <v>10769000</v>
      </c>
      <c r="T1384" s="7">
        <f t="shared" si="235"/>
        <v>3263333.3333333335</v>
      </c>
      <c r="U1384" s="7">
        <f t="shared" si="236"/>
        <v>9085000</v>
      </c>
      <c r="V1384" s="7">
        <f t="shared" si="237"/>
        <v>0</v>
      </c>
      <c r="W1384" s="7">
        <f t="shared" si="238"/>
        <v>0</v>
      </c>
      <c r="X1384" s="7">
        <f t="shared" si="239"/>
        <v>0</v>
      </c>
    </row>
    <row r="1385" spans="1:24">
      <c r="A1385">
        <v>1384</v>
      </c>
      <c r="B1385" s="96" t="s">
        <v>2219</v>
      </c>
      <c r="C1385" s="95">
        <v>42008</v>
      </c>
      <c r="D1385" s="82">
        <v>9815000</v>
      </c>
      <c r="E1385" s="82">
        <v>9805000</v>
      </c>
      <c r="F1385" s="82">
        <v>9850000</v>
      </c>
      <c r="G1385" s="82">
        <v>9815000</v>
      </c>
      <c r="I1385" s="97">
        <v>0</v>
      </c>
      <c r="J1385" s="97">
        <v>0</v>
      </c>
      <c r="K1385" s="97">
        <v>0</v>
      </c>
      <c r="M1385" s="7">
        <f t="shared" si="232"/>
        <v>0</v>
      </c>
      <c r="N1385" s="7">
        <f t="shared" si="241"/>
        <v>0</v>
      </c>
      <c r="O1385" s="7">
        <f t="shared" si="240"/>
        <v>25000</v>
      </c>
      <c r="P1385" s="99">
        <f t="shared" si="233"/>
        <v>2.5536261491317671E-3</v>
      </c>
      <c r="Q1385" s="99">
        <f t="shared" si="242"/>
        <v>-1.6658409182595472E-2</v>
      </c>
      <c r="S1385" s="7">
        <f t="shared" si="234"/>
        <v>10796500</v>
      </c>
      <c r="T1385" s="7">
        <f t="shared" si="235"/>
        <v>3271666.6666666665</v>
      </c>
      <c r="U1385" s="7">
        <f t="shared" si="236"/>
        <v>9110000</v>
      </c>
      <c r="V1385" s="7">
        <f t="shared" si="237"/>
        <v>0</v>
      </c>
      <c r="W1385" s="7">
        <f t="shared" si="238"/>
        <v>0</v>
      </c>
      <c r="X1385" s="7">
        <f t="shared" si="239"/>
        <v>0</v>
      </c>
    </row>
    <row r="1386" spans="1:24">
      <c r="A1386">
        <v>1385</v>
      </c>
      <c r="B1386" s="96" t="s">
        <v>2218</v>
      </c>
      <c r="C1386" s="95">
        <v>42009</v>
      </c>
      <c r="D1386" s="82">
        <v>9805000</v>
      </c>
      <c r="E1386" s="82">
        <v>9790000</v>
      </c>
      <c r="F1386" s="82">
        <v>9835000</v>
      </c>
      <c r="G1386" s="82">
        <v>9805000</v>
      </c>
      <c r="I1386" s="98">
        <v>0</v>
      </c>
      <c r="J1386" s="98">
        <v>0</v>
      </c>
      <c r="K1386" s="98">
        <v>0</v>
      </c>
      <c r="M1386" s="7">
        <f t="shared" si="232"/>
        <v>0</v>
      </c>
      <c r="N1386" s="7">
        <f t="shared" si="241"/>
        <v>0</v>
      </c>
      <c r="O1386" s="7">
        <f t="shared" si="240"/>
        <v>-10000</v>
      </c>
      <c r="P1386" s="99">
        <f t="shared" si="233"/>
        <v>-1.0188487009679063E-3</v>
      </c>
      <c r="Q1386" s="99">
        <f t="shared" si="242"/>
        <v>-8.5799211550106631E-3</v>
      </c>
      <c r="S1386" s="7">
        <f t="shared" si="234"/>
        <v>10785500</v>
      </c>
      <c r="T1386" s="7">
        <f t="shared" si="235"/>
        <v>3268333.3333333335</v>
      </c>
      <c r="U1386" s="7">
        <f t="shared" si="236"/>
        <v>9145000</v>
      </c>
      <c r="V1386" s="7">
        <f t="shared" si="237"/>
        <v>0</v>
      </c>
      <c r="W1386" s="7">
        <f t="shared" si="238"/>
        <v>0</v>
      </c>
      <c r="X1386" s="7">
        <f t="shared" si="239"/>
        <v>0</v>
      </c>
    </row>
    <row r="1387" spans="1:24">
      <c r="A1387">
        <v>1386</v>
      </c>
      <c r="B1387" s="96" t="s">
        <v>2217</v>
      </c>
      <c r="C1387" s="95">
        <v>42010</v>
      </c>
      <c r="D1387" s="82">
        <v>9935000</v>
      </c>
      <c r="E1387" s="82">
        <v>9865000</v>
      </c>
      <c r="F1387" s="82">
        <v>9940000</v>
      </c>
      <c r="G1387" s="82">
        <v>9935000</v>
      </c>
      <c r="I1387" s="82">
        <f>G1387*1.1</f>
        <v>10928500</v>
      </c>
      <c r="J1387" s="82">
        <f>G1387/3</f>
        <v>3311666.6666666665</v>
      </c>
      <c r="K1387" s="7">
        <f>G1655</f>
        <v>9105000</v>
      </c>
      <c r="L1387" s="7">
        <f>K1387-I1387</f>
        <v>-1823500</v>
      </c>
      <c r="M1387" s="7">
        <f t="shared" si="232"/>
        <v>413958.33333333326</v>
      </c>
      <c r="N1387" s="7">
        <f t="shared" si="241"/>
        <v>-1409541.6666666667</v>
      </c>
      <c r="O1387" s="7">
        <f t="shared" si="240"/>
        <v>130000</v>
      </c>
      <c r="P1387" s="99">
        <f t="shared" si="233"/>
        <v>1.3258541560428353E-2</v>
      </c>
      <c r="Q1387" s="99">
        <f t="shared" si="242"/>
        <v>-3.53816379537251E-3</v>
      </c>
      <c r="R1387">
        <v>1</v>
      </c>
      <c r="S1387" s="7">
        <f t="shared" si="234"/>
        <v>10928500</v>
      </c>
      <c r="T1387" s="7">
        <f t="shared" si="235"/>
        <v>3311666.6666666665</v>
      </c>
      <c r="U1387" s="7">
        <f t="shared" si="236"/>
        <v>9105000</v>
      </c>
      <c r="V1387" s="7">
        <f t="shared" si="237"/>
        <v>-1823500</v>
      </c>
      <c r="W1387" s="7">
        <f t="shared" si="238"/>
        <v>413958.33333333326</v>
      </c>
      <c r="X1387" s="7">
        <f t="shared" si="239"/>
        <v>-1409541.6666666667</v>
      </c>
    </row>
    <row r="1388" spans="1:24">
      <c r="A1388">
        <v>1387</v>
      </c>
      <c r="B1388" s="96" t="s">
        <v>2216</v>
      </c>
      <c r="C1388" s="95">
        <v>42011</v>
      </c>
      <c r="D1388" s="82">
        <v>9935000</v>
      </c>
      <c r="E1388" s="82">
        <v>9935000</v>
      </c>
      <c r="F1388" s="82">
        <v>10000000</v>
      </c>
      <c r="G1388" s="82">
        <v>9935000</v>
      </c>
      <c r="I1388" s="97">
        <v>0</v>
      </c>
      <c r="J1388" s="97">
        <v>0</v>
      </c>
      <c r="K1388" s="97">
        <v>0</v>
      </c>
      <c r="M1388" s="7">
        <f t="shared" si="232"/>
        <v>0</v>
      </c>
      <c r="N1388" s="7">
        <f t="shared" si="241"/>
        <v>0</v>
      </c>
      <c r="O1388" s="7">
        <f t="shared" si="240"/>
        <v>0</v>
      </c>
      <c r="P1388" s="99">
        <f t="shared" si="233"/>
        <v>0</v>
      </c>
      <c r="Q1388" s="99">
        <f t="shared" si="242"/>
        <v>1.073663792765747E-2</v>
      </c>
      <c r="S1388" s="7">
        <f t="shared" si="234"/>
        <v>10928500</v>
      </c>
      <c r="T1388" s="7">
        <f t="shared" si="235"/>
        <v>3311666.6666666665</v>
      </c>
      <c r="U1388" s="7">
        <f t="shared" si="236"/>
        <v>9195000</v>
      </c>
      <c r="V1388" s="7">
        <f t="shared" si="237"/>
        <v>0</v>
      </c>
      <c r="W1388" s="7">
        <f t="shared" si="238"/>
        <v>0</v>
      </c>
      <c r="X1388" s="7">
        <f t="shared" si="239"/>
        <v>0</v>
      </c>
    </row>
    <row r="1389" spans="1:24">
      <c r="A1389">
        <v>1388</v>
      </c>
      <c r="B1389" s="96" t="s">
        <v>2215</v>
      </c>
      <c r="C1389" s="95">
        <v>42012</v>
      </c>
      <c r="D1389" s="82">
        <v>9885000</v>
      </c>
      <c r="E1389" s="82">
        <v>9885000</v>
      </c>
      <c r="F1389" s="82">
        <v>9915000</v>
      </c>
      <c r="G1389" s="82">
        <v>9885000</v>
      </c>
      <c r="I1389" s="97">
        <v>0</v>
      </c>
      <c r="J1389" s="97">
        <v>0</v>
      </c>
      <c r="K1389" s="97">
        <v>0</v>
      </c>
      <c r="M1389" s="7">
        <f t="shared" si="232"/>
        <v>0</v>
      </c>
      <c r="N1389" s="7">
        <f t="shared" si="241"/>
        <v>0</v>
      </c>
      <c r="O1389" s="7">
        <f t="shared" si="240"/>
        <v>-50000</v>
      </c>
      <c r="P1389" s="99">
        <f t="shared" si="233"/>
        <v>-5.0327126321087065E-3</v>
      </c>
      <c r="Q1389" s="99">
        <f t="shared" si="242"/>
        <v>1.6840401915449943E-2</v>
      </c>
      <c r="S1389" s="7">
        <f t="shared" si="234"/>
        <v>10873500</v>
      </c>
      <c r="T1389" s="7">
        <f t="shared" si="235"/>
        <v>3295000</v>
      </c>
      <c r="U1389" s="7">
        <f t="shared" si="236"/>
        <v>9210000</v>
      </c>
      <c r="V1389" s="7">
        <f t="shared" si="237"/>
        <v>0</v>
      </c>
      <c r="W1389" s="7">
        <f t="shared" si="238"/>
        <v>0</v>
      </c>
      <c r="X1389" s="7">
        <f t="shared" si="239"/>
        <v>0</v>
      </c>
    </row>
    <row r="1390" spans="1:24">
      <c r="A1390">
        <v>1389</v>
      </c>
      <c r="B1390" s="96" t="s">
        <v>2214</v>
      </c>
      <c r="C1390" s="95">
        <v>42014</v>
      </c>
      <c r="D1390" s="82">
        <v>9960000</v>
      </c>
      <c r="E1390" s="82">
        <v>9920000</v>
      </c>
      <c r="F1390" s="82">
        <v>9965000</v>
      </c>
      <c r="G1390" s="82">
        <v>9960000</v>
      </c>
      <c r="I1390" s="97">
        <v>0</v>
      </c>
      <c r="J1390" s="97">
        <v>0</v>
      </c>
      <c r="K1390" s="97">
        <v>0</v>
      </c>
      <c r="M1390" s="7">
        <f t="shared" si="232"/>
        <v>0</v>
      </c>
      <c r="N1390" s="7">
        <f t="shared" si="241"/>
        <v>0</v>
      </c>
      <c r="O1390" s="7">
        <f t="shared" si="240"/>
        <v>75000</v>
      </c>
      <c r="P1390" s="99">
        <f t="shared" si="233"/>
        <v>7.5872534142640367E-3</v>
      </c>
      <c r="Q1390" s="99">
        <f t="shared" si="242"/>
        <v>9.7606063764835091E-3</v>
      </c>
      <c r="S1390" s="7">
        <f t="shared" si="234"/>
        <v>10956000</v>
      </c>
      <c r="T1390" s="7">
        <f t="shared" si="235"/>
        <v>3320000</v>
      </c>
      <c r="U1390" s="7">
        <f t="shared" si="236"/>
        <v>9215000</v>
      </c>
      <c r="V1390" s="7">
        <f t="shared" si="237"/>
        <v>0</v>
      </c>
      <c r="W1390" s="7">
        <f t="shared" si="238"/>
        <v>0</v>
      </c>
      <c r="X1390" s="7">
        <f t="shared" si="239"/>
        <v>0</v>
      </c>
    </row>
    <row r="1391" spans="1:24">
      <c r="A1391">
        <v>1390</v>
      </c>
      <c r="B1391" s="96" t="s">
        <v>2213</v>
      </c>
      <c r="C1391" s="95">
        <v>42015</v>
      </c>
      <c r="D1391" s="82">
        <v>9925000</v>
      </c>
      <c r="E1391" s="82">
        <v>9925000</v>
      </c>
      <c r="F1391" s="82">
        <v>9955000</v>
      </c>
      <c r="G1391" s="82">
        <v>9925000</v>
      </c>
      <c r="I1391" s="98">
        <v>0</v>
      </c>
      <c r="J1391" s="98">
        <v>0</v>
      </c>
      <c r="K1391" s="98">
        <v>0</v>
      </c>
      <c r="M1391" s="7">
        <f t="shared" si="232"/>
        <v>0</v>
      </c>
      <c r="N1391" s="7">
        <f t="shared" si="241"/>
        <v>0</v>
      </c>
      <c r="O1391" s="7">
        <f t="shared" si="240"/>
        <v>-35000</v>
      </c>
      <c r="P1391" s="99">
        <f t="shared" si="233"/>
        <v>-3.5140562248995983E-3</v>
      </c>
      <c r="Q1391" s="99">
        <f t="shared" si="242"/>
        <v>1.4794233641615778E-2</v>
      </c>
      <c r="S1391" s="7">
        <f t="shared" si="234"/>
        <v>10917500</v>
      </c>
      <c r="T1391" s="7">
        <f t="shared" si="235"/>
        <v>3308333.3333333335</v>
      </c>
      <c r="U1391" s="7">
        <f t="shared" si="236"/>
        <v>9200000</v>
      </c>
      <c r="V1391" s="7">
        <f t="shared" si="237"/>
        <v>0</v>
      </c>
      <c r="W1391" s="7">
        <f t="shared" si="238"/>
        <v>0</v>
      </c>
      <c r="X1391" s="7">
        <f t="shared" si="239"/>
        <v>0</v>
      </c>
    </row>
    <row r="1392" spans="1:24">
      <c r="A1392">
        <v>1391</v>
      </c>
      <c r="B1392" s="96" t="s">
        <v>2212</v>
      </c>
      <c r="C1392" s="95">
        <v>42016</v>
      </c>
      <c r="D1392" s="82">
        <v>9880000</v>
      </c>
      <c r="E1392" s="82">
        <v>9875000</v>
      </c>
      <c r="F1392" s="82">
        <v>9950000</v>
      </c>
      <c r="G1392" s="82">
        <v>9880000</v>
      </c>
      <c r="I1392" s="82">
        <f>G1392*1.1</f>
        <v>10868000</v>
      </c>
      <c r="J1392" s="82">
        <f>G1392/3</f>
        <v>3293333.3333333335</v>
      </c>
      <c r="K1392" s="7">
        <f>G1660</f>
        <v>9200000</v>
      </c>
      <c r="L1392" s="7">
        <f>K1392-I1392</f>
        <v>-1668000</v>
      </c>
      <c r="M1392" s="7">
        <f t="shared" si="232"/>
        <v>411666.66666666674</v>
      </c>
      <c r="N1392" s="7">
        <f t="shared" si="241"/>
        <v>-1256333.3333333333</v>
      </c>
      <c r="O1392" s="7">
        <f t="shared" si="240"/>
        <v>-45000</v>
      </c>
      <c r="P1392" s="99">
        <f t="shared" si="233"/>
        <v>-4.5340050377833752E-3</v>
      </c>
      <c r="Q1392" s="99">
        <f t="shared" si="242"/>
        <v>1.2299026117684084E-2</v>
      </c>
      <c r="R1392">
        <v>1</v>
      </c>
      <c r="S1392" s="7">
        <f t="shared" si="234"/>
        <v>10868000</v>
      </c>
      <c r="T1392" s="7">
        <f t="shared" si="235"/>
        <v>3293333.3333333335</v>
      </c>
      <c r="U1392" s="7">
        <f t="shared" si="236"/>
        <v>9200000</v>
      </c>
      <c r="V1392" s="7">
        <f t="shared" si="237"/>
        <v>-1668000</v>
      </c>
      <c r="W1392" s="7">
        <f t="shared" si="238"/>
        <v>411666.66666666674</v>
      </c>
      <c r="X1392" s="7">
        <f t="shared" si="239"/>
        <v>-1256333.3333333333</v>
      </c>
    </row>
    <row r="1393" spans="1:24">
      <c r="A1393">
        <v>1392</v>
      </c>
      <c r="B1393" s="96" t="s">
        <v>2211</v>
      </c>
      <c r="C1393" s="95">
        <v>42017</v>
      </c>
      <c r="D1393" s="82">
        <v>9915000</v>
      </c>
      <c r="E1393" s="82">
        <v>9915000</v>
      </c>
      <c r="F1393" s="82">
        <v>9945000</v>
      </c>
      <c r="G1393" s="82">
        <v>9915000</v>
      </c>
      <c r="I1393" s="97">
        <v>0</v>
      </c>
      <c r="J1393" s="97">
        <v>0</v>
      </c>
      <c r="K1393" s="97">
        <v>0</v>
      </c>
      <c r="M1393" s="7">
        <f t="shared" si="232"/>
        <v>0</v>
      </c>
      <c r="N1393" s="7">
        <f t="shared" si="241"/>
        <v>0</v>
      </c>
      <c r="O1393" s="7">
        <f t="shared" si="240"/>
        <v>35000</v>
      </c>
      <c r="P1393" s="99">
        <f t="shared" si="233"/>
        <v>3.5425101214574899E-3</v>
      </c>
      <c r="Q1393" s="99">
        <f t="shared" si="242"/>
        <v>-5.4935204805276437E-3</v>
      </c>
      <c r="S1393" s="7">
        <f t="shared" si="234"/>
        <v>10906500</v>
      </c>
      <c r="T1393" s="7">
        <f t="shared" si="235"/>
        <v>3305000</v>
      </c>
      <c r="U1393" s="7">
        <f t="shared" si="236"/>
        <v>9195000</v>
      </c>
      <c r="V1393" s="7">
        <f t="shared" si="237"/>
        <v>0</v>
      </c>
      <c r="W1393" s="7">
        <f t="shared" si="238"/>
        <v>0</v>
      </c>
      <c r="X1393" s="7">
        <f t="shared" si="239"/>
        <v>0</v>
      </c>
    </row>
    <row r="1394" spans="1:24">
      <c r="A1394">
        <v>1393</v>
      </c>
      <c r="B1394" s="96" t="s">
        <v>2210</v>
      </c>
      <c r="C1394" s="95">
        <v>42018</v>
      </c>
      <c r="D1394" s="82">
        <v>9935000</v>
      </c>
      <c r="E1394" s="82">
        <v>9860000</v>
      </c>
      <c r="F1394" s="82">
        <v>9950000</v>
      </c>
      <c r="G1394" s="82">
        <v>9935000</v>
      </c>
      <c r="I1394" s="97">
        <v>0</v>
      </c>
      <c r="J1394" s="97">
        <v>0</v>
      </c>
      <c r="K1394" s="97">
        <v>0</v>
      </c>
      <c r="M1394" s="7">
        <f t="shared" si="232"/>
        <v>0</v>
      </c>
      <c r="N1394" s="7">
        <f t="shared" si="241"/>
        <v>0</v>
      </c>
      <c r="O1394" s="7">
        <f t="shared" si="240"/>
        <v>20000</v>
      </c>
      <c r="P1394" s="99">
        <f t="shared" si="233"/>
        <v>2.017145738779627E-3</v>
      </c>
      <c r="Q1394" s="99">
        <f t="shared" si="242"/>
        <v>-1.9510103590701538E-3</v>
      </c>
      <c r="S1394" s="7">
        <f t="shared" si="234"/>
        <v>10928500</v>
      </c>
      <c r="T1394" s="7">
        <f t="shared" si="235"/>
        <v>3311666.6666666665</v>
      </c>
      <c r="U1394" s="7">
        <f t="shared" si="236"/>
        <v>9210000</v>
      </c>
      <c r="V1394" s="7">
        <f t="shared" si="237"/>
        <v>0</v>
      </c>
      <c r="W1394" s="7">
        <f t="shared" si="238"/>
        <v>0</v>
      </c>
      <c r="X1394" s="7">
        <f t="shared" si="239"/>
        <v>0</v>
      </c>
    </row>
    <row r="1395" spans="1:24">
      <c r="A1395">
        <v>1394</v>
      </c>
      <c r="B1395" s="96" t="s">
        <v>2209</v>
      </c>
      <c r="C1395" s="95">
        <v>42019</v>
      </c>
      <c r="D1395" s="82">
        <v>9980000</v>
      </c>
      <c r="E1395" s="82">
        <v>9900000</v>
      </c>
      <c r="F1395" s="82">
        <v>9980000</v>
      </c>
      <c r="G1395" s="82">
        <v>9980000</v>
      </c>
      <c r="I1395" s="97">
        <v>0</v>
      </c>
      <c r="J1395" s="97">
        <v>0</v>
      </c>
      <c r="K1395" s="97">
        <v>0</v>
      </c>
      <c r="M1395" s="7">
        <f t="shared" si="232"/>
        <v>0</v>
      </c>
      <c r="N1395" s="7">
        <f t="shared" si="241"/>
        <v>0</v>
      </c>
      <c r="O1395" s="7">
        <f t="shared" si="240"/>
        <v>45000</v>
      </c>
      <c r="P1395" s="99">
        <f t="shared" si="233"/>
        <v>4.5294413688978363E-3</v>
      </c>
      <c r="Q1395" s="99">
        <f t="shared" si="242"/>
        <v>5.0988480118181797E-3</v>
      </c>
      <c r="S1395" s="7">
        <f t="shared" si="234"/>
        <v>10978000</v>
      </c>
      <c r="T1395" s="7">
        <f t="shared" si="235"/>
        <v>3326666.6666666665</v>
      </c>
      <c r="U1395" s="7">
        <f t="shared" si="236"/>
        <v>9165000</v>
      </c>
      <c r="V1395" s="7">
        <f t="shared" si="237"/>
        <v>0</v>
      </c>
      <c r="W1395" s="7">
        <f t="shared" si="238"/>
        <v>0</v>
      </c>
      <c r="X1395" s="7">
        <f t="shared" si="239"/>
        <v>0</v>
      </c>
    </row>
    <row r="1396" spans="1:24">
      <c r="A1396">
        <v>1395</v>
      </c>
      <c r="B1396" s="96" t="s">
        <v>2208</v>
      </c>
      <c r="C1396" s="95">
        <v>42021</v>
      </c>
      <c r="D1396" s="82">
        <v>10195000</v>
      </c>
      <c r="E1396" s="82">
        <v>10160000</v>
      </c>
      <c r="F1396" s="82">
        <v>10255000</v>
      </c>
      <c r="G1396" s="82">
        <v>10195000</v>
      </c>
      <c r="I1396" s="98">
        <v>0</v>
      </c>
      <c r="J1396" s="98">
        <v>0</v>
      </c>
      <c r="K1396" s="98">
        <v>0</v>
      </c>
      <c r="M1396" s="7">
        <f t="shared" si="232"/>
        <v>0</v>
      </c>
      <c r="N1396" s="7">
        <f t="shared" si="241"/>
        <v>0</v>
      </c>
      <c r="O1396" s="7">
        <f t="shared" si="240"/>
        <v>215000</v>
      </c>
      <c r="P1396" s="99">
        <f t="shared" si="233"/>
        <v>2.154308617234469E-2</v>
      </c>
      <c r="Q1396" s="99">
        <f t="shared" si="242"/>
        <v>2.0410359664519806E-3</v>
      </c>
      <c r="S1396" s="7">
        <f t="shared" si="234"/>
        <v>11214500</v>
      </c>
      <c r="T1396" s="7">
        <f t="shared" si="235"/>
        <v>3398333.3333333335</v>
      </c>
      <c r="U1396" s="7">
        <f t="shared" si="236"/>
        <v>9080000</v>
      </c>
      <c r="V1396" s="7">
        <f t="shared" si="237"/>
        <v>0</v>
      </c>
      <c r="W1396" s="7">
        <f t="shared" si="238"/>
        <v>0</v>
      </c>
      <c r="X1396" s="7">
        <f t="shared" si="239"/>
        <v>0</v>
      </c>
    </row>
    <row r="1397" spans="1:24">
      <c r="A1397">
        <v>1396</v>
      </c>
      <c r="B1397" s="96" t="s">
        <v>2207</v>
      </c>
      <c r="C1397" s="95">
        <v>42022</v>
      </c>
      <c r="D1397" s="82">
        <v>10260000</v>
      </c>
      <c r="E1397" s="82">
        <v>10205000</v>
      </c>
      <c r="F1397" s="82">
        <v>10260000</v>
      </c>
      <c r="G1397" s="82">
        <v>10260000</v>
      </c>
      <c r="I1397" s="82">
        <f>G1397*1.1</f>
        <v>11286000</v>
      </c>
      <c r="J1397" s="82">
        <f>G1397/3</f>
        <v>3420000</v>
      </c>
      <c r="K1397" s="7">
        <f>G1665</f>
        <v>9145000</v>
      </c>
      <c r="L1397" s="7">
        <f>K1397-I1397</f>
        <v>-2141000</v>
      </c>
      <c r="M1397" s="7">
        <f t="shared" si="232"/>
        <v>427500</v>
      </c>
      <c r="N1397" s="7">
        <f t="shared" si="241"/>
        <v>-1713500</v>
      </c>
      <c r="O1397" s="7">
        <f t="shared" si="240"/>
        <v>65000</v>
      </c>
      <c r="P1397" s="99">
        <f t="shared" si="233"/>
        <v>6.3756743501716525E-3</v>
      </c>
      <c r="Q1397" s="99">
        <f t="shared" si="242"/>
        <v>2.7098178363696268E-2</v>
      </c>
      <c r="R1397">
        <v>1</v>
      </c>
      <c r="S1397" s="7">
        <f t="shared" si="234"/>
        <v>11286000</v>
      </c>
      <c r="T1397" s="7">
        <f t="shared" si="235"/>
        <v>3420000</v>
      </c>
      <c r="U1397" s="7">
        <f t="shared" si="236"/>
        <v>9145000</v>
      </c>
      <c r="V1397" s="7">
        <f t="shared" si="237"/>
        <v>-2141000</v>
      </c>
      <c r="W1397" s="7">
        <f t="shared" si="238"/>
        <v>427500</v>
      </c>
      <c r="X1397" s="7">
        <f t="shared" si="239"/>
        <v>-1713500</v>
      </c>
    </row>
    <row r="1398" spans="1:24">
      <c r="A1398">
        <v>1397</v>
      </c>
      <c r="B1398" s="96" t="s">
        <v>2206</v>
      </c>
      <c r="C1398" s="95">
        <v>42023</v>
      </c>
      <c r="D1398" s="82">
        <v>10360000</v>
      </c>
      <c r="E1398" s="82">
        <v>10260000</v>
      </c>
      <c r="F1398" s="82">
        <v>10360000</v>
      </c>
      <c r="G1398" s="82">
        <v>10360000</v>
      </c>
      <c r="I1398" s="97">
        <v>0</v>
      </c>
      <c r="J1398" s="97">
        <v>0</v>
      </c>
      <c r="K1398" s="97">
        <v>0</v>
      </c>
      <c r="M1398" s="7">
        <f t="shared" si="232"/>
        <v>0</v>
      </c>
      <c r="N1398" s="7">
        <f t="shared" si="241"/>
        <v>0</v>
      </c>
      <c r="O1398" s="7">
        <f t="shared" si="240"/>
        <v>100000</v>
      </c>
      <c r="P1398" s="99">
        <f t="shared" si="233"/>
        <v>9.7465886939571145E-3</v>
      </c>
      <c r="Q1398" s="99">
        <f t="shared" si="242"/>
        <v>3.8007857751651296E-2</v>
      </c>
      <c r="S1398" s="7">
        <f t="shared" si="234"/>
        <v>11396000</v>
      </c>
      <c r="T1398" s="7">
        <f t="shared" si="235"/>
        <v>3453333.3333333335</v>
      </c>
      <c r="U1398" s="7">
        <f t="shared" si="236"/>
        <v>9110000</v>
      </c>
      <c r="V1398" s="7">
        <f t="shared" si="237"/>
        <v>0</v>
      </c>
      <c r="W1398" s="7">
        <f t="shared" si="238"/>
        <v>0</v>
      </c>
      <c r="X1398" s="7">
        <f t="shared" si="239"/>
        <v>0</v>
      </c>
    </row>
    <row r="1399" spans="1:24">
      <c r="A1399">
        <v>1398</v>
      </c>
      <c r="B1399" s="96" t="s">
        <v>2205</v>
      </c>
      <c r="C1399" s="95">
        <v>42024</v>
      </c>
      <c r="D1399" s="82">
        <v>10380000</v>
      </c>
      <c r="E1399" s="82">
        <v>10305000</v>
      </c>
      <c r="F1399" s="82">
        <v>10385000</v>
      </c>
      <c r="G1399" s="82">
        <v>10380000</v>
      </c>
      <c r="I1399" s="97">
        <v>0</v>
      </c>
      <c r="J1399" s="97">
        <v>0</v>
      </c>
      <c r="K1399" s="97">
        <v>0</v>
      </c>
      <c r="M1399" s="7">
        <f t="shared" si="232"/>
        <v>0</v>
      </c>
      <c r="N1399" s="7">
        <f t="shared" si="241"/>
        <v>0</v>
      </c>
      <c r="O1399" s="7">
        <f t="shared" si="240"/>
        <v>20000</v>
      </c>
      <c r="P1399" s="99">
        <f t="shared" si="233"/>
        <v>1.9305019305019305E-3</v>
      </c>
      <c r="Q1399" s="99">
        <f t="shared" si="242"/>
        <v>4.4211936324150922E-2</v>
      </c>
      <c r="S1399" s="7">
        <f t="shared" si="234"/>
        <v>11418000</v>
      </c>
      <c r="T1399" s="7">
        <f t="shared" si="235"/>
        <v>3460000</v>
      </c>
      <c r="U1399" s="7">
        <f t="shared" si="236"/>
        <v>9170000</v>
      </c>
      <c r="V1399" s="7">
        <f t="shared" si="237"/>
        <v>0</v>
      </c>
      <c r="W1399" s="7">
        <f t="shared" si="238"/>
        <v>0</v>
      </c>
      <c r="X1399" s="7">
        <f t="shared" si="239"/>
        <v>0</v>
      </c>
    </row>
    <row r="1400" spans="1:24">
      <c r="A1400">
        <v>1399</v>
      </c>
      <c r="B1400" s="96" t="s">
        <v>2204</v>
      </c>
      <c r="C1400" s="95">
        <v>42025</v>
      </c>
      <c r="D1400" s="82">
        <v>10445000</v>
      </c>
      <c r="E1400" s="82">
        <v>10385000</v>
      </c>
      <c r="F1400" s="82">
        <v>10445000</v>
      </c>
      <c r="G1400" s="82">
        <v>10445000</v>
      </c>
      <c r="I1400" s="97">
        <v>0</v>
      </c>
      <c r="J1400" s="97">
        <v>0</v>
      </c>
      <c r="K1400" s="97">
        <v>0</v>
      </c>
      <c r="M1400" s="7">
        <f t="shared" si="232"/>
        <v>0</v>
      </c>
      <c r="N1400" s="7">
        <f t="shared" si="241"/>
        <v>0</v>
      </c>
      <c r="O1400" s="7">
        <f t="shared" si="240"/>
        <v>65000</v>
      </c>
      <c r="P1400" s="99">
        <f t="shared" si="233"/>
        <v>6.262042389210019E-3</v>
      </c>
      <c r="Q1400" s="99">
        <f t="shared" si="242"/>
        <v>4.412529251587323E-2</v>
      </c>
      <c r="S1400" s="7">
        <f t="shared" si="234"/>
        <v>11489500</v>
      </c>
      <c r="T1400" s="7">
        <f t="shared" si="235"/>
        <v>3481666.6666666665</v>
      </c>
      <c r="U1400" s="7">
        <f t="shared" si="236"/>
        <v>9175000</v>
      </c>
      <c r="V1400" s="7">
        <f t="shared" si="237"/>
        <v>0</v>
      </c>
      <c r="W1400" s="7">
        <f t="shared" si="238"/>
        <v>0</v>
      </c>
      <c r="X1400" s="7">
        <f t="shared" si="239"/>
        <v>0</v>
      </c>
    </row>
    <row r="1401" spans="1:24">
      <c r="A1401">
        <v>1400</v>
      </c>
      <c r="B1401" s="96" t="s">
        <v>2203</v>
      </c>
      <c r="C1401" s="95">
        <v>42026</v>
      </c>
      <c r="D1401" s="82">
        <v>10380000</v>
      </c>
      <c r="E1401" s="82">
        <v>10380000</v>
      </c>
      <c r="F1401" s="82">
        <v>10400000</v>
      </c>
      <c r="G1401" s="82">
        <v>10380000</v>
      </c>
      <c r="I1401" s="98">
        <v>0</v>
      </c>
      <c r="J1401" s="98">
        <v>0</v>
      </c>
      <c r="K1401" s="98">
        <v>0</v>
      </c>
      <c r="M1401" s="7">
        <f t="shared" si="232"/>
        <v>0</v>
      </c>
      <c r="N1401" s="7">
        <f t="shared" si="241"/>
        <v>0</v>
      </c>
      <c r="O1401" s="7">
        <f t="shared" si="240"/>
        <v>-65000</v>
      </c>
      <c r="P1401" s="99">
        <f t="shared" si="233"/>
        <v>-6.2230732407850646E-3</v>
      </c>
      <c r="Q1401" s="99">
        <f t="shared" si="242"/>
        <v>4.5857893536185412E-2</v>
      </c>
      <c r="S1401" s="7">
        <f t="shared" si="234"/>
        <v>11418000</v>
      </c>
      <c r="T1401" s="7">
        <f t="shared" si="235"/>
        <v>3460000</v>
      </c>
      <c r="U1401" s="7">
        <f t="shared" si="236"/>
        <v>9235000</v>
      </c>
      <c r="V1401" s="7">
        <f t="shared" si="237"/>
        <v>0</v>
      </c>
      <c r="W1401" s="7">
        <f t="shared" si="238"/>
        <v>0</v>
      </c>
      <c r="X1401" s="7">
        <f t="shared" si="239"/>
        <v>0</v>
      </c>
    </row>
    <row r="1402" spans="1:24">
      <c r="A1402">
        <v>1401</v>
      </c>
      <c r="B1402" s="96" t="s">
        <v>2202</v>
      </c>
      <c r="C1402" s="95">
        <v>42028</v>
      </c>
      <c r="D1402" s="82">
        <v>10390000</v>
      </c>
      <c r="E1402" s="82">
        <v>10385000</v>
      </c>
      <c r="F1402" s="82">
        <v>10425000</v>
      </c>
      <c r="G1402" s="82">
        <v>10390000</v>
      </c>
      <c r="I1402" s="82">
        <f>G1402*1.1</f>
        <v>11429000</v>
      </c>
      <c r="J1402" s="82">
        <f>G1402/3</f>
        <v>3463333.3333333335</v>
      </c>
      <c r="K1402" s="7">
        <f>G1670</f>
        <v>9255000</v>
      </c>
      <c r="L1402" s="7">
        <f>K1402-I1402</f>
        <v>-2174000</v>
      </c>
      <c r="M1402" s="7">
        <f t="shared" si="232"/>
        <v>432916.66666666674</v>
      </c>
      <c r="N1402" s="7">
        <f t="shared" si="241"/>
        <v>-1741083.3333333333</v>
      </c>
      <c r="O1402" s="7">
        <f t="shared" si="240"/>
        <v>10000</v>
      </c>
      <c r="P1402" s="99">
        <f t="shared" si="233"/>
        <v>9.6339113680154141E-4</v>
      </c>
      <c r="Q1402" s="99">
        <f t="shared" si="242"/>
        <v>1.8091734123055651E-2</v>
      </c>
      <c r="R1402">
        <v>1</v>
      </c>
      <c r="S1402" s="7">
        <f t="shared" si="234"/>
        <v>11429000</v>
      </c>
      <c r="T1402" s="7">
        <f t="shared" si="235"/>
        <v>3463333.3333333335</v>
      </c>
      <c r="U1402" s="7">
        <f t="shared" si="236"/>
        <v>9255000</v>
      </c>
      <c r="V1402" s="7">
        <f t="shared" si="237"/>
        <v>-2174000</v>
      </c>
      <c r="W1402" s="7">
        <f t="shared" si="238"/>
        <v>432916.66666666674</v>
      </c>
      <c r="X1402" s="7">
        <f t="shared" si="239"/>
        <v>-1741083.3333333333</v>
      </c>
    </row>
    <row r="1403" spans="1:24">
      <c r="A1403">
        <v>1402</v>
      </c>
      <c r="B1403" s="96" t="s">
        <v>2201</v>
      </c>
      <c r="C1403" s="95">
        <v>42029</v>
      </c>
      <c r="D1403" s="82">
        <v>10420000</v>
      </c>
      <c r="E1403" s="82">
        <v>10380000</v>
      </c>
      <c r="F1403" s="82">
        <v>10420000</v>
      </c>
      <c r="G1403" s="82">
        <v>10420000</v>
      </c>
      <c r="I1403" s="97">
        <v>0</v>
      </c>
      <c r="J1403" s="97">
        <v>0</v>
      </c>
      <c r="K1403" s="97">
        <v>0</v>
      </c>
      <c r="M1403" s="7">
        <f t="shared" si="232"/>
        <v>0</v>
      </c>
      <c r="N1403" s="7">
        <f t="shared" si="241"/>
        <v>0</v>
      </c>
      <c r="O1403" s="7">
        <f t="shared" si="240"/>
        <v>30000</v>
      </c>
      <c r="P1403" s="99">
        <f t="shared" si="233"/>
        <v>2.8873917228103944E-3</v>
      </c>
      <c r="Q1403" s="99">
        <f t="shared" si="242"/>
        <v>1.2679450909685539E-2</v>
      </c>
      <c r="S1403" s="7">
        <f t="shared" si="234"/>
        <v>11462000</v>
      </c>
      <c r="T1403" s="7">
        <f t="shared" si="235"/>
        <v>3473333.3333333335</v>
      </c>
      <c r="U1403" s="7">
        <f t="shared" si="236"/>
        <v>9285000</v>
      </c>
      <c r="V1403" s="7">
        <f t="shared" si="237"/>
        <v>0</v>
      </c>
      <c r="W1403" s="7">
        <f t="shared" si="238"/>
        <v>0</v>
      </c>
      <c r="X1403" s="7">
        <f t="shared" si="239"/>
        <v>0</v>
      </c>
    </row>
    <row r="1404" spans="1:24">
      <c r="A1404">
        <v>1403</v>
      </c>
      <c r="B1404" s="96" t="s">
        <v>2200</v>
      </c>
      <c r="C1404" s="95">
        <v>42030</v>
      </c>
      <c r="D1404" s="82">
        <v>10390000</v>
      </c>
      <c r="E1404" s="82">
        <v>10380000</v>
      </c>
      <c r="F1404" s="82">
        <v>10420000</v>
      </c>
      <c r="G1404" s="82">
        <v>10390000</v>
      </c>
      <c r="I1404" s="97">
        <v>0</v>
      </c>
      <c r="J1404" s="97">
        <v>0</v>
      </c>
      <c r="K1404" s="97">
        <v>0</v>
      </c>
      <c r="M1404" s="7">
        <f t="shared" si="232"/>
        <v>0</v>
      </c>
      <c r="N1404" s="7">
        <f t="shared" si="241"/>
        <v>0</v>
      </c>
      <c r="O1404" s="7">
        <f t="shared" si="240"/>
        <v>-30000</v>
      </c>
      <c r="P1404" s="99">
        <f t="shared" si="233"/>
        <v>-2.8790786948176585E-3</v>
      </c>
      <c r="Q1404" s="99">
        <f t="shared" si="242"/>
        <v>5.8202539385388205E-3</v>
      </c>
      <c r="S1404" s="7">
        <f t="shared" si="234"/>
        <v>11429000</v>
      </c>
      <c r="T1404" s="7">
        <f t="shared" si="235"/>
        <v>3463333.3333333335</v>
      </c>
      <c r="U1404" s="7">
        <f t="shared" si="236"/>
        <v>9320000</v>
      </c>
      <c r="V1404" s="7">
        <f t="shared" si="237"/>
        <v>0</v>
      </c>
      <c r="W1404" s="7">
        <f t="shared" si="238"/>
        <v>0</v>
      </c>
      <c r="X1404" s="7">
        <f t="shared" si="239"/>
        <v>0</v>
      </c>
    </row>
    <row r="1405" spans="1:24">
      <c r="A1405">
        <v>1404</v>
      </c>
      <c r="B1405" s="96" t="s">
        <v>2199</v>
      </c>
      <c r="C1405" s="95">
        <v>42031</v>
      </c>
      <c r="D1405" s="82">
        <v>10355000</v>
      </c>
      <c r="E1405" s="82">
        <v>10340000</v>
      </c>
      <c r="F1405" s="82">
        <v>10380000</v>
      </c>
      <c r="G1405" s="82">
        <v>10355000</v>
      </c>
      <c r="I1405" s="97">
        <v>0</v>
      </c>
      <c r="J1405" s="97">
        <v>0</v>
      </c>
      <c r="K1405" s="97">
        <v>0</v>
      </c>
      <c r="M1405" s="7">
        <f t="shared" si="232"/>
        <v>0</v>
      </c>
      <c r="N1405" s="7">
        <f t="shared" si="241"/>
        <v>0</v>
      </c>
      <c r="O1405" s="7">
        <f t="shared" si="240"/>
        <v>-35000</v>
      </c>
      <c r="P1405" s="99">
        <f t="shared" si="233"/>
        <v>-3.3686236766121268E-3</v>
      </c>
      <c r="Q1405" s="99">
        <f t="shared" si="242"/>
        <v>1.0106733132192319E-3</v>
      </c>
      <c r="S1405" s="7">
        <f t="shared" si="234"/>
        <v>11390500</v>
      </c>
      <c r="T1405" s="7">
        <f t="shared" si="235"/>
        <v>3451666.6666666665</v>
      </c>
      <c r="U1405" s="7">
        <f t="shared" si="236"/>
        <v>9420000</v>
      </c>
      <c r="V1405" s="7">
        <f t="shared" si="237"/>
        <v>0</v>
      </c>
      <c r="W1405" s="7">
        <f t="shared" si="238"/>
        <v>0</v>
      </c>
      <c r="X1405" s="7">
        <f t="shared" si="239"/>
        <v>0</v>
      </c>
    </row>
    <row r="1406" spans="1:24">
      <c r="A1406">
        <v>1405</v>
      </c>
      <c r="B1406" s="96" t="s">
        <v>2198</v>
      </c>
      <c r="C1406" s="95">
        <v>42032</v>
      </c>
      <c r="D1406" s="82">
        <v>10390000</v>
      </c>
      <c r="E1406" s="82">
        <v>10340000</v>
      </c>
      <c r="F1406" s="82">
        <v>10390000</v>
      </c>
      <c r="G1406" s="82">
        <v>10390000</v>
      </c>
      <c r="I1406" s="98">
        <v>0</v>
      </c>
      <c r="J1406" s="98">
        <v>0</v>
      </c>
      <c r="K1406" s="98">
        <v>0</v>
      </c>
      <c r="M1406" s="7">
        <f t="shared" si="232"/>
        <v>0</v>
      </c>
      <c r="N1406" s="7">
        <f t="shared" si="241"/>
        <v>0</v>
      </c>
      <c r="O1406" s="7">
        <f t="shared" si="240"/>
        <v>35000</v>
      </c>
      <c r="P1406" s="99">
        <f t="shared" si="233"/>
        <v>3.3800096571704489E-3</v>
      </c>
      <c r="Q1406" s="99">
        <f t="shared" si="242"/>
        <v>-8.6199927526029139E-3</v>
      </c>
      <c r="S1406" s="7">
        <f t="shared" si="234"/>
        <v>11429000</v>
      </c>
      <c r="T1406" s="7">
        <f t="shared" si="235"/>
        <v>3463333.3333333335</v>
      </c>
      <c r="U1406" s="7">
        <f t="shared" si="236"/>
        <v>9420000</v>
      </c>
      <c r="V1406" s="7">
        <f t="shared" si="237"/>
        <v>0</v>
      </c>
      <c r="W1406" s="7">
        <f t="shared" si="238"/>
        <v>0</v>
      </c>
      <c r="X1406" s="7">
        <f t="shared" si="239"/>
        <v>0</v>
      </c>
    </row>
    <row r="1407" spans="1:24">
      <c r="A1407">
        <v>1406</v>
      </c>
      <c r="B1407" s="96" t="s">
        <v>2197</v>
      </c>
      <c r="C1407" s="95">
        <v>42033</v>
      </c>
      <c r="D1407" s="82">
        <v>10340000</v>
      </c>
      <c r="E1407" s="82">
        <v>10340000</v>
      </c>
      <c r="F1407" s="82">
        <v>10380000</v>
      </c>
      <c r="G1407" s="82">
        <v>10340000</v>
      </c>
      <c r="I1407" s="82">
        <f>G1407*1.1</f>
        <v>11374000</v>
      </c>
      <c r="J1407" s="82">
        <f>G1407/3</f>
        <v>3446666.6666666665</v>
      </c>
      <c r="K1407" s="7">
        <f>G1675</f>
        <v>9345000</v>
      </c>
      <c r="L1407" s="7">
        <f>K1407-I1407</f>
        <v>-2029000</v>
      </c>
      <c r="M1407" s="7">
        <f t="shared" si="232"/>
        <v>430833.33333333326</v>
      </c>
      <c r="N1407" s="7">
        <f t="shared" si="241"/>
        <v>-1598166.6666666667</v>
      </c>
      <c r="O1407" s="7">
        <f t="shared" si="240"/>
        <v>-50000</v>
      </c>
      <c r="P1407" s="99">
        <f t="shared" si="233"/>
        <v>-4.8123195380173241E-3</v>
      </c>
      <c r="Q1407" s="99">
        <f t="shared" si="242"/>
        <v>9.8309014535259958E-4</v>
      </c>
      <c r="R1407">
        <v>1</v>
      </c>
      <c r="S1407" s="7">
        <f t="shared" si="234"/>
        <v>11374000</v>
      </c>
      <c r="T1407" s="7">
        <f t="shared" si="235"/>
        <v>3446666.6666666665</v>
      </c>
      <c r="U1407" s="7">
        <f t="shared" si="236"/>
        <v>9345000</v>
      </c>
      <c r="V1407" s="7">
        <f t="shared" si="237"/>
        <v>-2029000</v>
      </c>
      <c r="W1407" s="7">
        <f t="shared" si="238"/>
        <v>430833.33333333326</v>
      </c>
      <c r="X1407" s="7">
        <f t="shared" si="239"/>
        <v>-1598166.6666666667</v>
      </c>
    </row>
    <row r="1408" spans="1:24">
      <c r="A1408">
        <v>1407</v>
      </c>
      <c r="B1408" s="96" t="s">
        <v>2196</v>
      </c>
      <c r="C1408" s="95">
        <v>42035</v>
      </c>
      <c r="D1408" s="82">
        <v>10330000</v>
      </c>
      <c r="E1408" s="82">
        <v>10280000</v>
      </c>
      <c r="F1408" s="82">
        <v>10335000</v>
      </c>
      <c r="G1408" s="82">
        <v>10330000</v>
      </c>
      <c r="I1408" s="97">
        <v>0</v>
      </c>
      <c r="J1408" s="97">
        <v>0</v>
      </c>
      <c r="K1408" s="97">
        <v>0</v>
      </c>
      <c r="M1408" s="7">
        <f t="shared" si="232"/>
        <v>0</v>
      </c>
      <c r="N1408" s="7">
        <f t="shared" si="241"/>
        <v>0</v>
      </c>
      <c r="O1408" s="7">
        <f t="shared" si="240"/>
        <v>-10000</v>
      </c>
      <c r="P1408" s="99">
        <f t="shared" si="233"/>
        <v>-9.6711798839458415E-4</v>
      </c>
      <c r="Q1408" s="99">
        <f t="shared" si="242"/>
        <v>-4.792620529466266E-3</v>
      </c>
      <c r="S1408" s="7">
        <f t="shared" si="234"/>
        <v>11363000</v>
      </c>
      <c r="T1408" s="7">
        <f t="shared" si="235"/>
        <v>3443333.3333333335</v>
      </c>
      <c r="U1408" s="7">
        <f t="shared" si="236"/>
        <v>9355000</v>
      </c>
      <c r="V1408" s="7">
        <f t="shared" si="237"/>
        <v>0</v>
      </c>
      <c r="W1408" s="7">
        <f t="shared" si="238"/>
        <v>0</v>
      </c>
      <c r="X1408" s="7">
        <f t="shared" si="239"/>
        <v>0</v>
      </c>
    </row>
    <row r="1409" spans="1:24">
      <c r="A1409">
        <v>1408</v>
      </c>
      <c r="B1409" s="96" t="s">
        <v>2195</v>
      </c>
      <c r="C1409" s="95">
        <v>42036</v>
      </c>
      <c r="D1409" s="82">
        <v>10320000</v>
      </c>
      <c r="E1409" s="82">
        <v>10320000</v>
      </c>
      <c r="F1409" s="82">
        <v>10340000</v>
      </c>
      <c r="G1409" s="82">
        <v>10320000</v>
      </c>
      <c r="I1409" s="97">
        <v>0</v>
      </c>
      <c r="J1409" s="97">
        <v>0</v>
      </c>
      <c r="K1409" s="97">
        <v>0</v>
      </c>
      <c r="M1409" s="7">
        <f t="shared" si="232"/>
        <v>0</v>
      </c>
      <c r="N1409" s="7">
        <f t="shared" si="241"/>
        <v>0</v>
      </c>
      <c r="O1409" s="7">
        <f t="shared" si="240"/>
        <v>-10000</v>
      </c>
      <c r="P1409" s="99">
        <f t="shared" si="233"/>
        <v>-9.6805421103581804E-4</v>
      </c>
      <c r="Q1409" s="99">
        <f t="shared" si="242"/>
        <v>-8.6471302406712445E-3</v>
      </c>
      <c r="S1409" s="7">
        <f t="shared" si="234"/>
        <v>11352000</v>
      </c>
      <c r="T1409" s="7">
        <f t="shared" si="235"/>
        <v>3440000</v>
      </c>
      <c r="U1409" s="7">
        <f t="shared" si="236"/>
        <v>9315000</v>
      </c>
      <c r="V1409" s="7">
        <f t="shared" si="237"/>
        <v>0</v>
      </c>
      <c r="W1409" s="7">
        <f t="shared" si="238"/>
        <v>0</v>
      </c>
      <c r="X1409" s="7">
        <f t="shared" si="239"/>
        <v>0</v>
      </c>
    </row>
    <row r="1410" spans="1:24">
      <c r="A1410">
        <v>1409</v>
      </c>
      <c r="B1410" s="96" t="s">
        <v>2194</v>
      </c>
      <c r="C1410" s="95">
        <v>42037</v>
      </c>
      <c r="D1410" s="82">
        <v>10240000</v>
      </c>
      <c r="E1410" s="82">
        <v>10240000</v>
      </c>
      <c r="F1410" s="82">
        <v>10315000</v>
      </c>
      <c r="G1410" s="82">
        <v>10240000</v>
      </c>
      <c r="I1410" s="97">
        <v>0</v>
      </c>
      <c r="J1410" s="97">
        <v>0</v>
      </c>
      <c r="K1410" s="97">
        <v>0</v>
      </c>
      <c r="M1410" s="7">
        <f t="shared" ref="M1410:M1473" si="243">J1410*$AI$6/200</f>
        <v>0</v>
      </c>
      <c r="N1410" s="7">
        <f t="shared" si="241"/>
        <v>0</v>
      </c>
      <c r="O1410" s="7">
        <f t="shared" si="240"/>
        <v>-80000</v>
      </c>
      <c r="P1410" s="99">
        <f t="shared" si="233"/>
        <v>-7.7519379844961239E-3</v>
      </c>
      <c r="Q1410" s="99">
        <f t="shared" si="242"/>
        <v>-6.7361057568894045E-3</v>
      </c>
      <c r="S1410" s="7">
        <f t="shared" si="234"/>
        <v>11264000</v>
      </c>
      <c r="T1410" s="7">
        <f t="shared" si="235"/>
        <v>3413333.3333333335</v>
      </c>
      <c r="U1410" s="7">
        <f t="shared" si="236"/>
        <v>9335000</v>
      </c>
      <c r="V1410" s="7">
        <f t="shared" si="237"/>
        <v>0</v>
      </c>
      <c r="W1410" s="7">
        <f t="shared" si="238"/>
        <v>0</v>
      </c>
      <c r="X1410" s="7">
        <f t="shared" si="239"/>
        <v>0</v>
      </c>
    </row>
    <row r="1411" spans="1:24">
      <c r="A1411">
        <v>1410</v>
      </c>
      <c r="B1411" s="96" t="s">
        <v>2193</v>
      </c>
      <c r="C1411" s="95">
        <v>42038</v>
      </c>
      <c r="D1411" s="82">
        <v>10260000</v>
      </c>
      <c r="E1411" s="82">
        <v>10250000</v>
      </c>
      <c r="F1411" s="82">
        <v>10320000</v>
      </c>
      <c r="G1411" s="82">
        <v>10260000</v>
      </c>
      <c r="I1411" s="98">
        <v>0</v>
      </c>
      <c r="J1411" s="98">
        <v>0</v>
      </c>
      <c r="K1411" s="98">
        <v>0</v>
      </c>
      <c r="M1411" s="7">
        <f t="shared" si="243"/>
        <v>0</v>
      </c>
      <c r="N1411" s="7">
        <f t="shared" si="241"/>
        <v>0</v>
      </c>
      <c r="O1411" s="7">
        <f t="shared" si="240"/>
        <v>20000</v>
      </c>
      <c r="P1411" s="99">
        <f t="shared" ref="P1411:P1474" si="244">O1411/G1410</f>
        <v>1.953125E-3</v>
      </c>
      <c r="Q1411" s="99">
        <f t="shared" si="242"/>
        <v>-1.1119420064773402E-2</v>
      </c>
      <c r="S1411" s="7">
        <f t="shared" ref="S1411:S1474" si="245">G1411*1.1</f>
        <v>11286000</v>
      </c>
      <c r="T1411" s="7">
        <f t="shared" ref="T1411:T1474" si="246">G1411/3</f>
        <v>3420000</v>
      </c>
      <c r="U1411" s="7">
        <f t="shared" ref="U1411:U1474" si="247">G1679</f>
        <v>9310000</v>
      </c>
      <c r="V1411" s="7">
        <f t="shared" ref="V1411:V1474" si="248">(U1411-S1411)*R1411</f>
        <v>0</v>
      </c>
      <c r="W1411" s="7">
        <f t="shared" ref="W1411:W1474" si="249">(T1411*$AI$6/200)*R1411</f>
        <v>0</v>
      </c>
      <c r="X1411" s="7">
        <f t="shared" ref="X1411:X1474" si="250">V1411+W1411</f>
        <v>0</v>
      </c>
    </row>
    <row r="1412" spans="1:24">
      <c r="A1412">
        <v>1411</v>
      </c>
      <c r="B1412" s="96" t="s">
        <v>2192</v>
      </c>
      <c r="C1412" s="95">
        <v>42039</v>
      </c>
      <c r="D1412" s="82">
        <v>10140000</v>
      </c>
      <c r="E1412" s="82">
        <v>10140000</v>
      </c>
      <c r="F1412" s="82">
        <v>10230000</v>
      </c>
      <c r="G1412" s="82">
        <v>10140000</v>
      </c>
      <c r="I1412" s="82">
        <f>G1412*1.1</f>
        <v>11154000</v>
      </c>
      <c r="J1412" s="82">
        <f>G1412/3</f>
        <v>3380000</v>
      </c>
      <c r="K1412" s="7">
        <f>G1680</f>
        <v>9340000</v>
      </c>
      <c r="L1412" s="7">
        <f>K1412-I1412</f>
        <v>-1814000</v>
      </c>
      <c r="M1412" s="7">
        <f t="shared" si="243"/>
        <v>422500</v>
      </c>
      <c r="N1412" s="7">
        <f t="shared" si="241"/>
        <v>-1391500</v>
      </c>
      <c r="O1412" s="7">
        <f t="shared" ref="O1412:O1475" si="251">G1412-G1411</f>
        <v>-120000</v>
      </c>
      <c r="P1412" s="99">
        <f t="shared" si="244"/>
        <v>-1.1695906432748537E-2</v>
      </c>
      <c r="Q1412" s="99">
        <f t="shared" si="242"/>
        <v>-1.254630472194385E-2</v>
      </c>
      <c r="R1412">
        <v>1</v>
      </c>
      <c r="S1412" s="7">
        <f t="shared" si="245"/>
        <v>11154000</v>
      </c>
      <c r="T1412" s="7">
        <f t="shared" si="246"/>
        <v>3380000</v>
      </c>
      <c r="U1412" s="7">
        <f t="shared" si="247"/>
        <v>9340000</v>
      </c>
      <c r="V1412" s="7">
        <f t="shared" si="248"/>
        <v>-1814000</v>
      </c>
      <c r="W1412" s="7">
        <f t="shared" si="249"/>
        <v>422500</v>
      </c>
      <c r="X1412" s="7">
        <f t="shared" si="250"/>
        <v>-1391500</v>
      </c>
    </row>
    <row r="1413" spans="1:24">
      <c r="A1413">
        <v>1412</v>
      </c>
      <c r="B1413" s="96" t="s">
        <v>2191</v>
      </c>
      <c r="C1413" s="95">
        <v>42040</v>
      </c>
      <c r="D1413" s="82">
        <v>10090000</v>
      </c>
      <c r="E1413" s="82">
        <v>10090000</v>
      </c>
      <c r="F1413" s="82">
        <v>10150000</v>
      </c>
      <c r="G1413" s="82">
        <v>10090000</v>
      </c>
      <c r="I1413" s="97">
        <v>0</v>
      </c>
      <c r="J1413" s="97">
        <v>0</v>
      </c>
      <c r="K1413" s="97">
        <v>0</v>
      </c>
      <c r="M1413" s="7">
        <f t="shared" si="243"/>
        <v>0</v>
      </c>
      <c r="N1413" s="7">
        <f t="shared" si="241"/>
        <v>0</v>
      </c>
      <c r="O1413" s="7">
        <f t="shared" si="251"/>
        <v>-50000</v>
      </c>
      <c r="P1413" s="99">
        <f t="shared" si="244"/>
        <v>-4.9309664694280079E-3</v>
      </c>
      <c r="Q1413" s="99">
        <f t="shared" si="242"/>
        <v>-1.9429891616675063E-2</v>
      </c>
      <c r="S1413" s="7">
        <f t="shared" si="245"/>
        <v>11099000</v>
      </c>
      <c r="T1413" s="7">
        <f t="shared" si="246"/>
        <v>3363333.3333333335</v>
      </c>
      <c r="U1413" s="7">
        <f t="shared" si="247"/>
        <v>9400000</v>
      </c>
      <c r="V1413" s="7">
        <f t="shared" si="248"/>
        <v>0</v>
      </c>
      <c r="W1413" s="7">
        <f t="shared" si="249"/>
        <v>0</v>
      </c>
      <c r="X1413" s="7">
        <f t="shared" si="250"/>
        <v>0</v>
      </c>
    </row>
    <row r="1414" spans="1:24">
      <c r="A1414">
        <v>1413</v>
      </c>
      <c r="B1414" s="96" t="s">
        <v>2190</v>
      </c>
      <c r="C1414" s="95">
        <v>42042</v>
      </c>
      <c r="D1414" s="82">
        <v>9830000</v>
      </c>
      <c r="E1414" s="82">
        <v>9830000</v>
      </c>
      <c r="F1414" s="82">
        <v>9900000</v>
      </c>
      <c r="G1414" s="82">
        <v>9830000</v>
      </c>
      <c r="I1414" s="97">
        <v>0</v>
      </c>
      <c r="J1414" s="97">
        <v>0</v>
      </c>
      <c r="K1414" s="97">
        <v>0</v>
      </c>
      <c r="M1414" s="7">
        <f t="shared" si="243"/>
        <v>0</v>
      </c>
      <c r="N1414" s="7">
        <f t="shared" si="241"/>
        <v>0</v>
      </c>
      <c r="O1414" s="7">
        <f t="shared" si="251"/>
        <v>-260000</v>
      </c>
      <c r="P1414" s="99">
        <f t="shared" si="244"/>
        <v>-2.576808721506442E-2</v>
      </c>
      <c r="Q1414" s="99">
        <f t="shared" si="242"/>
        <v>-2.3393740097708487E-2</v>
      </c>
      <c r="S1414" s="7">
        <f t="shared" si="245"/>
        <v>10813000</v>
      </c>
      <c r="T1414" s="7">
        <f t="shared" si="246"/>
        <v>3276666.6666666665</v>
      </c>
      <c r="U1414" s="7">
        <f t="shared" si="247"/>
        <v>9400000</v>
      </c>
      <c r="V1414" s="7">
        <f t="shared" si="248"/>
        <v>0</v>
      </c>
      <c r="W1414" s="7">
        <f t="shared" si="249"/>
        <v>0</v>
      </c>
      <c r="X1414" s="7">
        <f t="shared" si="250"/>
        <v>0</v>
      </c>
    </row>
    <row r="1415" spans="1:24">
      <c r="A1415">
        <v>1414</v>
      </c>
      <c r="B1415" s="96" t="s">
        <v>2189</v>
      </c>
      <c r="C1415" s="95">
        <v>42043</v>
      </c>
      <c r="D1415" s="82">
        <v>9840000</v>
      </c>
      <c r="E1415" s="82">
        <v>9720000</v>
      </c>
      <c r="F1415" s="82">
        <v>9840000</v>
      </c>
      <c r="G1415" s="82">
        <v>9840000</v>
      </c>
      <c r="I1415" s="97">
        <v>0</v>
      </c>
      <c r="J1415" s="97">
        <v>0</v>
      </c>
      <c r="K1415" s="97">
        <v>0</v>
      </c>
      <c r="M1415" s="7">
        <f t="shared" si="243"/>
        <v>0</v>
      </c>
      <c r="N1415" s="7">
        <f t="shared" si="241"/>
        <v>0</v>
      </c>
      <c r="O1415" s="7">
        <f t="shared" si="251"/>
        <v>10000</v>
      </c>
      <c r="P1415" s="99">
        <f t="shared" si="244"/>
        <v>1.017293997965412E-3</v>
      </c>
      <c r="Q1415" s="99">
        <f t="shared" si="242"/>
        <v>-4.8193773101737086E-2</v>
      </c>
      <c r="S1415" s="7">
        <f t="shared" si="245"/>
        <v>10824000</v>
      </c>
      <c r="T1415" s="7">
        <f t="shared" si="246"/>
        <v>3280000</v>
      </c>
      <c r="U1415" s="7">
        <f t="shared" si="247"/>
        <v>9460000</v>
      </c>
      <c r="V1415" s="7">
        <f t="shared" si="248"/>
        <v>0</v>
      </c>
      <c r="W1415" s="7">
        <f t="shared" si="249"/>
        <v>0</v>
      </c>
      <c r="X1415" s="7">
        <f t="shared" si="250"/>
        <v>0</v>
      </c>
    </row>
    <row r="1416" spans="1:24">
      <c r="A1416">
        <v>1415</v>
      </c>
      <c r="B1416" s="96" t="s">
        <v>2188</v>
      </c>
      <c r="C1416" s="95">
        <v>42044</v>
      </c>
      <c r="D1416" s="82">
        <v>9910000</v>
      </c>
      <c r="E1416" s="82">
        <v>9860000</v>
      </c>
      <c r="F1416" s="82">
        <v>9980000</v>
      </c>
      <c r="G1416" s="82">
        <v>9910000</v>
      </c>
      <c r="I1416" s="98">
        <v>0</v>
      </c>
      <c r="J1416" s="98">
        <v>0</v>
      </c>
      <c r="K1416" s="98">
        <v>0</v>
      </c>
      <c r="M1416" s="7">
        <f t="shared" si="243"/>
        <v>0</v>
      </c>
      <c r="N1416" s="7">
        <f t="shared" ref="N1416:N1479" si="252">L1416+M1416</f>
        <v>0</v>
      </c>
      <c r="O1416" s="7">
        <f t="shared" si="251"/>
        <v>70000</v>
      </c>
      <c r="P1416" s="99">
        <f t="shared" si="244"/>
        <v>7.1138211382113818E-3</v>
      </c>
      <c r="Q1416" s="99">
        <f t="shared" ref="Q1416:Q1479" si="253">SUM(P1411:P1415)</f>
        <v>-3.9424541119275548E-2</v>
      </c>
      <c r="S1416" s="7">
        <f t="shared" si="245"/>
        <v>10901000</v>
      </c>
      <c r="T1416" s="7">
        <f t="shared" si="246"/>
        <v>3303333.3333333335</v>
      </c>
      <c r="U1416" s="7">
        <f t="shared" si="247"/>
        <v>9540000</v>
      </c>
      <c r="V1416" s="7">
        <f t="shared" si="248"/>
        <v>0</v>
      </c>
      <c r="W1416" s="7">
        <f t="shared" si="249"/>
        <v>0</v>
      </c>
      <c r="X1416" s="7">
        <f t="shared" si="250"/>
        <v>0</v>
      </c>
    </row>
    <row r="1417" spans="1:24">
      <c r="A1417">
        <v>1416</v>
      </c>
      <c r="B1417" s="96" t="s">
        <v>2187</v>
      </c>
      <c r="C1417" s="95">
        <v>42045</v>
      </c>
      <c r="D1417" s="82">
        <v>9940000</v>
      </c>
      <c r="E1417" s="82">
        <v>9910000</v>
      </c>
      <c r="F1417" s="82">
        <v>9970000</v>
      </c>
      <c r="G1417" s="82">
        <v>9940000</v>
      </c>
      <c r="I1417" s="82">
        <f>G1417*1.1</f>
        <v>10934000</v>
      </c>
      <c r="J1417" s="82">
        <f>G1417/3</f>
        <v>3313333.3333333335</v>
      </c>
      <c r="K1417" s="7">
        <f>G1685</f>
        <v>9655000</v>
      </c>
      <c r="L1417" s="7">
        <f>K1417-I1417</f>
        <v>-1279000</v>
      </c>
      <c r="M1417" s="7">
        <f t="shared" si="243"/>
        <v>414166.66666666674</v>
      </c>
      <c r="N1417" s="7">
        <f t="shared" si="252"/>
        <v>-864833.33333333326</v>
      </c>
      <c r="O1417" s="7">
        <f t="shared" si="251"/>
        <v>30000</v>
      </c>
      <c r="P1417" s="99">
        <f t="shared" si="244"/>
        <v>3.0272452068617556E-3</v>
      </c>
      <c r="Q1417" s="99">
        <f t="shared" si="253"/>
        <v>-3.4263844981064169E-2</v>
      </c>
      <c r="R1417">
        <v>1</v>
      </c>
      <c r="S1417" s="7">
        <f t="shared" si="245"/>
        <v>10934000</v>
      </c>
      <c r="T1417" s="7">
        <f t="shared" si="246"/>
        <v>3313333.3333333335</v>
      </c>
      <c r="U1417" s="7">
        <f t="shared" si="247"/>
        <v>9655000</v>
      </c>
      <c r="V1417" s="7">
        <f t="shared" si="248"/>
        <v>-1279000</v>
      </c>
      <c r="W1417" s="7">
        <f t="shared" si="249"/>
        <v>414166.66666666674</v>
      </c>
      <c r="X1417" s="7">
        <f t="shared" si="250"/>
        <v>-864833.33333333326</v>
      </c>
    </row>
    <row r="1418" spans="1:24">
      <c r="A1418">
        <v>1417</v>
      </c>
      <c r="B1418" s="96" t="s">
        <v>2186</v>
      </c>
      <c r="C1418" s="95">
        <v>42047</v>
      </c>
      <c r="D1418" s="82">
        <v>9910000</v>
      </c>
      <c r="E1418" s="82">
        <v>9890000</v>
      </c>
      <c r="F1418" s="82">
        <v>9915000</v>
      </c>
      <c r="G1418" s="82">
        <v>9910000</v>
      </c>
      <c r="I1418" s="97">
        <v>0</v>
      </c>
      <c r="J1418" s="97">
        <v>0</v>
      </c>
      <c r="K1418" s="97">
        <v>0</v>
      </c>
      <c r="M1418" s="7">
        <f t="shared" si="243"/>
        <v>0</v>
      </c>
      <c r="N1418" s="7">
        <f t="shared" si="252"/>
        <v>0</v>
      </c>
      <c r="O1418" s="7">
        <f t="shared" si="251"/>
        <v>-30000</v>
      </c>
      <c r="P1418" s="99">
        <f t="shared" si="244"/>
        <v>-3.0181086519114686E-3</v>
      </c>
      <c r="Q1418" s="99">
        <f t="shared" si="253"/>
        <v>-1.954069334145388E-2</v>
      </c>
      <c r="S1418" s="7">
        <f t="shared" si="245"/>
        <v>10901000</v>
      </c>
      <c r="T1418" s="7">
        <f t="shared" si="246"/>
        <v>3303333.3333333335</v>
      </c>
      <c r="U1418" s="7">
        <f t="shared" si="247"/>
        <v>9600000</v>
      </c>
      <c r="V1418" s="7">
        <f t="shared" si="248"/>
        <v>0</v>
      </c>
      <c r="W1418" s="7">
        <f t="shared" si="249"/>
        <v>0</v>
      </c>
      <c r="X1418" s="7">
        <f t="shared" si="250"/>
        <v>0</v>
      </c>
    </row>
    <row r="1419" spans="1:24">
      <c r="A1419">
        <v>1418</v>
      </c>
      <c r="B1419" s="96" t="s">
        <v>2185</v>
      </c>
      <c r="C1419" s="95">
        <v>42049</v>
      </c>
      <c r="D1419" s="82">
        <v>9970000</v>
      </c>
      <c r="E1419" s="82">
        <v>9970000</v>
      </c>
      <c r="F1419" s="82">
        <v>10040000</v>
      </c>
      <c r="G1419" s="82">
        <v>9970000</v>
      </c>
      <c r="I1419" s="97">
        <v>0</v>
      </c>
      <c r="J1419" s="97">
        <v>0</v>
      </c>
      <c r="K1419" s="97">
        <v>0</v>
      </c>
      <c r="M1419" s="7">
        <f t="shared" si="243"/>
        <v>0</v>
      </c>
      <c r="N1419" s="7">
        <f t="shared" si="252"/>
        <v>0</v>
      </c>
      <c r="O1419" s="7">
        <f t="shared" si="251"/>
        <v>60000</v>
      </c>
      <c r="P1419" s="99">
        <f t="shared" si="244"/>
        <v>6.0544904137235112E-3</v>
      </c>
      <c r="Q1419" s="99">
        <f t="shared" si="253"/>
        <v>-1.7627835523937339E-2</v>
      </c>
      <c r="S1419" s="7">
        <f t="shared" si="245"/>
        <v>10967000</v>
      </c>
      <c r="T1419" s="7">
        <f t="shared" si="246"/>
        <v>3323333.3333333335</v>
      </c>
      <c r="U1419" s="7">
        <f t="shared" si="247"/>
        <v>9485000</v>
      </c>
      <c r="V1419" s="7">
        <f t="shared" si="248"/>
        <v>0</v>
      </c>
      <c r="W1419" s="7">
        <f t="shared" si="249"/>
        <v>0</v>
      </c>
      <c r="X1419" s="7">
        <f t="shared" si="250"/>
        <v>0</v>
      </c>
    </row>
    <row r="1420" spans="1:24">
      <c r="A1420">
        <v>1419</v>
      </c>
      <c r="B1420" s="96" t="s">
        <v>2184</v>
      </c>
      <c r="C1420" s="95">
        <v>42050</v>
      </c>
      <c r="D1420" s="82">
        <v>9950000</v>
      </c>
      <c r="E1420" s="82">
        <v>9910000</v>
      </c>
      <c r="F1420" s="82">
        <v>9960000</v>
      </c>
      <c r="G1420" s="82">
        <v>9950000</v>
      </c>
      <c r="I1420" s="97">
        <v>0</v>
      </c>
      <c r="J1420" s="97">
        <v>0</v>
      </c>
      <c r="K1420" s="97">
        <v>0</v>
      </c>
      <c r="M1420" s="7">
        <f t="shared" si="243"/>
        <v>0</v>
      </c>
      <c r="N1420" s="7">
        <f t="shared" si="252"/>
        <v>0</v>
      </c>
      <c r="O1420" s="7">
        <f t="shared" si="251"/>
        <v>-20000</v>
      </c>
      <c r="P1420" s="99">
        <f t="shared" si="244"/>
        <v>-2.0060180541624875E-3</v>
      </c>
      <c r="Q1420" s="99">
        <f t="shared" si="253"/>
        <v>1.4194742104850592E-2</v>
      </c>
      <c r="S1420" s="7">
        <f t="shared" si="245"/>
        <v>10945000</v>
      </c>
      <c r="T1420" s="7">
        <f t="shared" si="246"/>
        <v>3316666.6666666665</v>
      </c>
      <c r="U1420" s="7">
        <f t="shared" si="247"/>
        <v>9385000</v>
      </c>
      <c r="V1420" s="7">
        <f t="shared" si="248"/>
        <v>0</v>
      </c>
      <c r="W1420" s="7">
        <f t="shared" si="249"/>
        <v>0</v>
      </c>
      <c r="X1420" s="7">
        <f t="shared" si="250"/>
        <v>0</v>
      </c>
    </row>
    <row r="1421" spans="1:24">
      <c r="A1421">
        <v>1420</v>
      </c>
      <c r="B1421" s="96" t="s">
        <v>2183</v>
      </c>
      <c r="C1421" s="95">
        <v>42051</v>
      </c>
      <c r="D1421" s="82">
        <v>9890000</v>
      </c>
      <c r="E1421" s="82">
        <v>9890000</v>
      </c>
      <c r="F1421" s="82">
        <v>9950000</v>
      </c>
      <c r="G1421" s="82">
        <v>9890000</v>
      </c>
      <c r="I1421" s="98">
        <v>0</v>
      </c>
      <c r="J1421" s="98">
        <v>0</v>
      </c>
      <c r="K1421" s="98">
        <v>0</v>
      </c>
      <c r="M1421" s="7">
        <f t="shared" si="243"/>
        <v>0</v>
      </c>
      <c r="N1421" s="7">
        <f t="shared" si="252"/>
        <v>0</v>
      </c>
      <c r="O1421" s="7">
        <f t="shared" si="251"/>
        <v>-60000</v>
      </c>
      <c r="P1421" s="99">
        <f t="shared" si="244"/>
        <v>-6.030150753768844E-3</v>
      </c>
      <c r="Q1421" s="99">
        <f t="shared" si="253"/>
        <v>1.1171430052722692E-2</v>
      </c>
      <c r="S1421" s="7">
        <f t="shared" si="245"/>
        <v>10879000</v>
      </c>
      <c r="T1421" s="7">
        <f t="shared" si="246"/>
        <v>3296666.6666666665</v>
      </c>
      <c r="U1421" s="7">
        <f t="shared" si="247"/>
        <v>9345000</v>
      </c>
      <c r="V1421" s="7">
        <f t="shared" si="248"/>
        <v>0</v>
      </c>
      <c r="W1421" s="7">
        <f t="shared" si="249"/>
        <v>0</v>
      </c>
      <c r="X1421" s="7">
        <f t="shared" si="250"/>
        <v>0</v>
      </c>
    </row>
    <row r="1422" spans="1:24">
      <c r="A1422">
        <v>1421</v>
      </c>
      <c r="B1422" s="96" t="s">
        <v>2182</v>
      </c>
      <c r="C1422" s="95">
        <v>42052</v>
      </c>
      <c r="D1422" s="82">
        <v>9750000</v>
      </c>
      <c r="E1422" s="82">
        <v>9750000</v>
      </c>
      <c r="F1422" s="82">
        <v>9790000</v>
      </c>
      <c r="G1422" s="82">
        <v>9750000</v>
      </c>
      <c r="I1422" s="82">
        <f>G1422*1.1</f>
        <v>10725000</v>
      </c>
      <c r="J1422" s="82">
        <f>G1422/3</f>
        <v>3250000</v>
      </c>
      <c r="K1422" s="7">
        <f>G1690</f>
        <v>9305000</v>
      </c>
      <c r="L1422" s="7">
        <f>K1422-I1422</f>
        <v>-1420000</v>
      </c>
      <c r="M1422" s="7">
        <f t="shared" si="243"/>
        <v>406250</v>
      </c>
      <c r="N1422" s="7">
        <f t="shared" si="252"/>
        <v>-1013750</v>
      </c>
      <c r="O1422" s="7">
        <f t="shared" si="251"/>
        <v>-140000</v>
      </c>
      <c r="P1422" s="99">
        <f t="shared" si="244"/>
        <v>-1.4155712841253791E-2</v>
      </c>
      <c r="Q1422" s="99">
        <f t="shared" si="253"/>
        <v>-1.9725418392575328E-3</v>
      </c>
      <c r="R1422">
        <v>1</v>
      </c>
      <c r="S1422" s="7">
        <f t="shared" si="245"/>
        <v>10725000</v>
      </c>
      <c r="T1422" s="7">
        <f t="shared" si="246"/>
        <v>3250000</v>
      </c>
      <c r="U1422" s="7">
        <f t="shared" si="247"/>
        <v>9305000</v>
      </c>
      <c r="V1422" s="7">
        <f t="shared" si="248"/>
        <v>-1420000</v>
      </c>
      <c r="W1422" s="7">
        <f t="shared" si="249"/>
        <v>406250</v>
      </c>
      <c r="X1422" s="7">
        <f t="shared" si="250"/>
        <v>-1013750</v>
      </c>
    </row>
    <row r="1423" spans="1:24">
      <c r="A1423">
        <v>1422</v>
      </c>
      <c r="B1423" s="96" t="s">
        <v>2181</v>
      </c>
      <c r="C1423" s="95">
        <v>42053</v>
      </c>
      <c r="D1423" s="82">
        <v>9830000</v>
      </c>
      <c r="E1423" s="82">
        <v>9745000</v>
      </c>
      <c r="F1423" s="82">
        <v>9830000</v>
      </c>
      <c r="G1423" s="82">
        <v>9830000</v>
      </c>
      <c r="I1423" s="97">
        <v>0</v>
      </c>
      <c r="J1423" s="97">
        <v>0</v>
      </c>
      <c r="K1423" s="97">
        <v>0</v>
      </c>
      <c r="M1423" s="7">
        <f t="shared" si="243"/>
        <v>0</v>
      </c>
      <c r="N1423" s="7">
        <f t="shared" si="252"/>
        <v>0</v>
      </c>
      <c r="O1423" s="7">
        <f t="shared" si="251"/>
        <v>80000</v>
      </c>
      <c r="P1423" s="99">
        <f t="shared" si="244"/>
        <v>8.2051282051282051E-3</v>
      </c>
      <c r="Q1423" s="99">
        <f t="shared" si="253"/>
        <v>-1.9155499887373081E-2</v>
      </c>
      <c r="S1423" s="7">
        <f t="shared" si="245"/>
        <v>10813000</v>
      </c>
      <c r="T1423" s="7">
        <f t="shared" si="246"/>
        <v>3276666.6666666665</v>
      </c>
      <c r="U1423" s="7">
        <f t="shared" si="247"/>
        <v>9180000</v>
      </c>
      <c r="V1423" s="7">
        <f t="shared" si="248"/>
        <v>0</v>
      </c>
      <c r="W1423" s="7">
        <f t="shared" si="249"/>
        <v>0</v>
      </c>
      <c r="X1423" s="7">
        <f t="shared" si="250"/>
        <v>0</v>
      </c>
    </row>
    <row r="1424" spans="1:24">
      <c r="A1424">
        <v>1423</v>
      </c>
      <c r="B1424" s="96" t="s">
        <v>2180</v>
      </c>
      <c r="C1424" s="95">
        <v>42054</v>
      </c>
      <c r="D1424" s="82">
        <v>9920000</v>
      </c>
      <c r="E1424" s="82">
        <v>9855000</v>
      </c>
      <c r="F1424" s="82">
        <v>9935000</v>
      </c>
      <c r="G1424" s="82">
        <v>9920000</v>
      </c>
      <c r="I1424" s="97">
        <v>0</v>
      </c>
      <c r="J1424" s="97">
        <v>0</v>
      </c>
      <c r="K1424" s="97">
        <v>0</v>
      </c>
      <c r="M1424" s="7">
        <f t="shared" si="243"/>
        <v>0</v>
      </c>
      <c r="N1424" s="7">
        <f t="shared" si="252"/>
        <v>0</v>
      </c>
      <c r="O1424" s="7">
        <f t="shared" si="251"/>
        <v>90000</v>
      </c>
      <c r="P1424" s="99">
        <f t="shared" si="244"/>
        <v>9.1556459816887082E-3</v>
      </c>
      <c r="Q1424" s="99">
        <f t="shared" si="253"/>
        <v>-7.9322630303334044E-3</v>
      </c>
      <c r="S1424" s="7">
        <f t="shared" si="245"/>
        <v>10912000</v>
      </c>
      <c r="T1424" s="7">
        <f t="shared" si="246"/>
        <v>3306666.6666666665</v>
      </c>
      <c r="U1424" s="7">
        <f t="shared" si="247"/>
        <v>9270000</v>
      </c>
      <c r="V1424" s="7">
        <f t="shared" si="248"/>
        <v>0</v>
      </c>
      <c r="W1424" s="7">
        <f t="shared" si="249"/>
        <v>0</v>
      </c>
      <c r="X1424" s="7">
        <f t="shared" si="250"/>
        <v>0</v>
      </c>
    </row>
    <row r="1425" spans="1:24">
      <c r="A1425">
        <v>1424</v>
      </c>
      <c r="B1425" s="96" t="s">
        <v>2179</v>
      </c>
      <c r="C1425" s="95">
        <v>42056</v>
      </c>
      <c r="D1425" s="82">
        <v>9725000</v>
      </c>
      <c r="E1425" s="82">
        <v>9710000</v>
      </c>
      <c r="F1425" s="82">
        <v>9775000</v>
      </c>
      <c r="G1425" s="82">
        <v>9725000</v>
      </c>
      <c r="I1425" s="97">
        <v>0</v>
      </c>
      <c r="J1425" s="97">
        <v>0</v>
      </c>
      <c r="K1425" s="97">
        <v>0</v>
      </c>
      <c r="M1425" s="7">
        <f t="shared" si="243"/>
        <v>0</v>
      </c>
      <c r="N1425" s="7">
        <f t="shared" si="252"/>
        <v>0</v>
      </c>
      <c r="O1425" s="7">
        <f t="shared" si="251"/>
        <v>-195000</v>
      </c>
      <c r="P1425" s="99">
        <f t="shared" si="244"/>
        <v>-1.9657258064516129E-2</v>
      </c>
      <c r="Q1425" s="99">
        <f t="shared" si="253"/>
        <v>-4.8311074623682091E-3</v>
      </c>
      <c r="S1425" s="7">
        <f t="shared" si="245"/>
        <v>10697500</v>
      </c>
      <c r="T1425" s="7">
        <f t="shared" si="246"/>
        <v>3241666.6666666665</v>
      </c>
      <c r="U1425" s="7">
        <f t="shared" si="247"/>
        <v>9200000</v>
      </c>
      <c r="V1425" s="7">
        <f t="shared" si="248"/>
        <v>0</v>
      </c>
      <c r="W1425" s="7">
        <f t="shared" si="249"/>
        <v>0</v>
      </c>
      <c r="X1425" s="7">
        <f t="shared" si="250"/>
        <v>0</v>
      </c>
    </row>
    <row r="1426" spans="1:24">
      <c r="A1426">
        <v>1425</v>
      </c>
      <c r="B1426" s="96" t="s">
        <v>2178</v>
      </c>
      <c r="C1426" s="95">
        <v>42057</v>
      </c>
      <c r="D1426" s="82">
        <v>9795000</v>
      </c>
      <c r="E1426" s="82">
        <v>9750000</v>
      </c>
      <c r="F1426" s="82">
        <v>9805000</v>
      </c>
      <c r="G1426" s="82">
        <v>9795000</v>
      </c>
      <c r="I1426" s="98">
        <v>0</v>
      </c>
      <c r="J1426" s="98">
        <v>0</v>
      </c>
      <c r="K1426" s="98">
        <v>0</v>
      </c>
      <c r="M1426" s="7">
        <f t="shared" si="243"/>
        <v>0</v>
      </c>
      <c r="N1426" s="7">
        <f t="shared" si="252"/>
        <v>0</v>
      </c>
      <c r="O1426" s="7">
        <f t="shared" si="251"/>
        <v>70000</v>
      </c>
      <c r="P1426" s="99">
        <f t="shared" si="244"/>
        <v>7.1979434447300775E-3</v>
      </c>
      <c r="Q1426" s="99">
        <f t="shared" si="253"/>
        <v>-2.2482347472721848E-2</v>
      </c>
      <c r="S1426" s="7">
        <f t="shared" si="245"/>
        <v>10774500</v>
      </c>
      <c r="T1426" s="7">
        <f t="shared" si="246"/>
        <v>3265000</v>
      </c>
      <c r="U1426" s="7">
        <f t="shared" si="247"/>
        <v>9200000</v>
      </c>
      <c r="V1426" s="7">
        <f t="shared" si="248"/>
        <v>0</v>
      </c>
      <c r="W1426" s="7">
        <f t="shared" si="249"/>
        <v>0</v>
      </c>
      <c r="X1426" s="7">
        <f t="shared" si="250"/>
        <v>0</v>
      </c>
    </row>
    <row r="1427" spans="1:24">
      <c r="A1427">
        <v>1426</v>
      </c>
      <c r="B1427" s="96" t="s">
        <v>2177</v>
      </c>
      <c r="C1427" s="95">
        <v>42058</v>
      </c>
      <c r="D1427" s="82">
        <v>9815000</v>
      </c>
      <c r="E1427" s="82">
        <v>9770000</v>
      </c>
      <c r="F1427" s="82">
        <v>9820000</v>
      </c>
      <c r="G1427" s="82">
        <v>9815000</v>
      </c>
      <c r="I1427" s="82">
        <f>G1427*1.1</f>
        <v>10796500</v>
      </c>
      <c r="J1427" s="82">
        <f>G1427/3</f>
        <v>3271666.6666666665</v>
      </c>
      <c r="K1427" s="7">
        <f>G1695</f>
        <v>9300000</v>
      </c>
      <c r="L1427" s="7">
        <f>K1427-I1427</f>
        <v>-1496500</v>
      </c>
      <c r="M1427" s="7">
        <f t="shared" si="243"/>
        <v>408958.33333333326</v>
      </c>
      <c r="N1427" s="7">
        <f t="shared" si="252"/>
        <v>-1087541.6666666667</v>
      </c>
      <c r="O1427" s="7">
        <f t="shared" si="251"/>
        <v>20000</v>
      </c>
      <c r="P1427" s="99">
        <f t="shared" si="244"/>
        <v>2.0418580908626851E-3</v>
      </c>
      <c r="Q1427" s="99">
        <f t="shared" si="253"/>
        <v>-9.2542532742229296E-3</v>
      </c>
      <c r="R1427">
        <v>1</v>
      </c>
      <c r="S1427" s="7">
        <f t="shared" si="245"/>
        <v>10796500</v>
      </c>
      <c r="T1427" s="7">
        <f t="shared" si="246"/>
        <v>3271666.6666666665</v>
      </c>
      <c r="U1427" s="7">
        <f t="shared" si="247"/>
        <v>9300000</v>
      </c>
      <c r="V1427" s="7">
        <f t="shared" si="248"/>
        <v>-1496500</v>
      </c>
      <c r="W1427" s="7">
        <f t="shared" si="249"/>
        <v>408958.33333333326</v>
      </c>
      <c r="X1427" s="7">
        <f t="shared" si="250"/>
        <v>-1087541.6666666667</v>
      </c>
    </row>
    <row r="1428" spans="1:24">
      <c r="A1428">
        <v>1427</v>
      </c>
      <c r="B1428" s="96" t="s">
        <v>2176</v>
      </c>
      <c r="C1428" s="95">
        <v>42059</v>
      </c>
      <c r="D1428" s="82">
        <v>9875000</v>
      </c>
      <c r="E1428" s="82">
        <v>9830000</v>
      </c>
      <c r="F1428" s="82">
        <v>9895000</v>
      </c>
      <c r="G1428" s="82">
        <v>9875000</v>
      </c>
      <c r="I1428" s="97">
        <v>0</v>
      </c>
      <c r="J1428" s="97">
        <v>0</v>
      </c>
      <c r="K1428" s="97">
        <v>0</v>
      </c>
      <c r="M1428" s="7">
        <f t="shared" si="243"/>
        <v>0</v>
      </c>
      <c r="N1428" s="7">
        <f t="shared" si="252"/>
        <v>0</v>
      </c>
      <c r="O1428" s="7">
        <f t="shared" si="251"/>
        <v>60000</v>
      </c>
      <c r="P1428" s="99">
        <f t="shared" si="244"/>
        <v>6.1130922058074376E-3</v>
      </c>
      <c r="Q1428" s="99">
        <f t="shared" si="253"/>
        <v>6.9433176578935453E-3</v>
      </c>
      <c r="S1428" s="7">
        <f t="shared" si="245"/>
        <v>10862500</v>
      </c>
      <c r="T1428" s="7">
        <f t="shared" si="246"/>
        <v>3291666.6666666665</v>
      </c>
      <c r="U1428" s="7">
        <f t="shared" si="247"/>
        <v>9305000</v>
      </c>
      <c r="V1428" s="7">
        <f t="shared" si="248"/>
        <v>0</v>
      </c>
      <c r="W1428" s="7">
        <f t="shared" si="249"/>
        <v>0</v>
      </c>
      <c r="X1428" s="7">
        <f t="shared" si="250"/>
        <v>0</v>
      </c>
    </row>
    <row r="1429" spans="1:24">
      <c r="A1429">
        <v>1428</v>
      </c>
      <c r="B1429" s="96" t="s">
        <v>2175</v>
      </c>
      <c r="C1429" s="95">
        <v>42060</v>
      </c>
      <c r="D1429" s="82">
        <v>9955000</v>
      </c>
      <c r="E1429" s="82">
        <v>9935000</v>
      </c>
      <c r="F1429" s="82">
        <v>9970000</v>
      </c>
      <c r="G1429" s="82">
        <v>9955000</v>
      </c>
      <c r="I1429" s="97">
        <v>0</v>
      </c>
      <c r="J1429" s="97">
        <v>0</v>
      </c>
      <c r="K1429" s="97">
        <v>0</v>
      </c>
      <c r="M1429" s="7">
        <f t="shared" si="243"/>
        <v>0</v>
      </c>
      <c r="N1429" s="7">
        <f t="shared" si="252"/>
        <v>0</v>
      </c>
      <c r="O1429" s="7">
        <f t="shared" si="251"/>
        <v>80000</v>
      </c>
      <c r="P1429" s="99">
        <f t="shared" si="244"/>
        <v>8.1012658227848106E-3</v>
      </c>
      <c r="Q1429" s="99">
        <f t="shared" si="253"/>
        <v>4.8512816585727795E-3</v>
      </c>
      <c r="S1429" s="7">
        <f t="shared" si="245"/>
        <v>10950500</v>
      </c>
      <c r="T1429" s="7">
        <f t="shared" si="246"/>
        <v>3318333.3333333335</v>
      </c>
      <c r="U1429" s="7">
        <f t="shared" si="247"/>
        <v>9410000</v>
      </c>
      <c r="V1429" s="7">
        <f t="shared" si="248"/>
        <v>0</v>
      </c>
      <c r="W1429" s="7">
        <f t="shared" si="249"/>
        <v>0</v>
      </c>
      <c r="X1429" s="7">
        <f t="shared" si="250"/>
        <v>0</v>
      </c>
    </row>
    <row r="1430" spans="1:24">
      <c r="A1430">
        <v>1429</v>
      </c>
      <c r="B1430" s="96" t="s">
        <v>2174</v>
      </c>
      <c r="C1430" s="95">
        <v>42061</v>
      </c>
      <c r="D1430" s="82">
        <v>9940000</v>
      </c>
      <c r="E1430" s="82">
        <v>9940000</v>
      </c>
      <c r="F1430" s="82">
        <v>9995000</v>
      </c>
      <c r="G1430" s="82">
        <v>9940000</v>
      </c>
      <c r="I1430" s="97">
        <v>0</v>
      </c>
      <c r="J1430" s="97">
        <v>0</v>
      </c>
      <c r="K1430" s="97">
        <v>0</v>
      </c>
      <c r="M1430" s="7">
        <f t="shared" si="243"/>
        <v>0</v>
      </c>
      <c r="N1430" s="7">
        <f t="shared" si="252"/>
        <v>0</v>
      </c>
      <c r="O1430" s="7">
        <f t="shared" si="251"/>
        <v>-15000</v>
      </c>
      <c r="P1430" s="99">
        <f t="shared" si="244"/>
        <v>-1.5067805123053742E-3</v>
      </c>
      <c r="Q1430" s="99">
        <f t="shared" si="253"/>
        <v>3.7969014996688828E-3</v>
      </c>
      <c r="S1430" s="7">
        <f t="shared" si="245"/>
        <v>10934000</v>
      </c>
      <c r="T1430" s="7">
        <f t="shared" si="246"/>
        <v>3313333.3333333335</v>
      </c>
      <c r="U1430" s="7">
        <f t="shared" si="247"/>
        <v>9360000</v>
      </c>
      <c r="V1430" s="7">
        <f t="shared" si="248"/>
        <v>0</v>
      </c>
      <c r="W1430" s="7">
        <f t="shared" si="249"/>
        <v>0</v>
      </c>
      <c r="X1430" s="7">
        <f t="shared" si="250"/>
        <v>0</v>
      </c>
    </row>
    <row r="1431" spans="1:24">
      <c r="A1431">
        <v>1430</v>
      </c>
      <c r="B1431" s="96" t="s">
        <v>2173</v>
      </c>
      <c r="C1431" s="95">
        <v>42063</v>
      </c>
      <c r="D1431" s="82">
        <v>9905000</v>
      </c>
      <c r="E1431" s="82">
        <v>9840000</v>
      </c>
      <c r="F1431" s="82">
        <v>9905000</v>
      </c>
      <c r="G1431" s="82">
        <v>9905000</v>
      </c>
      <c r="I1431" s="98">
        <v>0</v>
      </c>
      <c r="J1431" s="98">
        <v>0</v>
      </c>
      <c r="K1431" s="98">
        <v>0</v>
      </c>
      <c r="M1431" s="7">
        <f t="shared" si="243"/>
        <v>0</v>
      </c>
      <c r="N1431" s="7">
        <f t="shared" si="252"/>
        <v>0</v>
      </c>
      <c r="O1431" s="7">
        <f t="shared" si="251"/>
        <v>-35000</v>
      </c>
      <c r="P1431" s="99">
        <f t="shared" si="244"/>
        <v>-3.5211267605633804E-3</v>
      </c>
      <c r="Q1431" s="99">
        <f t="shared" si="253"/>
        <v>2.1947379051879639E-2</v>
      </c>
      <c r="S1431" s="7">
        <f t="shared" si="245"/>
        <v>10895500</v>
      </c>
      <c r="T1431" s="7">
        <f t="shared" si="246"/>
        <v>3301666.6666666665</v>
      </c>
      <c r="U1431" s="7">
        <f t="shared" si="247"/>
        <v>9445000</v>
      </c>
      <c r="V1431" s="7">
        <f t="shared" si="248"/>
        <v>0</v>
      </c>
      <c r="W1431" s="7">
        <f t="shared" si="249"/>
        <v>0</v>
      </c>
      <c r="X1431" s="7">
        <f t="shared" si="250"/>
        <v>0</v>
      </c>
    </row>
    <row r="1432" spans="1:24">
      <c r="A1432">
        <v>1431</v>
      </c>
      <c r="B1432" s="96" t="s">
        <v>2172</v>
      </c>
      <c r="C1432" s="95">
        <v>42064</v>
      </c>
      <c r="D1432" s="82">
        <v>9880000</v>
      </c>
      <c r="E1432" s="82">
        <v>9870000</v>
      </c>
      <c r="F1432" s="82">
        <v>9920000</v>
      </c>
      <c r="G1432" s="82">
        <v>9880000</v>
      </c>
      <c r="I1432" s="82">
        <f>G1432*1.1</f>
        <v>10868000</v>
      </c>
      <c r="J1432" s="82">
        <f>G1432/3</f>
        <v>3293333.3333333335</v>
      </c>
      <c r="K1432" s="7">
        <f>G1700</f>
        <v>9550000</v>
      </c>
      <c r="L1432" s="7">
        <f>K1432-I1432</f>
        <v>-1318000</v>
      </c>
      <c r="M1432" s="7">
        <f t="shared" si="243"/>
        <v>411666.66666666674</v>
      </c>
      <c r="N1432" s="7">
        <f t="shared" si="252"/>
        <v>-906333.33333333326</v>
      </c>
      <c r="O1432" s="7">
        <f t="shared" si="251"/>
        <v>-25000</v>
      </c>
      <c r="P1432" s="99">
        <f t="shared" si="244"/>
        <v>-2.5239777889954568E-3</v>
      </c>
      <c r="Q1432" s="99">
        <f t="shared" si="253"/>
        <v>1.1228308846586181E-2</v>
      </c>
      <c r="R1432">
        <v>1</v>
      </c>
      <c r="S1432" s="7">
        <f t="shared" si="245"/>
        <v>10868000</v>
      </c>
      <c r="T1432" s="7">
        <f t="shared" si="246"/>
        <v>3293333.3333333335</v>
      </c>
      <c r="U1432" s="7">
        <f t="shared" si="247"/>
        <v>9550000</v>
      </c>
      <c r="V1432" s="7">
        <f t="shared" si="248"/>
        <v>-1318000</v>
      </c>
      <c r="W1432" s="7">
        <f t="shared" si="249"/>
        <v>411666.66666666674</v>
      </c>
      <c r="X1432" s="7">
        <f t="shared" si="250"/>
        <v>-906333.33333333326</v>
      </c>
    </row>
    <row r="1433" spans="1:24">
      <c r="A1433">
        <v>1432</v>
      </c>
      <c r="B1433" s="96" t="s">
        <v>2171</v>
      </c>
      <c r="C1433" s="95">
        <v>42065</v>
      </c>
      <c r="D1433" s="82">
        <v>9900000</v>
      </c>
      <c r="E1433" s="82">
        <v>9885000</v>
      </c>
      <c r="F1433" s="82">
        <v>9915000</v>
      </c>
      <c r="G1433" s="82">
        <v>9900000</v>
      </c>
      <c r="I1433" s="97">
        <v>0</v>
      </c>
      <c r="J1433" s="97">
        <v>0</v>
      </c>
      <c r="K1433" s="97">
        <v>0</v>
      </c>
      <c r="M1433" s="7">
        <f t="shared" si="243"/>
        <v>0</v>
      </c>
      <c r="N1433" s="7">
        <f t="shared" si="252"/>
        <v>0</v>
      </c>
      <c r="O1433" s="7">
        <f t="shared" si="251"/>
        <v>20000</v>
      </c>
      <c r="P1433" s="99">
        <f t="shared" si="244"/>
        <v>2.0242914979757085E-3</v>
      </c>
      <c r="Q1433" s="99">
        <f t="shared" si="253"/>
        <v>6.6624729667280362E-3</v>
      </c>
      <c r="S1433" s="7">
        <f t="shared" si="245"/>
        <v>10890000</v>
      </c>
      <c r="T1433" s="7">
        <f t="shared" si="246"/>
        <v>3300000</v>
      </c>
      <c r="U1433" s="7">
        <f t="shared" si="247"/>
        <v>9490000</v>
      </c>
      <c r="V1433" s="7">
        <f t="shared" si="248"/>
        <v>0</v>
      </c>
      <c r="W1433" s="7">
        <f t="shared" si="249"/>
        <v>0</v>
      </c>
      <c r="X1433" s="7">
        <f t="shared" si="250"/>
        <v>0</v>
      </c>
    </row>
    <row r="1434" spans="1:24">
      <c r="A1434">
        <v>1433</v>
      </c>
      <c r="B1434" s="96" t="s">
        <v>2170</v>
      </c>
      <c r="C1434" s="95">
        <v>42066</v>
      </c>
      <c r="D1434" s="82">
        <v>9820000</v>
      </c>
      <c r="E1434" s="82">
        <v>9800000</v>
      </c>
      <c r="F1434" s="82">
        <v>9870000</v>
      </c>
      <c r="G1434" s="82">
        <v>9820000</v>
      </c>
      <c r="I1434" s="97">
        <v>0</v>
      </c>
      <c r="J1434" s="97">
        <v>0</v>
      </c>
      <c r="K1434" s="97">
        <v>0</v>
      </c>
      <c r="M1434" s="7">
        <f t="shared" si="243"/>
        <v>0</v>
      </c>
      <c r="N1434" s="7">
        <f t="shared" si="252"/>
        <v>0</v>
      </c>
      <c r="O1434" s="7">
        <f t="shared" si="251"/>
        <v>-80000</v>
      </c>
      <c r="P1434" s="99">
        <f t="shared" si="244"/>
        <v>-8.0808080808080808E-3</v>
      </c>
      <c r="Q1434" s="99">
        <f t="shared" si="253"/>
        <v>2.5736722588963075E-3</v>
      </c>
      <c r="S1434" s="7">
        <f t="shared" si="245"/>
        <v>10802000</v>
      </c>
      <c r="T1434" s="7">
        <f t="shared" si="246"/>
        <v>3273333.3333333335</v>
      </c>
      <c r="U1434" s="7">
        <f t="shared" si="247"/>
        <v>9445000</v>
      </c>
      <c r="V1434" s="7">
        <f t="shared" si="248"/>
        <v>0</v>
      </c>
      <c r="W1434" s="7">
        <f t="shared" si="249"/>
        <v>0</v>
      </c>
      <c r="X1434" s="7">
        <f t="shared" si="250"/>
        <v>0</v>
      </c>
    </row>
    <row r="1435" spans="1:24">
      <c r="A1435">
        <v>1434</v>
      </c>
      <c r="B1435" s="96" t="s">
        <v>2169</v>
      </c>
      <c r="C1435" s="95">
        <v>42067</v>
      </c>
      <c r="D1435" s="82">
        <v>9820000</v>
      </c>
      <c r="E1435" s="82">
        <v>9795000</v>
      </c>
      <c r="F1435" s="82">
        <v>9825000</v>
      </c>
      <c r="G1435" s="82">
        <v>9820000</v>
      </c>
      <c r="I1435" s="97">
        <v>0</v>
      </c>
      <c r="J1435" s="97">
        <v>0</v>
      </c>
      <c r="K1435" s="97">
        <v>0</v>
      </c>
      <c r="M1435" s="7">
        <f t="shared" si="243"/>
        <v>0</v>
      </c>
      <c r="N1435" s="7">
        <f t="shared" si="252"/>
        <v>0</v>
      </c>
      <c r="O1435" s="7">
        <f t="shared" si="251"/>
        <v>0</v>
      </c>
      <c r="P1435" s="99">
        <f t="shared" si="244"/>
        <v>0</v>
      </c>
      <c r="Q1435" s="99">
        <f t="shared" si="253"/>
        <v>-1.3608401644696583E-2</v>
      </c>
      <c r="S1435" s="7">
        <f t="shared" si="245"/>
        <v>10802000</v>
      </c>
      <c r="T1435" s="7">
        <f t="shared" si="246"/>
        <v>3273333.3333333335</v>
      </c>
      <c r="U1435" s="7">
        <f t="shared" si="247"/>
        <v>9460000</v>
      </c>
      <c r="V1435" s="7">
        <f t="shared" si="248"/>
        <v>0</v>
      </c>
      <c r="W1435" s="7">
        <f t="shared" si="249"/>
        <v>0</v>
      </c>
      <c r="X1435" s="7">
        <f t="shared" si="250"/>
        <v>0</v>
      </c>
    </row>
    <row r="1436" spans="1:24">
      <c r="A1436">
        <v>1435</v>
      </c>
      <c r="B1436" s="96" t="s">
        <v>2168</v>
      </c>
      <c r="C1436" s="95">
        <v>42068</v>
      </c>
      <c r="D1436" s="82">
        <v>9795000</v>
      </c>
      <c r="E1436" s="82">
        <v>9790000</v>
      </c>
      <c r="F1436" s="82">
        <v>9805000</v>
      </c>
      <c r="G1436" s="82">
        <v>9795000</v>
      </c>
      <c r="I1436" s="98">
        <v>0</v>
      </c>
      <c r="J1436" s="98">
        <v>0</v>
      </c>
      <c r="K1436" s="98">
        <v>0</v>
      </c>
      <c r="M1436" s="7">
        <f t="shared" si="243"/>
        <v>0</v>
      </c>
      <c r="N1436" s="7">
        <f t="shared" si="252"/>
        <v>0</v>
      </c>
      <c r="O1436" s="7">
        <f t="shared" si="251"/>
        <v>-25000</v>
      </c>
      <c r="P1436" s="99">
        <f t="shared" si="244"/>
        <v>-2.5458248472505093E-3</v>
      </c>
      <c r="Q1436" s="99">
        <f t="shared" si="253"/>
        <v>-1.2101621132391209E-2</v>
      </c>
      <c r="S1436" s="7">
        <f t="shared" si="245"/>
        <v>10774500</v>
      </c>
      <c r="T1436" s="7">
        <f t="shared" si="246"/>
        <v>3265000</v>
      </c>
      <c r="U1436" s="7">
        <f t="shared" si="247"/>
        <v>9490000</v>
      </c>
      <c r="V1436" s="7">
        <f t="shared" si="248"/>
        <v>0</v>
      </c>
      <c r="W1436" s="7">
        <f t="shared" si="249"/>
        <v>0</v>
      </c>
      <c r="X1436" s="7">
        <f t="shared" si="250"/>
        <v>0</v>
      </c>
    </row>
    <row r="1437" spans="1:24">
      <c r="A1437">
        <v>1436</v>
      </c>
      <c r="B1437" s="96" t="s">
        <v>2167</v>
      </c>
      <c r="C1437" s="95">
        <v>42070</v>
      </c>
      <c r="D1437" s="82">
        <v>9595000</v>
      </c>
      <c r="E1437" s="82">
        <v>9550000</v>
      </c>
      <c r="F1437" s="82">
        <v>9635000</v>
      </c>
      <c r="G1437" s="82">
        <v>9595000</v>
      </c>
      <c r="I1437" s="82">
        <f>G1437*1.1</f>
        <v>10554500</v>
      </c>
      <c r="J1437" s="82">
        <f>G1437/3</f>
        <v>3198333.3333333335</v>
      </c>
      <c r="K1437" s="7">
        <f>G1705</f>
        <v>9550000</v>
      </c>
      <c r="L1437" s="7">
        <f>K1437-I1437</f>
        <v>-1004500</v>
      </c>
      <c r="M1437" s="7">
        <f t="shared" si="243"/>
        <v>399791.66666666674</v>
      </c>
      <c r="N1437" s="7">
        <f t="shared" si="252"/>
        <v>-604708.33333333326</v>
      </c>
      <c r="O1437" s="7">
        <f t="shared" si="251"/>
        <v>-200000</v>
      </c>
      <c r="P1437" s="99">
        <f t="shared" si="244"/>
        <v>-2.041858090862685E-2</v>
      </c>
      <c r="Q1437" s="99">
        <f t="shared" si="253"/>
        <v>-1.112631921907834E-2</v>
      </c>
      <c r="R1437">
        <v>1</v>
      </c>
      <c r="S1437" s="7">
        <f t="shared" si="245"/>
        <v>10554500</v>
      </c>
      <c r="T1437" s="7">
        <f t="shared" si="246"/>
        <v>3198333.3333333335</v>
      </c>
      <c r="U1437" s="7">
        <f t="shared" si="247"/>
        <v>9550000</v>
      </c>
      <c r="V1437" s="7">
        <f t="shared" si="248"/>
        <v>-1004500</v>
      </c>
      <c r="W1437" s="7">
        <f t="shared" si="249"/>
        <v>399791.66666666674</v>
      </c>
      <c r="X1437" s="7">
        <f t="shared" si="250"/>
        <v>-604708.33333333326</v>
      </c>
    </row>
    <row r="1438" spans="1:24">
      <c r="A1438">
        <v>1437</v>
      </c>
      <c r="B1438" s="96" t="s">
        <v>2166</v>
      </c>
      <c r="C1438" s="95">
        <v>42071</v>
      </c>
      <c r="D1438" s="82">
        <v>9630000</v>
      </c>
      <c r="E1438" s="82">
        <v>9570000</v>
      </c>
      <c r="F1438" s="82">
        <v>9630000</v>
      </c>
      <c r="G1438" s="82">
        <v>9630000</v>
      </c>
      <c r="I1438" s="97">
        <v>0</v>
      </c>
      <c r="J1438" s="97">
        <v>0</v>
      </c>
      <c r="K1438" s="97">
        <v>0</v>
      </c>
      <c r="M1438" s="7">
        <f t="shared" si="243"/>
        <v>0</v>
      </c>
      <c r="N1438" s="7">
        <f t="shared" si="252"/>
        <v>0</v>
      </c>
      <c r="O1438" s="7">
        <f t="shared" si="251"/>
        <v>35000</v>
      </c>
      <c r="P1438" s="99">
        <f t="shared" si="244"/>
        <v>3.6477331943720686E-3</v>
      </c>
      <c r="Q1438" s="99">
        <f t="shared" si="253"/>
        <v>-2.9020922338709731E-2</v>
      </c>
      <c r="S1438" s="7">
        <f t="shared" si="245"/>
        <v>10593000</v>
      </c>
      <c r="T1438" s="7">
        <f t="shared" si="246"/>
        <v>3210000</v>
      </c>
      <c r="U1438" s="7">
        <f t="shared" si="247"/>
        <v>9550000</v>
      </c>
      <c r="V1438" s="7">
        <f t="shared" si="248"/>
        <v>0</v>
      </c>
      <c r="W1438" s="7">
        <f t="shared" si="249"/>
        <v>0</v>
      </c>
      <c r="X1438" s="7">
        <f t="shared" si="250"/>
        <v>0</v>
      </c>
    </row>
    <row r="1439" spans="1:24">
      <c r="A1439">
        <v>1438</v>
      </c>
      <c r="B1439" s="96" t="s">
        <v>2165</v>
      </c>
      <c r="C1439" s="95">
        <v>42072</v>
      </c>
      <c r="D1439" s="82">
        <v>9595000</v>
      </c>
      <c r="E1439" s="82">
        <v>9590000</v>
      </c>
      <c r="F1439" s="82">
        <v>9665000</v>
      </c>
      <c r="G1439" s="82">
        <v>9595000</v>
      </c>
      <c r="I1439" s="97">
        <v>0</v>
      </c>
      <c r="J1439" s="97">
        <v>0</v>
      </c>
      <c r="K1439" s="97">
        <v>0</v>
      </c>
      <c r="M1439" s="7">
        <f t="shared" si="243"/>
        <v>0</v>
      </c>
      <c r="N1439" s="7">
        <f t="shared" si="252"/>
        <v>0</v>
      </c>
      <c r="O1439" s="7">
        <f t="shared" si="251"/>
        <v>-35000</v>
      </c>
      <c r="P1439" s="99">
        <f t="shared" si="244"/>
        <v>-3.6344755970924196E-3</v>
      </c>
      <c r="Q1439" s="99">
        <f t="shared" si="253"/>
        <v>-2.7397480642313371E-2</v>
      </c>
      <c r="S1439" s="7">
        <f t="shared" si="245"/>
        <v>10554500</v>
      </c>
      <c r="T1439" s="7">
        <f t="shared" si="246"/>
        <v>3198333.3333333335</v>
      </c>
      <c r="U1439" s="7">
        <f t="shared" si="247"/>
        <v>9585000</v>
      </c>
      <c r="V1439" s="7">
        <f t="shared" si="248"/>
        <v>0</v>
      </c>
      <c r="W1439" s="7">
        <f t="shared" si="249"/>
        <v>0</v>
      </c>
      <c r="X1439" s="7">
        <f t="shared" si="250"/>
        <v>0</v>
      </c>
    </row>
    <row r="1440" spans="1:24">
      <c r="A1440">
        <v>1439</v>
      </c>
      <c r="B1440" s="96" t="s">
        <v>2164</v>
      </c>
      <c r="C1440" s="95">
        <v>42073</v>
      </c>
      <c r="D1440" s="82">
        <v>9550000</v>
      </c>
      <c r="E1440" s="82">
        <v>9515000</v>
      </c>
      <c r="F1440" s="82">
        <v>9565000</v>
      </c>
      <c r="G1440" s="82">
        <v>9550000</v>
      </c>
      <c r="I1440" s="97">
        <v>0</v>
      </c>
      <c r="J1440" s="97">
        <v>0</v>
      </c>
      <c r="K1440" s="97">
        <v>0</v>
      </c>
      <c r="M1440" s="7">
        <f t="shared" si="243"/>
        <v>0</v>
      </c>
      <c r="N1440" s="7">
        <f t="shared" si="252"/>
        <v>0</v>
      </c>
      <c r="O1440" s="7">
        <f t="shared" si="251"/>
        <v>-45000</v>
      </c>
      <c r="P1440" s="99">
        <f t="shared" si="244"/>
        <v>-4.6899426784783741E-3</v>
      </c>
      <c r="Q1440" s="99">
        <f t="shared" si="253"/>
        <v>-2.2951148158597709E-2</v>
      </c>
      <c r="S1440" s="7">
        <f t="shared" si="245"/>
        <v>10505000</v>
      </c>
      <c r="T1440" s="7">
        <f t="shared" si="246"/>
        <v>3183333.3333333335</v>
      </c>
      <c r="U1440" s="7">
        <f t="shared" si="247"/>
        <v>9665000</v>
      </c>
      <c r="V1440" s="7">
        <f t="shared" si="248"/>
        <v>0</v>
      </c>
      <c r="W1440" s="7">
        <f t="shared" si="249"/>
        <v>0</v>
      </c>
      <c r="X1440" s="7">
        <f t="shared" si="250"/>
        <v>0</v>
      </c>
    </row>
    <row r="1441" spans="1:24">
      <c r="A1441">
        <v>1440</v>
      </c>
      <c r="B1441" s="96" t="s">
        <v>2163</v>
      </c>
      <c r="C1441" s="95">
        <v>42074</v>
      </c>
      <c r="D1441" s="82">
        <v>9415000</v>
      </c>
      <c r="E1441" s="82">
        <v>9415000</v>
      </c>
      <c r="F1441" s="82">
        <v>9555000</v>
      </c>
      <c r="G1441" s="82">
        <v>9415000</v>
      </c>
      <c r="I1441" s="98">
        <v>0</v>
      </c>
      <c r="J1441" s="98">
        <v>0</v>
      </c>
      <c r="K1441" s="98">
        <v>0</v>
      </c>
      <c r="M1441" s="7">
        <f t="shared" si="243"/>
        <v>0</v>
      </c>
      <c r="N1441" s="7">
        <f t="shared" si="252"/>
        <v>0</v>
      </c>
      <c r="O1441" s="7">
        <f t="shared" si="251"/>
        <v>-135000</v>
      </c>
      <c r="P1441" s="99">
        <f t="shared" si="244"/>
        <v>-1.4136125654450262E-2</v>
      </c>
      <c r="Q1441" s="99">
        <f t="shared" si="253"/>
        <v>-2.7641090837076082E-2</v>
      </c>
      <c r="S1441" s="7">
        <f t="shared" si="245"/>
        <v>10356500</v>
      </c>
      <c r="T1441" s="7">
        <f t="shared" si="246"/>
        <v>3138333.3333333335</v>
      </c>
      <c r="U1441" s="7">
        <f t="shared" si="247"/>
        <v>9845000</v>
      </c>
      <c r="V1441" s="7">
        <f t="shared" si="248"/>
        <v>0</v>
      </c>
      <c r="W1441" s="7">
        <f t="shared" si="249"/>
        <v>0</v>
      </c>
      <c r="X1441" s="7">
        <f t="shared" si="250"/>
        <v>0</v>
      </c>
    </row>
    <row r="1442" spans="1:24">
      <c r="A1442">
        <v>1441</v>
      </c>
      <c r="B1442" s="96" t="s">
        <v>2162</v>
      </c>
      <c r="C1442" s="95">
        <v>42075</v>
      </c>
      <c r="D1442" s="82">
        <v>9420000</v>
      </c>
      <c r="E1442" s="82">
        <v>9350000</v>
      </c>
      <c r="F1442" s="82">
        <v>9470000</v>
      </c>
      <c r="G1442" s="82">
        <v>9420000</v>
      </c>
      <c r="I1442" s="82">
        <f>G1442*1.1</f>
        <v>10362000</v>
      </c>
      <c r="J1442" s="82">
        <f>G1442/3</f>
        <v>3140000</v>
      </c>
      <c r="K1442" s="7">
        <f>G1710</f>
        <v>9725000</v>
      </c>
      <c r="L1442" s="7">
        <f>K1442-I1442</f>
        <v>-637000</v>
      </c>
      <c r="M1442" s="7">
        <f t="shared" si="243"/>
        <v>392500</v>
      </c>
      <c r="N1442" s="7">
        <f t="shared" si="252"/>
        <v>-244500</v>
      </c>
      <c r="O1442" s="7">
        <f t="shared" si="251"/>
        <v>5000</v>
      </c>
      <c r="P1442" s="99">
        <f t="shared" si="244"/>
        <v>5.3106744556558679E-4</v>
      </c>
      <c r="Q1442" s="99">
        <f t="shared" si="253"/>
        <v>-3.9231391644275838E-2</v>
      </c>
      <c r="R1442">
        <v>1</v>
      </c>
      <c r="S1442" s="7">
        <f t="shared" si="245"/>
        <v>10362000</v>
      </c>
      <c r="T1442" s="7">
        <f t="shared" si="246"/>
        <v>3140000</v>
      </c>
      <c r="U1442" s="7">
        <f t="shared" si="247"/>
        <v>9725000</v>
      </c>
      <c r="V1442" s="7">
        <f t="shared" si="248"/>
        <v>-637000</v>
      </c>
      <c r="W1442" s="7">
        <f t="shared" si="249"/>
        <v>392500</v>
      </c>
      <c r="X1442" s="7">
        <f t="shared" si="250"/>
        <v>-244500</v>
      </c>
    </row>
    <row r="1443" spans="1:24">
      <c r="A1443">
        <v>1442</v>
      </c>
      <c r="B1443" s="96" t="s">
        <v>2161</v>
      </c>
      <c r="C1443" s="95">
        <v>42077</v>
      </c>
      <c r="D1443" s="82">
        <v>9120000</v>
      </c>
      <c r="E1443" s="82">
        <v>9120000</v>
      </c>
      <c r="F1443" s="82">
        <v>9290000</v>
      </c>
      <c r="G1443" s="82">
        <v>9120000</v>
      </c>
      <c r="I1443" s="97">
        <v>0</v>
      </c>
      <c r="J1443" s="97">
        <v>0</v>
      </c>
      <c r="K1443" s="97">
        <v>0</v>
      </c>
      <c r="M1443" s="7">
        <f t="shared" si="243"/>
        <v>0</v>
      </c>
      <c r="N1443" s="7">
        <f t="shared" si="252"/>
        <v>0</v>
      </c>
      <c r="O1443" s="7">
        <f t="shared" si="251"/>
        <v>-300000</v>
      </c>
      <c r="P1443" s="99">
        <f t="shared" si="244"/>
        <v>-3.1847133757961783E-2</v>
      </c>
      <c r="Q1443" s="99">
        <f t="shared" si="253"/>
        <v>-1.8281743290083398E-2</v>
      </c>
      <c r="S1443" s="7">
        <f t="shared" si="245"/>
        <v>10032000</v>
      </c>
      <c r="T1443" s="7">
        <f t="shared" si="246"/>
        <v>3040000</v>
      </c>
      <c r="U1443" s="7">
        <f t="shared" si="247"/>
        <v>9865000</v>
      </c>
      <c r="V1443" s="7">
        <f t="shared" si="248"/>
        <v>0</v>
      </c>
      <c r="W1443" s="7">
        <f t="shared" si="249"/>
        <v>0</v>
      </c>
      <c r="X1443" s="7">
        <f t="shared" si="250"/>
        <v>0</v>
      </c>
    </row>
    <row r="1444" spans="1:24">
      <c r="A1444">
        <v>1443</v>
      </c>
      <c r="B1444" s="96" t="s">
        <v>2160</v>
      </c>
      <c r="C1444" s="95">
        <v>42078</v>
      </c>
      <c r="D1444" s="82">
        <v>9120000</v>
      </c>
      <c r="E1444" s="82">
        <v>9000000</v>
      </c>
      <c r="F1444" s="82">
        <v>9220000</v>
      </c>
      <c r="G1444" s="82">
        <v>9120000</v>
      </c>
      <c r="I1444" s="97">
        <v>0</v>
      </c>
      <c r="J1444" s="97">
        <v>0</v>
      </c>
      <c r="K1444" s="97">
        <v>0</v>
      </c>
      <c r="M1444" s="7">
        <f t="shared" si="243"/>
        <v>0</v>
      </c>
      <c r="N1444" s="7">
        <f t="shared" si="252"/>
        <v>0</v>
      </c>
      <c r="O1444" s="7">
        <f t="shared" si="251"/>
        <v>0</v>
      </c>
      <c r="P1444" s="99">
        <f t="shared" si="244"/>
        <v>0</v>
      </c>
      <c r="Q1444" s="99">
        <f t="shared" si="253"/>
        <v>-5.3776610242417255E-2</v>
      </c>
      <c r="S1444" s="7">
        <f t="shared" si="245"/>
        <v>10032000</v>
      </c>
      <c r="T1444" s="7">
        <f t="shared" si="246"/>
        <v>3040000</v>
      </c>
      <c r="U1444" s="7">
        <f t="shared" si="247"/>
        <v>9795000</v>
      </c>
      <c r="V1444" s="7">
        <f t="shared" si="248"/>
        <v>0</v>
      </c>
      <c r="W1444" s="7">
        <f t="shared" si="249"/>
        <v>0</v>
      </c>
      <c r="X1444" s="7">
        <f t="shared" si="250"/>
        <v>0</v>
      </c>
    </row>
    <row r="1445" spans="1:24">
      <c r="A1445">
        <v>1444</v>
      </c>
      <c r="B1445" s="96" t="s">
        <v>2159</v>
      </c>
      <c r="C1445" s="95">
        <v>42079</v>
      </c>
      <c r="D1445" s="82">
        <v>9220000</v>
      </c>
      <c r="E1445" s="82">
        <v>9170000</v>
      </c>
      <c r="F1445" s="82">
        <v>9360000</v>
      </c>
      <c r="G1445" s="82">
        <v>9220000</v>
      </c>
      <c r="I1445" s="97">
        <v>0</v>
      </c>
      <c r="J1445" s="97">
        <v>0</v>
      </c>
      <c r="K1445" s="97">
        <v>0</v>
      </c>
      <c r="M1445" s="7">
        <f t="shared" si="243"/>
        <v>0</v>
      </c>
      <c r="N1445" s="7">
        <f t="shared" si="252"/>
        <v>0</v>
      </c>
      <c r="O1445" s="7">
        <f t="shared" si="251"/>
        <v>100000</v>
      </c>
      <c r="P1445" s="99">
        <f t="shared" si="244"/>
        <v>1.0964912280701754E-2</v>
      </c>
      <c r="Q1445" s="99">
        <f t="shared" si="253"/>
        <v>-5.0142134645324833E-2</v>
      </c>
      <c r="S1445" s="7">
        <f t="shared" si="245"/>
        <v>10142000</v>
      </c>
      <c r="T1445" s="7">
        <f t="shared" si="246"/>
        <v>3073333.3333333335</v>
      </c>
      <c r="U1445" s="7">
        <f t="shared" si="247"/>
        <v>9770000</v>
      </c>
      <c r="V1445" s="7">
        <f t="shared" si="248"/>
        <v>0</v>
      </c>
      <c r="W1445" s="7">
        <f t="shared" si="249"/>
        <v>0</v>
      </c>
      <c r="X1445" s="7">
        <f t="shared" si="250"/>
        <v>0</v>
      </c>
    </row>
    <row r="1446" spans="1:24">
      <c r="A1446">
        <v>1445</v>
      </c>
      <c r="B1446" s="96" t="s">
        <v>2158</v>
      </c>
      <c r="C1446" s="95">
        <v>42080</v>
      </c>
      <c r="D1446" s="82">
        <v>9350000</v>
      </c>
      <c r="E1446" s="82">
        <v>9235000</v>
      </c>
      <c r="F1446" s="82">
        <v>9350000</v>
      </c>
      <c r="G1446" s="82">
        <v>9350000</v>
      </c>
      <c r="I1446" s="98">
        <v>0</v>
      </c>
      <c r="J1446" s="98">
        <v>0</v>
      </c>
      <c r="K1446" s="98">
        <v>0</v>
      </c>
      <c r="M1446" s="7">
        <f t="shared" si="243"/>
        <v>0</v>
      </c>
      <c r="N1446" s="7">
        <f t="shared" si="252"/>
        <v>0</v>
      </c>
      <c r="O1446" s="7">
        <f t="shared" si="251"/>
        <v>130000</v>
      </c>
      <c r="P1446" s="99">
        <f t="shared" si="244"/>
        <v>1.4099783080260303E-2</v>
      </c>
      <c r="Q1446" s="99">
        <f t="shared" si="253"/>
        <v>-3.4487279686144706E-2</v>
      </c>
      <c r="S1446" s="7">
        <f t="shared" si="245"/>
        <v>10285000</v>
      </c>
      <c r="T1446" s="7">
        <f t="shared" si="246"/>
        <v>3116666.6666666665</v>
      </c>
      <c r="U1446" s="7">
        <f t="shared" si="247"/>
        <v>10055000</v>
      </c>
      <c r="V1446" s="7">
        <f t="shared" si="248"/>
        <v>0</v>
      </c>
      <c r="W1446" s="7">
        <f t="shared" si="249"/>
        <v>0</v>
      </c>
      <c r="X1446" s="7">
        <f t="shared" si="250"/>
        <v>0</v>
      </c>
    </row>
    <row r="1447" spans="1:24">
      <c r="A1447">
        <v>1446</v>
      </c>
      <c r="B1447" s="96" t="s">
        <v>2157</v>
      </c>
      <c r="C1447" s="95">
        <v>42081</v>
      </c>
      <c r="D1447" s="82">
        <v>9330000</v>
      </c>
      <c r="E1447" s="82">
        <v>9300000</v>
      </c>
      <c r="F1447" s="82">
        <v>9420000</v>
      </c>
      <c r="G1447" s="82">
        <v>9330000</v>
      </c>
      <c r="I1447" s="82">
        <f>G1447*1.1</f>
        <v>10263000</v>
      </c>
      <c r="J1447" s="82">
        <f>G1447/3</f>
        <v>3110000</v>
      </c>
      <c r="K1447" s="7">
        <f>G1715</f>
        <v>9995000</v>
      </c>
      <c r="L1447" s="7">
        <f>K1447-I1447</f>
        <v>-268000</v>
      </c>
      <c r="M1447" s="7">
        <f t="shared" si="243"/>
        <v>388750</v>
      </c>
      <c r="N1447" s="7">
        <f t="shared" si="252"/>
        <v>120750</v>
      </c>
      <c r="O1447" s="7">
        <f t="shared" si="251"/>
        <v>-20000</v>
      </c>
      <c r="P1447" s="99">
        <f t="shared" si="244"/>
        <v>-2.1390374331550803E-3</v>
      </c>
      <c r="Q1447" s="99">
        <f t="shared" si="253"/>
        <v>-6.251370951434139E-3</v>
      </c>
      <c r="R1447">
        <v>1</v>
      </c>
      <c r="S1447" s="7">
        <f t="shared" si="245"/>
        <v>10263000</v>
      </c>
      <c r="T1447" s="7">
        <f t="shared" si="246"/>
        <v>3110000</v>
      </c>
      <c r="U1447" s="7">
        <f t="shared" si="247"/>
        <v>9995000</v>
      </c>
      <c r="V1447" s="7">
        <f t="shared" si="248"/>
        <v>-268000</v>
      </c>
      <c r="W1447" s="7">
        <f t="shared" si="249"/>
        <v>388750</v>
      </c>
      <c r="X1447" s="7">
        <f t="shared" si="250"/>
        <v>120750</v>
      </c>
    </row>
    <row r="1448" spans="1:24">
      <c r="A1448">
        <v>1447</v>
      </c>
      <c r="B1448" s="96" t="s">
        <v>2156</v>
      </c>
      <c r="C1448" s="95">
        <v>42082</v>
      </c>
      <c r="D1448" s="82">
        <v>9400000</v>
      </c>
      <c r="E1448" s="82">
        <v>9400000</v>
      </c>
      <c r="F1448" s="82">
        <v>9450000</v>
      </c>
      <c r="G1448" s="82">
        <v>9400000</v>
      </c>
      <c r="I1448" s="97">
        <v>0</v>
      </c>
      <c r="J1448" s="97">
        <v>0</v>
      </c>
      <c r="K1448" s="97">
        <v>0</v>
      </c>
      <c r="M1448" s="7">
        <f t="shared" si="243"/>
        <v>0</v>
      </c>
      <c r="N1448" s="7">
        <f t="shared" si="252"/>
        <v>0</v>
      </c>
      <c r="O1448" s="7">
        <f t="shared" si="251"/>
        <v>70000</v>
      </c>
      <c r="P1448" s="99">
        <f t="shared" si="244"/>
        <v>7.502679528403001E-3</v>
      </c>
      <c r="Q1448" s="99">
        <f t="shared" si="253"/>
        <v>-8.9214758301548076E-3</v>
      </c>
      <c r="S1448" s="7">
        <f t="shared" si="245"/>
        <v>10340000</v>
      </c>
      <c r="T1448" s="7">
        <f t="shared" si="246"/>
        <v>3133333.3333333335</v>
      </c>
      <c r="U1448" s="7">
        <f t="shared" si="247"/>
        <v>9760000</v>
      </c>
      <c r="V1448" s="7">
        <f t="shared" si="248"/>
        <v>0</v>
      </c>
      <c r="W1448" s="7">
        <f t="shared" si="249"/>
        <v>0</v>
      </c>
      <c r="X1448" s="7">
        <f t="shared" si="250"/>
        <v>0</v>
      </c>
    </row>
    <row r="1449" spans="1:24">
      <c r="A1449">
        <v>1448</v>
      </c>
      <c r="B1449" s="96" t="s">
        <v>2155</v>
      </c>
      <c r="C1449" s="95">
        <v>42091</v>
      </c>
      <c r="D1449" s="82">
        <v>9500000</v>
      </c>
      <c r="E1449" s="82">
        <v>9475000</v>
      </c>
      <c r="F1449" s="82">
        <v>9550000</v>
      </c>
      <c r="G1449" s="82">
        <v>9500000</v>
      </c>
      <c r="I1449" s="97">
        <v>0</v>
      </c>
      <c r="J1449" s="97">
        <v>0</v>
      </c>
      <c r="K1449" s="97">
        <v>0</v>
      </c>
      <c r="M1449" s="7">
        <f t="shared" si="243"/>
        <v>0</v>
      </c>
      <c r="N1449" s="7">
        <f t="shared" si="252"/>
        <v>0</v>
      </c>
      <c r="O1449" s="7">
        <f t="shared" si="251"/>
        <v>100000</v>
      </c>
      <c r="P1449" s="99">
        <f t="shared" si="244"/>
        <v>1.0638297872340425E-2</v>
      </c>
      <c r="Q1449" s="99">
        <f t="shared" si="253"/>
        <v>3.0428337456209976E-2</v>
      </c>
      <c r="S1449" s="7">
        <f t="shared" si="245"/>
        <v>10450000</v>
      </c>
      <c r="T1449" s="7">
        <f t="shared" si="246"/>
        <v>3166666.6666666665</v>
      </c>
      <c r="U1449" s="7">
        <f t="shared" si="247"/>
        <v>9785000</v>
      </c>
      <c r="V1449" s="7">
        <f t="shared" si="248"/>
        <v>0</v>
      </c>
      <c r="W1449" s="7">
        <f t="shared" si="249"/>
        <v>0</v>
      </c>
      <c r="X1449" s="7">
        <f t="shared" si="250"/>
        <v>0</v>
      </c>
    </row>
    <row r="1450" spans="1:24">
      <c r="A1450">
        <v>1449</v>
      </c>
      <c r="B1450" s="96" t="s">
        <v>2154</v>
      </c>
      <c r="C1450" s="95">
        <v>42092</v>
      </c>
      <c r="D1450" s="82">
        <v>9340000</v>
      </c>
      <c r="E1450" s="82">
        <v>9200000</v>
      </c>
      <c r="F1450" s="82">
        <v>9360000</v>
      </c>
      <c r="G1450" s="82">
        <v>9340000</v>
      </c>
      <c r="I1450" s="97">
        <v>0</v>
      </c>
      <c r="J1450" s="97">
        <v>0</v>
      </c>
      <c r="K1450" s="97">
        <v>0</v>
      </c>
      <c r="M1450" s="7">
        <f t="shared" si="243"/>
        <v>0</v>
      </c>
      <c r="N1450" s="7">
        <f t="shared" si="252"/>
        <v>0</v>
      </c>
      <c r="O1450" s="7">
        <f t="shared" si="251"/>
        <v>-160000</v>
      </c>
      <c r="P1450" s="99">
        <f t="shared" si="244"/>
        <v>-1.6842105263157894E-2</v>
      </c>
      <c r="Q1450" s="99">
        <f t="shared" si="253"/>
        <v>4.1066635328550399E-2</v>
      </c>
      <c r="S1450" s="7">
        <f t="shared" si="245"/>
        <v>10274000</v>
      </c>
      <c r="T1450" s="7">
        <f t="shared" si="246"/>
        <v>3113333.3333333335</v>
      </c>
      <c r="U1450" s="7">
        <f t="shared" si="247"/>
        <v>9865000</v>
      </c>
      <c r="V1450" s="7">
        <f t="shared" si="248"/>
        <v>0</v>
      </c>
      <c r="W1450" s="7">
        <f t="shared" si="249"/>
        <v>0</v>
      </c>
      <c r="X1450" s="7">
        <f t="shared" si="250"/>
        <v>0</v>
      </c>
    </row>
    <row r="1451" spans="1:24">
      <c r="A1451">
        <v>1450</v>
      </c>
      <c r="B1451" s="96" t="s">
        <v>2153</v>
      </c>
      <c r="C1451" s="95">
        <v>42093</v>
      </c>
      <c r="D1451" s="82">
        <v>9380000</v>
      </c>
      <c r="E1451" s="82">
        <v>9300000</v>
      </c>
      <c r="F1451" s="82">
        <v>9380000</v>
      </c>
      <c r="G1451" s="82">
        <v>9380000</v>
      </c>
      <c r="I1451" s="98">
        <v>0</v>
      </c>
      <c r="J1451" s="98">
        <v>0</v>
      </c>
      <c r="K1451" s="98">
        <v>0</v>
      </c>
      <c r="M1451" s="7">
        <f t="shared" si="243"/>
        <v>0</v>
      </c>
      <c r="N1451" s="7">
        <f t="shared" si="252"/>
        <v>0</v>
      </c>
      <c r="O1451" s="7">
        <f t="shared" si="251"/>
        <v>40000</v>
      </c>
      <c r="P1451" s="99">
        <f t="shared" si="244"/>
        <v>4.2826552462526769E-3</v>
      </c>
      <c r="Q1451" s="99">
        <f t="shared" si="253"/>
        <v>1.3259617784690751E-2</v>
      </c>
      <c r="S1451" s="7">
        <f t="shared" si="245"/>
        <v>10318000</v>
      </c>
      <c r="T1451" s="7">
        <f t="shared" si="246"/>
        <v>3126666.6666666665</v>
      </c>
      <c r="U1451" s="7">
        <f t="shared" si="247"/>
        <v>9890000</v>
      </c>
      <c r="V1451" s="7">
        <f t="shared" si="248"/>
        <v>0</v>
      </c>
      <c r="W1451" s="7">
        <f t="shared" si="249"/>
        <v>0</v>
      </c>
      <c r="X1451" s="7">
        <f t="shared" si="250"/>
        <v>0</v>
      </c>
    </row>
    <row r="1452" spans="1:24">
      <c r="A1452">
        <v>1451</v>
      </c>
      <c r="B1452" s="96" t="s">
        <v>2152</v>
      </c>
      <c r="C1452" s="95">
        <v>42094</v>
      </c>
      <c r="D1452" s="82">
        <v>9360000</v>
      </c>
      <c r="E1452" s="82">
        <v>9300000</v>
      </c>
      <c r="F1452" s="82">
        <v>9380000</v>
      </c>
      <c r="G1452" s="82">
        <v>9360000</v>
      </c>
      <c r="I1452" s="82">
        <f>G1452*1.1</f>
        <v>10296000</v>
      </c>
      <c r="J1452" s="82">
        <f>G1452/3</f>
        <v>3120000</v>
      </c>
      <c r="K1452" s="7">
        <f>G1720</f>
        <v>9850000</v>
      </c>
      <c r="L1452" s="7">
        <f>K1452-I1452</f>
        <v>-446000</v>
      </c>
      <c r="M1452" s="7">
        <f t="shared" si="243"/>
        <v>390000</v>
      </c>
      <c r="N1452" s="7">
        <f t="shared" si="252"/>
        <v>-56000</v>
      </c>
      <c r="O1452" s="7">
        <f t="shared" si="251"/>
        <v>-20000</v>
      </c>
      <c r="P1452" s="99">
        <f t="shared" si="244"/>
        <v>-2.1321961620469083E-3</v>
      </c>
      <c r="Q1452" s="99">
        <f t="shared" si="253"/>
        <v>3.4424899506831285E-3</v>
      </c>
      <c r="R1452">
        <v>1</v>
      </c>
      <c r="S1452" s="7">
        <f t="shared" si="245"/>
        <v>10296000</v>
      </c>
      <c r="T1452" s="7">
        <f t="shared" si="246"/>
        <v>3120000</v>
      </c>
      <c r="U1452" s="7">
        <f t="shared" si="247"/>
        <v>9850000</v>
      </c>
      <c r="V1452" s="7">
        <f t="shared" si="248"/>
        <v>-446000</v>
      </c>
      <c r="W1452" s="7">
        <f t="shared" si="249"/>
        <v>390000</v>
      </c>
      <c r="X1452" s="7">
        <f t="shared" si="250"/>
        <v>-56000</v>
      </c>
    </row>
    <row r="1453" spans="1:24">
      <c r="A1453">
        <v>1452</v>
      </c>
      <c r="B1453" s="96" t="s">
        <v>2151</v>
      </c>
      <c r="C1453" s="95">
        <v>42098</v>
      </c>
      <c r="D1453" s="82">
        <v>9410000</v>
      </c>
      <c r="E1453" s="82">
        <v>9180000</v>
      </c>
      <c r="F1453" s="82">
        <v>9450000</v>
      </c>
      <c r="G1453" s="82">
        <v>9410000</v>
      </c>
      <c r="I1453" s="97">
        <v>0</v>
      </c>
      <c r="J1453" s="97">
        <v>0</v>
      </c>
      <c r="K1453" s="97">
        <v>0</v>
      </c>
      <c r="M1453" s="7">
        <f t="shared" si="243"/>
        <v>0</v>
      </c>
      <c r="N1453" s="7">
        <f t="shared" si="252"/>
        <v>0</v>
      </c>
      <c r="O1453" s="7">
        <f t="shared" si="251"/>
        <v>50000</v>
      </c>
      <c r="P1453" s="99">
        <f t="shared" si="244"/>
        <v>5.341880341880342E-3</v>
      </c>
      <c r="Q1453" s="99">
        <f t="shared" si="253"/>
        <v>3.4493312217913014E-3</v>
      </c>
      <c r="S1453" s="7">
        <f t="shared" si="245"/>
        <v>10351000</v>
      </c>
      <c r="T1453" s="7">
        <f t="shared" si="246"/>
        <v>3136666.6666666665</v>
      </c>
      <c r="U1453" s="7">
        <f t="shared" si="247"/>
        <v>9885000</v>
      </c>
      <c r="V1453" s="7">
        <f t="shared" si="248"/>
        <v>0</v>
      </c>
      <c r="W1453" s="7">
        <f t="shared" si="249"/>
        <v>0</v>
      </c>
      <c r="X1453" s="7">
        <f t="shared" si="250"/>
        <v>0</v>
      </c>
    </row>
    <row r="1454" spans="1:24">
      <c r="A1454">
        <v>1453</v>
      </c>
      <c r="B1454" s="96" t="s">
        <v>2150</v>
      </c>
      <c r="C1454" s="95">
        <v>42099</v>
      </c>
      <c r="D1454" s="82">
        <v>9585000</v>
      </c>
      <c r="E1454" s="82">
        <v>9500000</v>
      </c>
      <c r="F1454" s="82">
        <v>9660000</v>
      </c>
      <c r="G1454" s="82">
        <v>9585000</v>
      </c>
      <c r="I1454" s="97">
        <v>0</v>
      </c>
      <c r="J1454" s="97">
        <v>0</v>
      </c>
      <c r="K1454" s="97">
        <v>0</v>
      </c>
      <c r="M1454" s="7">
        <f t="shared" si="243"/>
        <v>0</v>
      </c>
      <c r="N1454" s="7">
        <f t="shared" si="252"/>
        <v>0</v>
      </c>
      <c r="O1454" s="7">
        <f t="shared" si="251"/>
        <v>175000</v>
      </c>
      <c r="P1454" s="99">
        <f t="shared" si="244"/>
        <v>1.8597236981934114E-2</v>
      </c>
      <c r="Q1454" s="99">
        <f t="shared" si="253"/>
        <v>1.2885320352686415E-3</v>
      </c>
      <c r="S1454" s="7">
        <f t="shared" si="245"/>
        <v>10543500</v>
      </c>
      <c r="T1454" s="7">
        <f t="shared" si="246"/>
        <v>3195000</v>
      </c>
      <c r="U1454" s="7">
        <f t="shared" si="247"/>
        <v>9810000</v>
      </c>
      <c r="V1454" s="7">
        <f t="shared" si="248"/>
        <v>0</v>
      </c>
      <c r="W1454" s="7">
        <f t="shared" si="249"/>
        <v>0</v>
      </c>
      <c r="X1454" s="7">
        <f t="shared" si="250"/>
        <v>0</v>
      </c>
    </row>
    <row r="1455" spans="1:24">
      <c r="A1455">
        <v>1454</v>
      </c>
      <c r="B1455" s="96" t="s">
        <v>2149</v>
      </c>
      <c r="C1455" s="95">
        <v>42100</v>
      </c>
      <c r="D1455" s="82">
        <v>9600000</v>
      </c>
      <c r="E1455" s="82">
        <v>9560000</v>
      </c>
      <c r="F1455" s="82">
        <v>9650000</v>
      </c>
      <c r="G1455" s="82">
        <v>9600000</v>
      </c>
      <c r="I1455" s="97">
        <v>0</v>
      </c>
      <c r="J1455" s="97">
        <v>0</v>
      </c>
      <c r="K1455" s="97">
        <v>0</v>
      </c>
      <c r="M1455" s="7">
        <f t="shared" si="243"/>
        <v>0</v>
      </c>
      <c r="N1455" s="7">
        <f t="shared" si="252"/>
        <v>0</v>
      </c>
      <c r="O1455" s="7">
        <f t="shared" si="251"/>
        <v>15000</v>
      </c>
      <c r="P1455" s="99">
        <f t="shared" si="244"/>
        <v>1.5649452269170579E-3</v>
      </c>
      <c r="Q1455" s="99">
        <f t="shared" si="253"/>
        <v>9.2474711448623306E-3</v>
      </c>
      <c r="S1455" s="7">
        <f t="shared" si="245"/>
        <v>10560000</v>
      </c>
      <c r="T1455" s="7">
        <f t="shared" si="246"/>
        <v>3200000</v>
      </c>
      <c r="U1455" s="7">
        <f t="shared" si="247"/>
        <v>9935000</v>
      </c>
      <c r="V1455" s="7">
        <f t="shared" si="248"/>
        <v>0</v>
      </c>
      <c r="W1455" s="7">
        <f t="shared" si="249"/>
        <v>0</v>
      </c>
      <c r="X1455" s="7">
        <f t="shared" si="250"/>
        <v>0</v>
      </c>
    </row>
    <row r="1456" spans="1:24">
      <c r="A1456">
        <v>1455</v>
      </c>
      <c r="B1456" s="96" t="s">
        <v>2148</v>
      </c>
      <c r="C1456" s="95">
        <v>42101</v>
      </c>
      <c r="D1456" s="82">
        <v>9620000</v>
      </c>
      <c r="E1456" s="82">
        <v>9530000</v>
      </c>
      <c r="F1456" s="82">
        <v>9620000</v>
      </c>
      <c r="G1456" s="82">
        <v>9620000</v>
      </c>
      <c r="I1456" s="98">
        <v>0</v>
      </c>
      <c r="J1456" s="98">
        <v>0</v>
      </c>
      <c r="K1456" s="98">
        <v>0</v>
      </c>
      <c r="M1456" s="7">
        <f t="shared" si="243"/>
        <v>0</v>
      </c>
      <c r="N1456" s="7">
        <f t="shared" si="252"/>
        <v>0</v>
      </c>
      <c r="O1456" s="7">
        <f t="shared" si="251"/>
        <v>20000</v>
      </c>
      <c r="P1456" s="99">
        <f t="shared" si="244"/>
        <v>2.0833333333333333E-3</v>
      </c>
      <c r="Q1456" s="99">
        <f t="shared" si="253"/>
        <v>2.7654521634937285E-2</v>
      </c>
      <c r="S1456" s="7">
        <f t="shared" si="245"/>
        <v>10582000</v>
      </c>
      <c r="T1456" s="7">
        <f t="shared" si="246"/>
        <v>3206666.6666666665</v>
      </c>
      <c r="U1456" s="7">
        <f t="shared" si="247"/>
        <v>10080000</v>
      </c>
      <c r="V1456" s="7">
        <f t="shared" si="248"/>
        <v>0</v>
      </c>
      <c r="W1456" s="7">
        <f t="shared" si="249"/>
        <v>0</v>
      </c>
      <c r="X1456" s="7">
        <f t="shared" si="250"/>
        <v>0</v>
      </c>
    </row>
    <row r="1457" spans="1:24">
      <c r="A1457">
        <v>1456</v>
      </c>
      <c r="B1457" s="96" t="s">
        <v>2147</v>
      </c>
      <c r="C1457" s="95">
        <v>42102</v>
      </c>
      <c r="D1457" s="82">
        <v>9550000</v>
      </c>
      <c r="E1457" s="82">
        <v>9540000</v>
      </c>
      <c r="F1457" s="82">
        <v>9610000</v>
      </c>
      <c r="G1457" s="82">
        <v>9550000</v>
      </c>
      <c r="I1457" s="82">
        <f>G1457*1.1</f>
        <v>10505000</v>
      </c>
      <c r="J1457" s="82">
        <f>G1457/3</f>
        <v>3183333.3333333335</v>
      </c>
      <c r="K1457" s="7">
        <f>G1725</f>
        <v>10050000</v>
      </c>
      <c r="L1457" s="7">
        <f>K1457-I1457</f>
        <v>-455000</v>
      </c>
      <c r="M1457" s="7">
        <f t="shared" si="243"/>
        <v>397916.66666666674</v>
      </c>
      <c r="N1457" s="7">
        <f t="shared" si="252"/>
        <v>-57083.333333333256</v>
      </c>
      <c r="O1457" s="7">
        <f t="shared" si="251"/>
        <v>-70000</v>
      </c>
      <c r="P1457" s="99">
        <f t="shared" si="244"/>
        <v>-7.2765072765072769E-3</v>
      </c>
      <c r="Q1457" s="99">
        <f t="shared" si="253"/>
        <v>2.5455199722017936E-2</v>
      </c>
      <c r="R1457">
        <v>1</v>
      </c>
      <c r="S1457" s="7">
        <f t="shared" si="245"/>
        <v>10505000</v>
      </c>
      <c r="T1457" s="7">
        <f t="shared" si="246"/>
        <v>3183333.3333333335</v>
      </c>
      <c r="U1457" s="7">
        <f t="shared" si="247"/>
        <v>10050000</v>
      </c>
      <c r="V1457" s="7">
        <f t="shared" si="248"/>
        <v>-455000</v>
      </c>
      <c r="W1457" s="7">
        <f t="shared" si="249"/>
        <v>397916.66666666674</v>
      </c>
      <c r="X1457" s="7">
        <f t="shared" si="250"/>
        <v>-57083.333333333256</v>
      </c>
    </row>
    <row r="1458" spans="1:24">
      <c r="A1458">
        <v>1457</v>
      </c>
      <c r="B1458" s="96" t="s">
        <v>2146</v>
      </c>
      <c r="C1458" s="95">
        <v>42103</v>
      </c>
      <c r="D1458" s="82">
        <v>9510000</v>
      </c>
      <c r="E1458" s="82">
        <v>9460000</v>
      </c>
      <c r="F1458" s="82">
        <v>9510000</v>
      </c>
      <c r="G1458" s="82">
        <v>9510000</v>
      </c>
      <c r="I1458" s="97">
        <v>0</v>
      </c>
      <c r="J1458" s="97">
        <v>0</v>
      </c>
      <c r="K1458" s="97">
        <v>0</v>
      </c>
      <c r="M1458" s="7">
        <f t="shared" si="243"/>
        <v>0</v>
      </c>
      <c r="N1458" s="7">
        <f t="shared" si="252"/>
        <v>0</v>
      </c>
      <c r="O1458" s="7">
        <f t="shared" si="251"/>
        <v>-40000</v>
      </c>
      <c r="P1458" s="99">
        <f t="shared" si="244"/>
        <v>-4.1884816753926706E-3</v>
      </c>
      <c r="Q1458" s="99">
        <f t="shared" si="253"/>
        <v>2.0310888607557573E-2</v>
      </c>
      <c r="S1458" s="7">
        <f t="shared" si="245"/>
        <v>10461000</v>
      </c>
      <c r="T1458" s="7">
        <f t="shared" si="246"/>
        <v>3170000</v>
      </c>
      <c r="U1458" s="7">
        <f t="shared" si="247"/>
        <v>9970000</v>
      </c>
      <c r="V1458" s="7">
        <f t="shared" si="248"/>
        <v>0</v>
      </c>
      <c r="W1458" s="7">
        <f t="shared" si="249"/>
        <v>0</v>
      </c>
      <c r="X1458" s="7">
        <f t="shared" si="250"/>
        <v>0</v>
      </c>
    </row>
    <row r="1459" spans="1:24">
      <c r="A1459">
        <v>1458</v>
      </c>
      <c r="B1459" s="96" t="s">
        <v>2145</v>
      </c>
      <c r="C1459" s="95">
        <v>42105</v>
      </c>
      <c r="D1459" s="82">
        <v>9720000</v>
      </c>
      <c r="E1459" s="82">
        <v>9590000</v>
      </c>
      <c r="F1459" s="82">
        <v>9730000</v>
      </c>
      <c r="G1459" s="82">
        <v>9720000</v>
      </c>
      <c r="I1459" s="97">
        <v>0</v>
      </c>
      <c r="J1459" s="97">
        <v>0</v>
      </c>
      <c r="K1459" s="97">
        <v>0</v>
      </c>
      <c r="M1459" s="7">
        <f t="shared" si="243"/>
        <v>0</v>
      </c>
      <c r="N1459" s="7">
        <f t="shared" si="252"/>
        <v>0</v>
      </c>
      <c r="O1459" s="7">
        <f t="shared" si="251"/>
        <v>210000</v>
      </c>
      <c r="P1459" s="99">
        <f t="shared" si="244"/>
        <v>2.2082018927444796E-2</v>
      </c>
      <c r="Q1459" s="99">
        <f t="shared" si="253"/>
        <v>1.0780526590284559E-2</v>
      </c>
      <c r="S1459" s="7">
        <f t="shared" si="245"/>
        <v>10692000</v>
      </c>
      <c r="T1459" s="7">
        <f t="shared" si="246"/>
        <v>3240000</v>
      </c>
      <c r="U1459" s="7">
        <f t="shared" si="247"/>
        <v>9945000</v>
      </c>
      <c r="V1459" s="7">
        <f t="shared" si="248"/>
        <v>0</v>
      </c>
      <c r="W1459" s="7">
        <f t="shared" si="249"/>
        <v>0</v>
      </c>
      <c r="X1459" s="7">
        <f t="shared" si="250"/>
        <v>0</v>
      </c>
    </row>
    <row r="1460" spans="1:24">
      <c r="A1460">
        <v>1459</v>
      </c>
      <c r="B1460" s="96" t="s">
        <v>2144</v>
      </c>
      <c r="C1460" s="95">
        <v>42106</v>
      </c>
      <c r="D1460" s="82">
        <v>9770000</v>
      </c>
      <c r="E1460" s="82">
        <v>9770000</v>
      </c>
      <c r="F1460" s="82">
        <v>9860000</v>
      </c>
      <c r="G1460" s="82">
        <v>9770000</v>
      </c>
      <c r="I1460" s="97">
        <v>0</v>
      </c>
      <c r="J1460" s="97">
        <v>0</v>
      </c>
      <c r="K1460" s="97">
        <v>0</v>
      </c>
      <c r="M1460" s="7">
        <f t="shared" si="243"/>
        <v>0</v>
      </c>
      <c r="N1460" s="7">
        <f t="shared" si="252"/>
        <v>0</v>
      </c>
      <c r="O1460" s="7">
        <f t="shared" si="251"/>
        <v>50000</v>
      </c>
      <c r="P1460" s="99">
        <f t="shared" si="244"/>
        <v>5.1440329218106996E-3</v>
      </c>
      <c r="Q1460" s="99">
        <f t="shared" si="253"/>
        <v>1.4265308535795241E-2</v>
      </c>
      <c r="S1460" s="7">
        <f t="shared" si="245"/>
        <v>10747000</v>
      </c>
      <c r="T1460" s="7">
        <f t="shared" si="246"/>
        <v>3256666.6666666665</v>
      </c>
      <c r="U1460" s="7">
        <f t="shared" si="247"/>
        <v>10035000</v>
      </c>
      <c r="V1460" s="7">
        <f t="shared" si="248"/>
        <v>0</v>
      </c>
      <c r="W1460" s="7">
        <f t="shared" si="249"/>
        <v>0</v>
      </c>
      <c r="X1460" s="7">
        <f t="shared" si="250"/>
        <v>0</v>
      </c>
    </row>
    <row r="1461" spans="1:24">
      <c r="A1461">
        <v>1460</v>
      </c>
      <c r="B1461" s="96" t="s">
        <v>2143</v>
      </c>
      <c r="C1461" s="95">
        <v>42107</v>
      </c>
      <c r="D1461" s="82">
        <v>9715000</v>
      </c>
      <c r="E1461" s="82">
        <v>9640000</v>
      </c>
      <c r="F1461" s="82">
        <v>9750000</v>
      </c>
      <c r="G1461" s="82">
        <v>9715000</v>
      </c>
      <c r="I1461" s="98">
        <v>0</v>
      </c>
      <c r="J1461" s="98">
        <v>0</v>
      </c>
      <c r="K1461" s="98">
        <v>0</v>
      </c>
      <c r="M1461" s="7">
        <f t="shared" si="243"/>
        <v>0</v>
      </c>
      <c r="N1461" s="7">
        <f t="shared" si="252"/>
        <v>0</v>
      </c>
      <c r="O1461" s="7">
        <f t="shared" si="251"/>
        <v>-55000</v>
      </c>
      <c r="P1461" s="99">
        <f t="shared" si="244"/>
        <v>-5.6294779938587513E-3</v>
      </c>
      <c r="Q1461" s="99">
        <f t="shared" si="253"/>
        <v>1.7844396230688883E-2</v>
      </c>
      <c r="S1461" s="7">
        <f t="shared" si="245"/>
        <v>10686500</v>
      </c>
      <c r="T1461" s="7">
        <f t="shared" si="246"/>
        <v>3238333.3333333335</v>
      </c>
      <c r="U1461" s="7">
        <f t="shared" si="247"/>
        <v>10015000</v>
      </c>
      <c r="V1461" s="7">
        <f t="shared" si="248"/>
        <v>0</v>
      </c>
      <c r="W1461" s="7">
        <f t="shared" si="249"/>
        <v>0</v>
      </c>
      <c r="X1461" s="7">
        <f t="shared" si="250"/>
        <v>0</v>
      </c>
    </row>
    <row r="1462" spans="1:24">
      <c r="A1462">
        <v>1461</v>
      </c>
      <c r="B1462" s="96" t="s">
        <v>2142</v>
      </c>
      <c r="C1462" s="95">
        <v>42108</v>
      </c>
      <c r="D1462" s="82">
        <v>9630000</v>
      </c>
      <c r="E1462" s="82">
        <v>9570000</v>
      </c>
      <c r="F1462" s="82">
        <v>9630000</v>
      </c>
      <c r="G1462" s="82">
        <v>9630000</v>
      </c>
      <c r="I1462" s="82">
        <f>G1462*1.1</f>
        <v>10593000</v>
      </c>
      <c r="J1462" s="82">
        <f>G1462/3</f>
        <v>3210000</v>
      </c>
      <c r="K1462" s="7">
        <f>G1730</f>
        <v>10045000</v>
      </c>
      <c r="L1462" s="7">
        <f>K1462-I1462</f>
        <v>-548000</v>
      </c>
      <c r="M1462" s="7">
        <f t="shared" si="243"/>
        <v>401250</v>
      </c>
      <c r="N1462" s="7">
        <f t="shared" si="252"/>
        <v>-146750</v>
      </c>
      <c r="O1462" s="7">
        <f t="shared" si="251"/>
        <v>-85000</v>
      </c>
      <c r="P1462" s="99">
        <f t="shared" si="244"/>
        <v>-8.7493566649511061E-3</v>
      </c>
      <c r="Q1462" s="99">
        <f t="shared" si="253"/>
        <v>1.0131584903496799E-2</v>
      </c>
      <c r="R1462">
        <v>1</v>
      </c>
      <c r="S1462" s="7">
        <f t="shared" si="245"/>
        <v>10593000</v>
      </c>
      <c r="T1462" s="7">
        <f t="shared" si="246"/>
        <v>3210000</v>
      </c>
      <c r="U1462" s="7">
        <f t="shared" si="247"/>
        <v>10045000</v>
      </c>
      <c r="V1462" s="7">
        <f t="shared" si="248"/>
        <v>-548000</v>
      </c>
      <c r="W1462" s="7">
        <f t="shared" si="249"/>
        <v>401250</v>
      </c>
      <c r="X1462" s="7">
        <f t="shared" si="250"/>
        <v>-146750</v>
      </c>
    </row>
    <row r="1463" spans="1:24">
      <c r="A1463">
        <v>1462</v>
      </c>
      <c r="B1463" s="96" t="s">
        <v>2141</v>
      </c>
      <c r="C1463" s="95">
        <v>42109</v>
      </c>
      <c r="D1463" s="82">
        <v>9665000</v>
      </c>
      <c r="E1463" s="82">
        <v>9650000</v>
      </c>
      <c r="F1463" s="82">
        <v>9690000</v>
      </c>
      <c r="G1463" s="82">
        <v>9665000</v>
      </c>
      <c r="I1463" s="97">
        <v>0</v>
      </c>
      <c r="J1463" s="97">
        <v>0</v>
      </c>
      <c r="K1463" s="97">
        <v>0</v>
      </c>
      <c r="M1463" s="7">
        <f t="shared" si="243"/>
        <v>0</v>
      </c>
      <c r="N1463" s="7">
        <f t="shared" si="252"/>
        <v>0</v>
      </c>
      <c r="O1463" s="7">
        <f t="shared" si="251"/>
        <v>35000</v>
      </c>
      <c r="P1463" s="99">
        <f t="shared" si="244"/>
        <v>3.6344755970924196E-3</v>
      </c>
      <c r="Q1463" s="99">
        <f t="shared" si="253"/>
        <v>8.658735515052968E-3</v>
      </c>
      <c r="S1463" s="7">
        <f t="shared" si="245"/>
        <v>10631500</v>
      </c>
      <c r="T1463" s="7">
        <f t="shared" si="246"/>
        <v>3221666.6666666665</v>
      </c>
      <c r="U1463" s="7">
        <f t="shared" si="247"/>
        <v>10095000</v>
      </c>
      <c r="V1463" s="7">
        <f t="shared" si="248"/>
        <v>0</v>
      </c>
      <c r="W1463" s="7">
        <f t="shared" si="249"/>
        <v>0</v>
      </c>
      <c r="X1463" s="7">
        <f t="shared" si="250"/>
        <v>0</v>
      </c>
    </row>
    <row r="1464" spans="1:24">
      <c r="A1464">
        <v>1463</v>
      </c>
      <c r="B1464" s="96" t="s">
        <v>2140</v>
      </c>
      <c r="C1464" s="95">
        <v>42110</v>
      </c>
      <c r="D1464" s="82">
        <v>9690000</v>
      </c>
      <c r="E1464" s="82">
        <v>9680000</v>
      </c>
      <c r="F1464" s="82">
        <v>9720000</v>
      </c>
      <c r="G1464" s="82">
        <v>9690000</v>
      </c>
      <c r="I1464" s="97">
        <v>0</v>
      </c>
      <c r="J1464" s="97">
        <v>0</v>
      </c>
      <c r="K1464" s="97">
        <v>0</v>
      </c>
      <c r="M1464" s="7">
        <f t="shared" si="243"/>
        <v>0</v>
      </c>
      <c r="N1464" s="7">
        <f t="shared" si="252"/>
        <v>0</v>
      </c>
      <c r="O1464" s="7">
        <f t="shared" si="251"/>
        <v>25000</v>
      </c>
      <c r="P1464" s="99">
        <f t="shared" si="244"/>
        <v>2.5866528711846869E-3</v>
      </c>
      <c r="Q1464" s="99">
        <f t="shared" si="253"/>
        <v>1.6481692787538062E-2</v>
      </c>
      <c r="S1464" s="7">
        <f t="shared" si="245"/>
        <v>10659000</v>
      </c>
      <c r="T1464" s="7">
        <f t="shared" si="246"/>
        <v>3230000</v>
      </c>
      <c r="U1464" s="7">
        <f t="shared" si="247"/>
        <v>10130000</v>
      </c>
      <c r="V1464" s="7">
        <f t="shared" si="248"/>
        <v>0</v>
      </c>
      <c r="W1464" s="7">
        <f t="shared" si="249"/>
        <v>0</v>
      </c>
      <c r="X1464" s="7">
        <f t="shared" si="250"/>
        <v>0</v>
      </c>
    </row>
    <row r="1465" spans="1:24">
      <c r="A1465">
        <v>1464</v>
      </c>
      <c r="B1465" s="96" t="s">
        <v>2139</v>
      </c>
      <c r="C1465" s="95">
        <v>42112</v>
      </c>
      <c r="D1465" s="82">
        <v>9640000</v>
      </c>
      <c r="E1465" s="82">
        <v>9605000</v>
      </c>
      <c r="F1465" s="82">
        <v>9650000</v>
      </c>
      <c r="G1465" s="82">
        <v>9640000</v>
      </c>
      <c r="I1465" s="97">
        <v>0</v>
      </c>
      <c r="J1465" s="97">
        <v>0</v>
      </c>
      <c r="K1465" s="97">
        <v>0</v>
      </c>
      <c r="M1465" s="7">
        <f t="shared" si="243"/>
        <v>0</v>
      </c>
      <c r="N1465" s="7">
        <f t="shared" si="252"/>
        <v>0</v>
      </c>
      <c r="O1465" s="7">
        <f t="shared" si="251"/>
        <v>-50000</v>
      </c>
      <c r="P1465" s="99">
        <f t="shared" si="244"/>
        <v>-5.1599587203302374E-3</v>
      </c>
      <c r="Q1465" s="99">
        <f t="shared" si="253"/>
        <v>-3.0136732687220504E-3</v>
      </c>
      <c r="S1465" s="7">
        <f t="shared" si="245"/>
        <v>10604000</v>
      </c>
      <c r="T1465" s="7">
        <f t="shared" si="246"/>
        <v>3213333.3333333335</v>
      </c>
      <c r="U1465" s="7">
        <f t="shared" si="247"/>
        <v>10115000</v>
      </c>
      <c r="V1465" s="7">
        <f t="shared" si="248"/>
        <v>0</v>
      </c>
      <c r="W1465" s="7">
        <f t="shared" si="249"/>
        <v>0</v>
      </c>
      <c r="X1465" s="7">
        <f t="shared" si="250"/>
        <v>0</v>
      </c>
    </row>
    <row r="1466" spans="1:24">
      <c r="A1466">
        <v>1465</v>
      </c>
      <c r="B1466" s="96" t="s">
        <v>2138</v>
      </c>
      <c r="C1466" s="95">
        <v>42113</v>
      </c>
      <c r="D1466" s="82">
        <v>9705000</v>
      </c>
      <c r="E1466" s="82">
        <v>9670000</v>
      </c>
      <c r="F1466" s="82">
        <v>9715000</v>
      </c>
      <c r="G1466" s="82">
        <v>9705000</v>
      </c>
      <c r="I1466" s="98">
        <v>0</v>
      </c>
      <c r="J1466" s="98">
        <v>0</v>
      </c>
      <c r="K1466" s="98">
        <v>0</v>
      </c>
      <c r="M1466" s="7">
        <f t="shared" si="243"/>
        <v>0</v>
      </c>
      <c r="N1466" s="7">
        <f t="shared" si="252"/>
        <v>0</v>
      </c>
      <c r="O1466" s="7">
        <f t="shared" si="251"/>
        <v>65000</v>
      </c>
      <c r="P1466" s="99">
        <f t="shared" si="244"/>
        <v>6.7427385892116186E-3</v>
      </c>
      <c r="Q1466" s="99">
        <f t="shared" si="253"/>
        <v>-1.3317664910862989E-2</v>
      </c>
      <c r="S1466" s="7">
        <f t="shared" si="245"/>
        <v>10675500</v>
      </c>
      <c r="T1466" s="7">
        <f t="shared" si="246"/>
        <v>3235000</v>
      </c>
      <c r="U1466" s="7">
        <f t="shared" si="247"/>
        <v>10085000</v>
      </c>
      <c r="V1466" s="7">
        <f t="shared" si="248"/>
        <v>0</v>
      </c>
      <c r="W1466" s="7">
        <f t="shared" si="249"/>
        <v>0</v>
      </c>
      <c r="X1466" s="7">
        <f t="shared" si="250"/>
        <v>0</v>
      </c>
    </row>
    <row r="1467" spans="1:24">
      <c r="A1467">
        <v>1466</v>
      </c>
      <c r="B1467" s="96" t="s">
        <v>2137</v>
      </c>
      <c r="C1467" s="95">
        <v>42114</v>
      </c>
      <c r="D1467" s="82">
        <v>9630000</v>
      </c>
      <c r="E1467" s="82">
        <v>9630000</v>
      </c>
      <c r="F1467" s="82">
        <v>9695000</v>
      </c>
      <c r="G1467" s="82">
        <v>9630000</v>
      </c>
      <c r="I1467" s="82">
        <f>G1467*1.1</f>
        <v>10593000</v>
      </c>
      <c r="J1467" s="82">
        <f>G1467/3</f>
        <v>3210000</v>
      </c>
      <c r="K1467" s="7">
        <f>G1735</f>
        <v>10140000</v>
      </c>
      <c r="L1467" s="7">
        <f>K1467-I1467</f>
        <v>-453000</v>
      </c>
      <c r="M1467" s="7">
        <f t="shared" si="243"/>
        <v>401250</v>
      </c>
      <c r="N1467" s="7">
        <f t="shared" si="252"/>
        <v>-51750</v>
      </c>
      <c r="O1467" s="7">
        <f t="shared" si="251"/>
        <v>-75000</v>
      </c>
      <c r="P1467" s="99">
        <f t="shared" si="244"/>
        <v>-7.7279752704791345E-3</v>
      </c>
      <c r="Q1467" s="99">
        <f t="shared" si="253"/>
        <v>-9.4544832779261834E-4</v>
      </c>
      <c r="R1467">
        <v>1</v>
      </c>
      <c r="S1467" s="7">
        <f t="shared" si="245"/>
        <v>10593000</v>
      </c>
      <c r="T1467" s="7">
        <f t="shared" si="246"/>
        <v>3210000</v>
      </c>
      <c r="U1467" s="7">
        <f t="shared" si="247"/>
        <v>10140000</v>
      </c>
      <c r="V1467" s="7">
        <f t="shared" si="248"/>
        <v>-453000</v>
      </c>
      <c r="W1467" s="7">
        <f t="shared" si="249"/>
        <v>401250</v>
      </c>
      <c r="X1467" s="7">
        <f t="shared" si="250"/>
        <v>-51750</v>
      </c>
    </row>
    <row r="1468" spans="1:24">
      <c r="A1468">
        <v>1467</v>
      </c>
      <c r="B1468" s="96" t="s">
        <v>2136</v>
      </c>
      <c r="C1468" s="95">
        <v>42115</v>
      </c>
      <c r="D1468" s="82">
        <v>9630000</v>
      </c>
      <c r="E1468" s="82">
        <v>9620000</v>
      </c>
      <c r="F1468" s="82">
        <v>9645000</v>
      </c>
      <c r="G1468" s="82">
        <v>9630000</v>
      </c>
      <c r="I1468" s="97">
        <v>0</v>
      </c>
      <c r="J1468" s="97">
        <v>0</v>
      </c>
      <c r="K1468" s="97">
        <v>0</v>
      </c>
      <c r="M1468" s="7">
        <f t="shared" si="243"/>
        <v>0</v>
      </c>
      <c r="N1468" s="7">
        <f t="shared" si="252"/>
        <v>0</v>
      </c>
      <c r="O1468" s="7">
        <f t="shared" si="251"/>
        <v>0</v>
      </c>
      <c r="P1468" s="99">
        <f t="shared" si="244"/>
        <v>0</v>
      </c>
      <c r="Q1468" s="99">
        <f t="shared" si="253"/>
        <v>7.5933066679353262E-5</v>
      </c>
      <c r="S1468" s="7">
        <f t="shared" si="245"/>
        <v>10593000</v>
      </c>
      <c r="T1468" s="7">
        <f t="shared" si="246"/>
        <v>3210000</v>
      </c>
      <c r="U1468" s="7">
        <f t="shared" si="247"/>
        <v>10125000</v>
      </c>
      <c r="V1468" s="7">
        <f t="shared" si="248"/>
        <v>0</v>
      </c>
      <c r="W1468" s="7">
        <f t="shared" si="249"/>
        <v>0</v>
      </c>
      <c r="X1468" s="7">
        <f t="shared" si="250"/>
        <v>0</v>
      </c>
    </row>
    <row r="1469" spans="1:24">
      <c r="A1469">
        <v>1468</v>
      </c>
      <c r="B1469" s="96" t="s">
        <v>2135</v>
      </c>
      <c r="C1469" s="95">
        <v>42116</v>
      </c>
      <c r="D1469" s="82">
        <v>9630000</v>
      </c>
      <c r="E1469" s="82">
        <v>9620000</v>
      </c>
      <c r="F1469" s="82">
        <v>9640000</v>
      </c>
      <c r="G1469" s="82">
        <v>9630000</v>
      </c>
      <c r="I1469" s="97">
        <v>0</v>
      </c>
      <c r="J1469" s="97">
        <v>0</v>
      </c>
      <c r="K1469" s="97">
        <v>0</v>
      </c>
      <c r="M1469" s="7">
        <f t="shared" si="243"/>
        <v>0</v>
      </c>
      <c r="N1469" s="7">
        <f t="shared" si="252"/>
        <v>0</v>
      </c>
      <c r="O1469" s="7">
        <f t="shared" si="251"/>
        <v>0</v>
      </c>
      <c r="P1469" s="99">
        <f t="shared" si="244"/>
        <v>0</v>
      </c>
      <c r="Q1469" s="99">
        <f t="shared" si="253"/>
        <v>-3.5585425304130664E-3</v>
      </c>
      <c r="S1469" s="7">
        <f t="shared" si="245"/>
        <v>10593000</v>
      </c>
      <c r="T1469" s="7">
        <f t="shared" si="246"/>
        <v>3210000</v>
      </c>
      <c r="U1469" s="7">
        <f t="shared" si="247"/>
        <v>10135000</v>
      </c>
      <c r="V1469" s="7">
        <f t="shared" si="248"/>
        <v>0</v>
      </c>
      <c r="W1469" s="7">
        <f t="shared" si="249"/>
        <v>0</v>
      </c>
      <c r="X1469" s="7">
        <f t="shared" si="250"/>
        <v>0</v>
      </c>
    </row>
    <row r="1470" spans="1:24">
      <c r="A1470">
        <v>1469</v>
      </c>
      <c r="B1470" s="96" t="s">
        <v>2134</v>
      </c>
      <c r="C1470" s="95">
        <v>42117</v>
      </c>
      <c r="D1470" s="82">
        <v>9560000</v>
      </c>
      <c r="E1470" s="82">
        <v>9540000</v>
      </c>
      <c r="F1470" s="82">
        <v>9575000</v>
      </c>
      <c r="G1470" s="82">
        <v>9560000</v>
      </c>
      <c r="I1470" s="97">
        <v>0</v>
      </c>
      <c r="J1470" s="97">
        <v>0</v>
      </c>
      <c r="K1470" s="97">
        <v>0</v>
      </c>
      <c r="M1470" s="7">
        <f t="shared" si="243"/>
        <v>0</v>
      </c>
      <c r="N1470" s="7">
        <f t="shared" si="252"/>
        <v>0</v>
      </c>
      <c r="O1470" s="7">
        <f t="shared" si="251"/>
        <v>-70000</v>
      </c>
      <c r="P1470" s="99">
        <f t="shared" si="244"/>
        <v>-7.2689511941848393E-3</v>
      </c>
      <c r="Q1470" s="99">
        <f t="shared" si="253"/>
        <v>-6.1451954015977533E-3</v>
      </c>
      <c r="S1470" s="7">
        <f t="shared" si="245"/>
        <v>10516000</v>
      </c>
      <c r="T1470" s="7">
        <f t="shared" si="246"/>
        <v>3186666.6666666665</v>
      </c>
      <c r="U1470" s="7">
        <f t="shared" si="247"/>
        <v>10105000</v>
      </c>
      <c r="V1470" s="7">
        <f t="shared" si="248"/>
        <v>0</v>
      </c>
      <c r="W1470" s="7">
        <f t="shared" si="249"/>
        <v>0</v>
      </c>
      <c r="X1470" s="7">
        <f t="shared" si="250"/>
        <v>0</v>
      </c>
    </row>
    <row r="1471" spans="1:24">
      <c r="A1471">
        <v>1470</v>
      </c>
      <c r="B1471" s="96" t="s">
        <v>2133</v>
      </c>
      <c r="C1471" s="95">
        <v>42119</v>
      </c>
      <c r="D1471" s="82">
        <v>9480000</v>
      </c>
      <c r="E1471" s="82">
        <v>9470000</v>
      </c>
      <c r="F1471" s="82">
        <v>9510000</v>
      </c>
      <c r="G1471" s="82">
        <v>9480000</v>
      </c>
      <c r="I1471" s="98">
        <v>0</v>
      </c>
      <c r="J1471" s="98">
        <v>0</v>
      </c>
      <c r="K1471" s="98">
        <v>0</v>
      </c>
      <c r="M1471" s="7">
        <f t="shared" si="243"/>
        <v>0</v>
      </c>
      <c r="N1471" s="7">
        <f t="shared" si="252"/>
        <v>0</v>
      </c>
      <c r="O1471" s="7">
        <f t="shared" si="251"/>
        <v>-80000</v>
      </c>
      <c r="P1471" s="99">
        <f t="shared" si="244"/>
        <v>-8.368200836820083E-3</v>
      </c>
      <c r="Q1471" s="99">
        <f t="shared" si="253"/>
        <v>-8.2541878754523561E-3</v>
      </c>
      <c r="S1471" s="7">
        <f t="shared" si="245"/>
        <v>10428000</v>
      </c>
      <c r="T1471" s="7">
        <f t="shared" si="246"/>
        <v>3160000</v>
      </c>
      <c r="U1471" s="7">
        <f t="shared" si="247"/>
        <v>10105000</v>
      </c>
      <c r="V1471" s="7">
        <f t="shared" si="248"/>
        <v>0</v>
      </c>
      <c r="W1471" s="7">
        <f t="shared" si="249"/>
        <v>0</v>
      </c>
      <c r="X1471" s="7">
        <f t="shared" si="250"/>
        <v>0</v>
      </c>
    </row>
    <row r="1472" spans="1:24">
      <c r="A1472">
        <v>1471</v>
      </c>
      <c r="B1472" s="96" t="s">
        <v>2132</v>
      </c>
      <c r="C1472" s="95">
        <v>42120</v>
      </c>
      <c r="D1472" s="82">
        <v>9520000</v>
      </c>
      <c r="E1472" s="82">
        <v>9500000</v>
      </c>
      <c r="F1472" s="82">
        <v>9535000</v>
      </c>
      <c r="G1472" s="82">
        <v>9520000</v>
      </c>
      <c r="I1472" s="82">
        <f>G1472*1.1</f>
        <v>10472000</v>
      </c>
      <c r="J1472" s="82">
        <f>G1472/3</f>
        <v>3173333.3333333335</v>
      </c>
      <c r="K1472" s="7">
        <f>G1740</f>
        <v>10065000</v>
      </c>
      <c r="L1472" s="7">
        <f>K1472-I1472</f>
        <v>-407000</v>
      </c>
      <c r="M1472" s="7">
        <f t="shared" si="243"/>
        <v>396666.66666666674</v>
      </c>
      <c r="N1472" s="7">
        <f t="shared" si="252"/>
        <v>-10333.333333333256</v>
      </c>
      <c r="O1472" s="7">
        <f t="shared" si="251"/>
        <v>40000</v>
      </c>
      <c r="P1472" s="99">
        <f t="shared" si="244"/>
        <v>4.2194092827004216E-3</v>
      </c>
      <c r="Q1472" s="99">
        <f t="shared" si="253"/>
        <v>-2.3365127301484059E-2</v>
      </c>
      <c r="R1472">
        <v>1</v>
      </c>
      <c r="S1472" s="7">
        <f t="shared" si="245"/>
        <v>10472000</v>
      </c>
      <c r="T1472" s="7">
        <f t="shared" si="246"/>
        <v>3173333.3333333335</v>
      </c>
      <c r="U1472" s="7">
        <f t="shared" si="247"/>
        <v>10065000</v>
      </c>
      <c r="V1472" s="7">
        <f t="shared" si="248"/>
        <v>-407000</v>
      </c>
      <c r="W1472" s="7">
        <f t="shared" si="249"/>
        <v>396666.66666666674</v>
      </c>
      <c r="X1472" s="7">
        <f t="shared" si="250"/>
        <v>-10333.333333333256</v>
      </c>
    </row>
    <row r="1473" spans="1:24">
      <c r="A1473">
        <v>1472</v>
      </c>
      <c r="B1473" s="96" t="s">
        <v>2131</v>
      </c>
      <c r="C1473" s="95">
        <v>42121</v>
      </c>
      <c r="D1473" s="82">
        <v>9530000</v>
      </c>
      <c r="E1473" s="82">
        <v>9500000</v>
      </c>
      <c r="F1473" s="82">
        <v>9530000</v>
      </c>
      <c r="G1473" s="82">
        <v>9530000</v>
      </c>
      <c r="I1473" s="97">
        <v>0</v>
      </c>
      <c r="J1473" s="97">
        <v>0</v>
      </c>
      <c r="K1473" s="97">
        <v>0</v>
      </c>
      <c r="M1473" s="7">
        <f t="shared" si="243"/>
        <v>0</v>
      </c>
      <c r="N1473" s="7">
        <f t="shared" si="252"/>
        <v>0</v>
      </c>
      <c r="O1473" s="7">
        <f t="shared" si="251"/>
        <v>10000</v>
      </c>
      <c r="P1473" s="99">
        <f t="shared" si="244"/>
        <v>1.0504201680672268E-3</v>
      </c>
      <c r="Q1473" s="99">
        <f t="shared" si="253"/>
        <v>-1.14177427483045E-2</v>
      </c>
      <c r="S1473" s="7">
        <f t="shared" si="245"/>
        <v>10483000</v>
      </c>
      <c r="T1473" s="7">
        <f t="shared" si="246"/>
        <v>3176666.6666666665</v>
      </c>
      <c r="U1473" s="7">
        <f t="shared" si="247"/>
        <v>10130000</v>
      </c>
      <c r="V1473" s="7">
        <f t="shared" si="248"/>
        <v>0</v>
      </c>
      <c r="W1473" s="7">
        <f t="shared" si="249"/>
        <v>0</v>
      </c>
      <c r="X1473" s="7">
        <f t="shared" si="250"/>
        <v>0</v>
      </c>
    </row>
    <row r="1474" spans="1:24">
      <c r="A1474">
        <v>1473</v>
      </c>
      <c r="B1474" s="96" t="s">
        <v>2130</v>
      </c>
      <c r="C1474" s="95">
        <v>42122</v>
      </c>
      <c r="D1474" s="82">
        <v>9575000</v>
      </c>
      <c r="E1474" s="82">
        <v>9570000</v>
      </c>
      <c r="F1474" s="82">
        <v>9610000</v>
      </c>
      <c r="G1474" s="82">
        <v>9575000</v>
      </c>
      <c r="I1474" s="97">
        <v>0</v>
      </c>
      <c r="J1474" s="97">
        <v>0</v>
      </c>
      <c r="K1474" s="97">
        <v>0</v>
      </c>
      <c r="M1474" s="7">
        <f t="shared" ref="M1474:M1537" si="254">J1474*$AI$6/200</f>
        <v>0</v>
      </c>
      <c r="N1474" s="7">
        <f t="shared" si="252"/>
        <v>0</v>
      </c>
      <c r="O1474" s="7">
        <f t="shared" si="251"/>
        <v>45000</v>
      </c>
      <c r="P1474" s="99">
        <f t="shared" si="244"/>
        <v>4.7219307450157401E-3</v>
      </c>
      <c r="Q1474" s="99">
        <f t="shared" si="253"/>
        <v>-1.0367322580237273E-2</v>
      </c>
      <c r="S1474" s="7">
        <f t="shared" si="245"/>
        <v>10532500</v>
      </c>
      <c r="T1474" s="7">
        <f t="shared" si="246"/>
        <v>3191666.6666666665</v>
      </c>
      <c r="U1474" s="7">
        <f t="shared" si="247"/>
        <v>10130000</v>
      </c>
      <c r="V1474" s="7">
        <f t="shared" si="248"/>
        <v>0</v>
      </c>
      <c r="W1474" s="7">
        <f t="shared" si="249"/>
        <v>0</v>
      </c>
      <c r="X1474" s="7">
        <f t="shared" si="250"/>
        <v>0</v>
      </c>
    </row>
    <row r="1475" spans="1:24">
      <c r="A1475">
        <v>1474</v>
      </c>
      <c r="B1475" s="96" t="s">
        <v>2129</v>
      </c>
      <c r="C1475" s="95">
        <v>42123</v>
      </c>
      <c r="D1475" s="82">
        <v>9570000</v>
      </c>
      <c r="E1475" s="82">
        <v>9570000</v>
      </c>
      <c r="F1475" s="82">
        <v>9600000</v>
      </c>
      <c r="G1475" s="82">
        <v>9570000</v>
      </c>
      <c r="I1475" s="97">
        <v>0</v>
      </c>
      <c r="J1475" s="97">
        <v>0</v>
      </c>
      <c r="K1475" s="97">
        <v>0</v>
      </c>
      <c r="M1475" s="7">
        <f t="shared" si="254"/>
        <v>0</v>
      </c>
      <c r="N1475" s="7">
        <f t="shared" si="252"/>
        <v>0</v>
      </c>
      <c r="O1475" s="7">
        <f t="shared" si="251"/>
        <v>-5000</v>
      </c>
      <c r="P1475" s="99">
        <f t="shared" ref="P1475:P1538" si="255">O1475/G1474</f>
        <v>-5.2219321148825064E-4</v>
      </c>
      <c r="Q1475" s="99">
        <f t="shared" si="253"/>
        <v>-5.645391835221533E-3</v>
      </c>
      <c r="S1475" s="7">
        <f t="shared" ref="S1475:S1538" si="256">G1475*1.1</f>
        <v>10527000</v>
      </c>
      <c r="T1475" s="7">
        <f t="shared" ref="T1475:T1538" si="257">G1475/3</f>
        <v>3190000</v>
      </c>
      <c r="U1475" s="7">
        <f t="shared" ref="U1475:U1538" si="258">G1743</f>
        <v>10150000</v>
      </c>
      <c r="V1475" s="7">
        <f t="shared" ref="V1475:V1538" si="259">(U1475-S1475)*R1475</f>
        <v>0</v>
      </c>
      <c r="W1475" s="7">
        <f t="shared" ref="W1475:W1538" si="260">(T1475*$AI$6/200)*R1475</f>
        <v>0</v>
      </c>
      <c r="X1475" s="7">
        <f t="shared" ref="X1475:X1538" si="261">V1475+W1475</f>
        <v>0</v>
      </c>
    </row>
    <row r="1476" spans="1:24">
      <c r="A1476">
        <v>1475</v>
      </c>
      <c r="B1476" s="96" t="s">
        <v>2128</v>
      </c>
      <c r="C1476" s="95">
        <v>42124</v>
      </c>
      <c r="D1476" s="82">
        <v>9580000</v>
      </c>
      <c r="E1476" s="82">
        <v>9570000</v>
      </c>
      <c r="F1476" s="82">
        <v>9585000</v>
      </c>
      <c r="G1476" s="82">
        <v>9580000</v>
      </c>
      <c r="I1476" s="98">
        <v>0</v>
      </c>
      <c r="J1476" s="98">
        <v>0</v>
      </c>
      <c r="K1476" s="98">
        <v>0</v>
      </c>
      <c r="M1476" s="7">
        <f t="shared" si="254"/>
        <v>0</v>
      </c>
      <c r="N1476" s="7">
        <f t="shared" si="252"/>
        <v>0</v>
      </c>
      <c r="O1476" s="7">
        <f t="shared" ref="O1476:O1539" si="262">G1476-G1475</f>
        <v>10000</v>
      </c>
      <c r="P1476" s="99">
        <f t="shared" si="255"/>
        <v>1.0449320794148381E-3</v>
      </c>
      <c r="Q1476" s="99">
        <f t="shared" si="253"/>
        <v>1.1013661474750546E-3</v>
      </c>
      <c r="S1476" s="7">
        <f t="shared" si="256"/>
        <v>10538000</v>
      </c>
      <c r="T1476" s="7">
        <f t="shared" si="257"/>
        <v>3193333.3333333335</v>
      </c>
      <c r="U1476" s="7">
        <f t="shared" si="258"/>
        <v>10050000</v>
      </c>
      <c r="V1476" s="7">
        <f t="shared" si="259"/>
        <v>0</v>
      </c>
      <c r="W1476" s="7">
        <f t="shared" si="260"/>
        <v>0</v>
      </c>
      <c r="X1476" s="7">
        <f t="shared" si="261"/>
        <v>0</v>
      </c>
    </row>
    <row r="1477" spans="1:24">
      <c r="A1477">
        <v>1476</v>
      </c>
      <c r="B1477" s="96" t="s">
        <v>2127</v>
      </c>
      <c r="C1477" s="95">
        <v>42126</v>
      </c>
      <c r="D1477" s="82">
        <v>9530000</v>
      </c>
      <c r="E1477" s="82">
        <v>9490000</v>
      </c>
      <c r="F1477" s="82">
        <v>9545000</v>
      </c>
      <c r="G1477" s="82">
        <v>9530000</v>
      </c>
      <c r="I1477" s="82">
        <f>G1477*1.1</f>
        <v>10483000</v>
      </c>
      <c r="J1477" s="82">
        <f>G1477/3</f>
        <v>3176666.6666666665</v>
      </c>
      <c r="K1477" s="7">
        <f>G1745</f>
        <v>10070000</v>
      </c>
      <c r="L1477" s="7">
        <f>K1477-I1477</f>
        <v>-413000</v>
      </c>
      <c r="M1477" s="7">
        <f t="shared" si="254"/>
        <v>397083.33333333326</v>
      </c>
      <c r="N1477" s="7">
        <f t="shared" si="252"/>
        <v>-15916.666666666744</v>
      </c>
      <c r="O1477" s="7">
        <f t="shared" si="262"/>
        <v>-50000</v>
      </c>
      <c r="P1477" s="99">
        <f t="shared" si="255"/>
        <v>-5.2192066805845511E-3</v>
      </c>
      <c r="Q1477" s="99">
        <f t="shared" si="253"/>
        <v>1.0514499063709975E-2</v>
      </c>
      <c r="R1477">
        <v>1</v>
      </c>
      <c r="S1477" s="7">
        <f t="shared" si="256"/>
        <v>10483000</v>
      </c>
      <c r="T1477" s="7">
        <f t="shared" si="257"/>
        <v>3176666.6666666665</v>
      </c>
      <c r="U1477" s="7">
        <f t="shared" si="258"/>
        <v>10070000</v>
      </c>
      <c r="V1477" s="7">
        <f t="shared" si="259"/>
        <v>-413000</v>
      </c>
      <c r="W1477" s="7">
        <f t="shared" si="260"/>
        <v>397083.33333333326</v>
      </c>
      <c r="X1477" s="7">
        <f t="shared" si="261"/>
        <v>-15916.666666666744</v>
      </c>
    </row>
    <row r="1478" spans="1:24">
      <c r="A1478">
        <v>1477</v>
      </c>
      <c r="B1478" s="96" t="s">
        <v>2126</v>
      </c>
      <c r="C1478" s="95">
        <v>42127</v>
      </c>
      <c r="D1478" s="82">
        <v>9480000</v>
      </c>
      <c r="E1478" s="82">
        <v>9470000</v>
      </c>
      <c r="F1478" s="82">
        <v>9490000</v>
      </c>
      <c r="G1478" s="82">
        <v>9480000</v>
      </c>
      <c r="I1478" s="97">
        <v>0</v>
      </c>
      <c r="J1478" s="97">
        <v>0</v>
      </c>
      <c r="K1478" s="97">
        <v>0</v>
      </c>
      <c r="M1478" s="7">
        <f t="shared" si="254"/>
        <v>0</v>
      </c>
      <c r="N1478" s="7">
        <f t="shared" si="252"/>
        <v>0</v>
      </c>
      <c r="O1478" s="7">
        <f t="shared" si="262"/>
        <v>-50000</v>
      </c>
      <c r="P1478" s="99">
        <f t="shared" si="255"/>
        <v>-5.246589716684155E-3</v>
      </c>
      <c r="Q1478" s="99">
        <f t="shared" si="253"/>
        <v>1.0758831004250031E-3</v>
      </c>
      <c r="S1478" s="7">
        <f t="shared" si="256"/>
        <v>10428000</v>
      </c>
      <c r="T1478" s="7">
        <f t="shared" si="257"/>
        <v>3160000</v>
      </c>
      <c r="U1478" s="7">
        <f t="shared" si="258"/>
        <v>10090000</v>
      </c>
      <c r="V1478" s="7">
        <f t="shared" si="259"/>
        <v>0</v>
      </c>
      <c r="W1478" s="7">
        <f t="shared" si="260"/>
        <v>0</v>
      </c>
      <c r="X1478" s="7">
        <f t="shared" si="261"/>
        <v>0</v>
      </c>
    </row>
    <row r="1479" spans="1:24">
      <c r="A1479">
        <v>1478</v>
      </c>
      <c r="B1479" s="96" t="s">
        <v>2125</v>
      </c>
      <c r="C1479" s="95">
        <v>42128</v>
      </c>
      <c r="D1479" s="82">
        <v>9465000</v>
      </c>
      <c r="E1479" s="82">
        <v>9440000</v>
      </c>
      <c r="F1479" s="82">
        <v>9510000</v>
      </c>
      <c r="G1479" s="82">
        <v>9465000</v>
      </c>
      <c r="I1479" s="97">
        <v>0</v>
      </c>
      <c r="J1479" s="97">
        <v>0</v>
      </c>
      <c r="K1479" s="97">
        <v>0</v>
      </c>
      <c r="M1479" s="7">
        <f t="shared" si="254"/>
        <v>0</v>
      </c>
      <c r="N1479" s="7">
        <f t="shared" si="252"/>
        <v>0</v>
      </c>
      <c r="O1479" s="7">
        <f t="shared" si="262"/>
        <v>-15000</v>
      </c>
      <c r="P1479" s="99">
        <f t="shared" si="255"/>
        <v>-1.5822784810126582E-3</v>
      </c>
      <c r="Q1479" s="99">
        <f t="shared" si="253"/>
        <v>-5.2211267843263786E-3</v>
      </c>
      <c r="S1479" s="7">
        <f t="shared" si="256"/>
        <v>10411500</v>
      </c>
      <c r="T1479" s="7">
        <f t="shared" si="257"/>
        <v>3155000</v>
      </c>
      <c r="U1479" s="7">
        <f t="shared" si="258"/>
        <v>10135000</v>
      </c>
      <c r="V1479" s="7">
        <f t="shared" si="259"/>
        <v>0</v>
      </c>
      <c r="W1479" s="7">
        <f t="shared" si="260"/>
        <v>0</v>
      </c>
      <c r="X1479" s="7">
        <f t="shared" si="261"/>
        <v>0</v>
      </c>
    </row>
    <row r="1480" spans="1:24">
      <c r="A1480">
        <v>1479</v>
      </c>
      <c r="B1480" s="96" t="s">
        <v>2124</v>
      </c>
      <c r="C1480" s="95">
        <v>42129</v>
      </c>
      <c r="D1480" s="82">
        <v>9445000</v>
      </c>
      <c r="E1480" s="82">
        <v>9420000</v>
      </c>
      <c r="F1480" s="82">
        <v>9450000</v>
      </c>
      <c r="G1480" s="82">
        <v>9445000</v>
      </c>
      <c r="I1480" s="97">
        <v>0</v>
      </c>
      <c r="J1480" s="97">
        <v>0</v>
      </c>
      <c r="K1480" s="97">
        <v>0</v>
      </c>
      <c r="M1480" s="7">
        <f t="shared" si="254"/>
        <v>0</v>
      </c>
      <c r="N1480" s="7">
        <f t="shared" ref="N1480:N1543" si="263">L1480+M1480</f>
        <v>0</v>
      </c>
      <c r="O1480" s="7">
        <f t="shared" si="262"/>
        <v>-20000</v>
      </c>
      <c r="P1480" s="99">
        <f t="shared" si="255"/>
        <v>-2.1130480718436345E-3</v>
      </c>
      <c r="Q1480" s="99">
        <f t="shared" ref="Q1480:Q1543" si="264">SUM(P1475:P1479)</f>
        <v>-1.1525336010354777E-2</v>
      </c>
      <c r="S1480" s="7">
        <f t="shared" si="256"/>
        <v>10389500</v>
      </c>
      <c r="T1480" s="7">
        <f t="shared" si="257"/>
        <v>3148333.3333333335</v>
      </c>
      <c r="U1480" s="7">
        <f t="shared" si="258"/>
        <v>10190000</v>
      </c>
      <c r="V1480" s="7">
        <f t="shared" si="259"/>
        <v>0</v>
      </c>
      <c r="W1480" s="7">
        <f t="shared" si="260"/>
        <v>0</v>
      </c>
      <c r="X1480" s="7">
        <f t="shared" si="261"/>
        <v>0</v>
      </c>
    </row>
    <row r="1481" spans="1:24">
      <c r="A1481">
        <v>1480</v>
      </c>
      <c r="B1481" s="96" t="s">
        <v>2123</v>
      </c>
      <c r="C1481" s="95">
        <v>42130</v>
      </c>
      <c r="D1481" s="82">
        <v>9460000</v>
      </c>
      <c r="E1481" s="82">
        <v>9450000</v>
      </c>
      <c r="F1481" s="82">
        <v>9465000</v>
      </c>
      <c r="G1481" s="82">
        <v>9460000</v>
      </c>
      <c r="I1481" s="98">
        <v>0</v>
      </c>
      <c r="J1481" s="98">
        <v>0</v>
      </c>
      <c r="K1481" s="98">
        <v>0</v>
      </c>
      <c r="M1481" s="7">
        <f t="shared" si="254"/>
        <v>0</v>
      </c>
      <c r="N1481" s="7">
        <f t="shared" si="263"/>
        <v>0</v>
      </c>
      <c r="O1481" s="7">
        <f t="shared" si="262"/>
        <v>15000</v>
      </c>
      <c r="P1481" s="99">
        <f t="shared" si="255"/>
        <v>1.5881418740074113E-3</v>
      </c>
      <c r="Q1481" s="99">
        <f t="shared" si="264"/>
        <v>-1.3116190870710162E-2</v>
      </c>
      <c r="S1481" s="7">
        <f t="shared" si="256"/>
        <v>10406000</v>
      </c>
      <c r="T1481" s="7">
        <f t="shared" si="257"/>
        <v>3153333.3333333335</v>
      </c>
      <c r="U1481" s="7">
        <f t="shared" si="258"/>
        <v>10190000</v>
      </c>
      <c r="V1481" s="7">
        <f t="shared" si="259"/>
        <v>0</v>
      </c>
      <c r="W1481" s="7">
        <f t="shared" si="260"/>
        <v>0</v>
      </c>
      <c r="X1481" s="7">
        <f t="shared" si="261"/>
        <v>0</v>
      </c>
    </row>
    <row r="1482" spans="1:24">
      <c r="A1482">
        <v>1481</v>
      </c>
      <c r="B1482" s="96" t="s">
        <v>2122</v>
      </c>
      <c r="C1482" s="95">
        <v>42131</v>
      </c>
      <c r="D1482" s="82">
        <v>9420000</v>
      </c>
      <c r="E1482" s="82">
        <v>9420000</v>
      </c>
      <c r="F1482" s="82">
        <v>9420000</v>
      </c>
      <c r="G1482" s="82">
        <v>9420000</v>
      </c>
      <c r="I1482" s="82">
        <f>G1482*1.1</f>
        <v>10362000</v>
      </c>
      <c r="J1482" s="82">
        <f>G1482/3</f>
        <v>3140000</v>
      </c>
      <c r="K1482" s="7">
        <f>G1750</f>
        <v>10200000</v>
      </c>
      <c r="L1482" s="7">
        <f>K1482-I1482</f>
        <v>-162000</v>
      </c>
      <c r="M1482" s="7">
        <f t="shared" si="254"/>
        <v>392500</v>
      </c>
      <c r="N1482" s="7">
        <f t="shared" si="263"/>
        <v>230500</v>
      </c>
      <c r="O1482" s="7">
        <f t="shared" si="262"/>
        <v>-40000</v>
      </c>
      <c r="P1482" s="99">
        <f t="shared" si="255"/>
        <v>-4.2283298097251587E-3</v>
      </c>
      <c r="Q1482" s="99">
        <f t="shared" si="264"/>
        <v>-1.2572981076117588E-2</v>
      </c>
      <c r="R1482">
        <v>1</v>
      </c>
      <c r="S1482" s="7">
        <f t="shared" si="256"/>
        <v>10362000</v>
      </c>
      <c r="T1482" s="7">
        <f t="shared" si="257"/>
        <v>3140000</v>
      </c>
      <c r="U1482" s="7">
        <f t="shared" si="258"/>
        <v>10200000</v>
      </c>
      <c r="V1482" s="7">
        <f t="shared" si="259"/>
        <v>-162000</v>
      </c>
      <c r="W1482" s="7">
        <f t="shared" si="260"/>
        <v>392500</v>
      </c>
      <c r="X1482" s="7">
        <f t="shared" si="261"/>
        <v>230500</v>
      </c>
    </row>
    <row r="1483" spans="1:24">
      <c r="A1483">
        <v>1482</v>
      </c>
      <c r="B1483" s="96" t="s">
        <v>2121</v>
      </c>
      <c r="C1483" s="95">
        <v>42133</v>
      </c>
      <c r="D1483" s="82">
        <v>9400000</v>
      </c>
      <c r="E1483" s="82">
        <v>9395000</v>
      </c>
      <c r="F1483" s="82">
        <v>9430000</v>
      </c>
      <c r="G1483" s="82">
        <v>9400000</v>
      </c>
      <c r="I1483" s="97">
        <v>0</v>
      </c>
      <c r="J1483" s="97">
        <v>0</v>
      </c>
      <c r="K1483" s="97">
        <v>0</v>
      </c>
      <c r="M1483" s="7">
        <f t="shared" si="254"/>
        <v>0</v>
      </c>
      <c r="N1483" s="7">
        <f t="shared" si="263"/>
        <v>0</v>
      </c>
      <c r="O1483" s="7">
        <f t="shared" si="262"/>
        <v>-20000</v>
      </c>
      <c r="P1483" s="99">
        <f t="shared" si="255"/>
        <v>-2.1231422505307855E-3</v>
      </c>
      <c r="Q1483" s="99">
        <f t="shared" si="264"/>
        <v>-1.1582104205258195E-2</v>
      </c>
      <c r="S1483" s="7">
        <f t="shared" si="256"/>
        <v>10340000</v>
      </c>
      <c r="T1483" s="7">
        <f t="shared" si="257"/>
        <v>3133333.3333333335</v>
      </c>
      <c r="U1483" s="7">
        <f t="shared" si="258"/>
        <v>10185000</v>
      </c>
      <c r="V1483" s="7">
        <f t="shared" si="259"/>
        <v>0</v>
      </c>
      <c r="W1483" s="7">
        <f t="shared" si="260"/>
        <v>0</v>
      </c>
      <c r="X1483" s="7">
        <f t="shared" si="261"/>
        <v>0</v>
      </c>
    </row>
    <row r="1484" spans="1:24">
      <c r="A1484">
        <v>1483</v>
      </c>
      <c r="B1484" s="96" t="s">
        <v>2120</v>
      </c>
      <c r="C1484" s="95">
        <v>42134</v>
      </c>
      <c r="D1484" s="82">
        <v>9375000</v>
      </c>
      <c r="E1484" s="82">
        <v>9375000</v>
      </c>
      <c r="F1484" s="82">
        <v>9420000</v>
      </c>
      <c r="G1484" s="82">
        <v>9375000</v>
      </c>
      <c r="I1484" s="97">
        <v>0</v>
      </c>
      <c r="J1484" s="97">
        <v>0</v>
      </c>
      <c r="K1484" s="97">
        <v>0</v>
      </c>
      <c r="M1484" s="7">
        <f t="shared" si="254"/>
        <v>0</v>
      </c>
      <c r="N1484" s="7">
        <f t="shared" si="263"/>
        <v>0</v>
      </c>
      <c r="O1484" s="7">
        <f t="shared" si="262"/>
        <v>-25000</v>
      </c>
      <c r="P1484" s="99">
        <f t="shared" si="255"/>
        <v>-2.6595744680851063E-3</v>
      </c>
      <c r="Q1484" s="99">
        <f t="shared" si="264"/>
        <v>-8.4586567391048261E-3</v>
      </c>
      <c r="S1484" s="7">
        <f t="shared" si="256"/>
        <v>10312500</v>
      </c>
      <c r="T1484" s="7">
        <f t="shared" si="257"/>
        <v>3125000</v>
      </c>
      <c r="U1484" s="7">
        <f t="shared" si="258"/>
        <v>10160000</v>
      </c>
      <c r="V1484" s="7">
        <f t="shared" si="259"/>
        <v>0</v>
      </c>
      <c r="W1484" s="7">
        <f t="shared" si="260"/>
        <v>0</v>
      </c>
      <c r="X1484" s="7">
        <f t="shared" si="261"/>
        <v>0</v>
      </c>
    </row>
    <row r="1485" spans="1:24">
      <c r="A1485">
        <v>1484</v>
      </c>
      <c r="B1485" s="96" t="s">
        <v>2119</v>
      </c>
      <c r="C1485" s="95">
        <v>42135</v>
      </c>
      <c r="D1485" s="82">
        <v>9345000</v>
      </c>
      <c r="E1485" s="82">
        <v>9340000</v>
      </c>
      <c r="F1485" s="82">
        <v>9365000</v>
      </c>
      <c r="G1485" s="82">
        <v>9345000</v>
      </c>
      <c r="I1485" s="97">
        <v>0</v>
      </c>
      <c r="J1485" s="97">
        <v>0</v>
      </c>
      <c r="K1485" s="97">
        <v>0</v>
      </c>
      <c r="M1485" s="7">
        <f t="shared" si="254"/>
        <v>0</v>
      </c>
      <c r="N1485" s="7">
        <f t="shared" si="263"/>
        <v>0</v>
      </c>
      <c r="O1485" s="7">
        <f t="shared" si="262"/>
        <v>-30000</v>
      </c>
      <c r="P1485" s="99">
        <f t="shared" si="255"/>
        <v>-3.2000000000000002E-3</v>
      </c>
      <c r="Q1485" s="99">
        <f t="shared" si="264"/>
        <v>-9.5359527261772749E-3</v>
      </c>
      <c r="S1485" s="7">
        <f t="shared" si="256"/>
        <v>10279500</v>
      </c>
      <c r="T1485" s="7">
        <f t="shared" si="257"/>
        <v>3115000</v>
      </c>
      <c r="U1485" s="7">
        <f t="shared" si="258"/>
        <v>10290000</v>
      </c>
      <c r="V1485" s="7">
        <f t="shared" si="259"/>
        <v>0</v>
      </c>
      <c r="W1485" s="7">
        <f t="shared" si="260"/>
        <v>0</v>
      </c>
      <c r="X1485" s="7">
        <f t="shared" si="261"/>
        <v>0</v>
      </c>
    </row>
    <row r="1486" spans="1:24">
      <c r="A1486">
        <v>1485</v>
      </c>
      <c r="B1486" s="96" t="s">
        <v>2118</v>
      </c>
      <c r="C1486" s="95">
        <v>42136</v>
      </c>
      <c r="D1486" s="82">
        <v>9340000</v>
      </c>
      <c r="E1486" s="82">
        <v>9295000</v>
      </c>
      <c r="F1486" s="82">
        <v>9345000</v>
      </c>
      <c r="G1486" s="82">
        <v>9340000</v>
      </c>
      <c r="I1486" s="98">
        <v>0</v>
      </c>
      <c r="J1486" s="98">
        <v>0</v>
      </c>
      <c r="K1486" s="98">
        <v>0</v>
      </c>
      <c r="M1486" s="7">
        <f t="shared" si="254"/>
        <v>0</v>
      </c>
      <c r="N1486" s="7">
        <f t="shared" si="263"/>
        <v>0</v>
      </c>
      <c r="O1486" s="7">
        <f t="shared" si="262"/>
        <v>-5000</v>
      </c>
      <c r="P1486" s="99">
        <f t="shared" si="255"/>
        <v>-5.3504547886570354E-4</v>
      </c>
      <c r="Q1486" s="99">
        <f t="shared" si="264"/>
        <v>-1.062290465433364E-2</v>
      </c>
      <c r="S1486" s="7">
        <f t="shared" si="256"/>
        <v>10274000</v>
      </c>
      <c r="T1486" s="7">
        <f t="shared" si="257"/>
        <v>3113333.3333333335</v>
      </c>
      <c r="U1486" s="7">
        <f t="shared" si="258"/>
        <v>10230000</v>
      </c>
      <c r="V1486" s="7">
        <f t="shared" si="259"/>
        <v>0</v>
      </c>
      <c r="W1486" s="7">
        <f t="shared" si="260"/>
        <v>0</v>
      </c>
      <c r="X1486" s="7">
        <f t="shared" si="261"/>
        <v>0</v>
      </c>
    </row>
    <row r="1487" spans="1:24">
      <c r="A1487">
        <v>1486</v>
      </c>
      <c r="B1487" s="96" t="s">
        <v>2117</v>
      </c>
      <c r="C1487" s="95">
        <v>42137</v>
      </c>
      <c r="D1487" s="82">
        <v>9440000</v>
      </c>
      <c r="E1487" s="82">
        <v>9360000</v>
      </c>
      <c r="F1487" s="82">
        <v>9450000</v>
      </c>
      <c r="G1487" s="82">
        <v>9440000</v>
      </c>
      <c r="I1487" s="82">
        <f>G1487*1.1</f>
        <v>10384000</v>
      </c>
      <c r="J1487" s="82">
        <f>G1487/3</f>
        <v>3146666.6666666665</v>
      </c>
      <c r="K1487" s="7">
        <f>G1755</f>
        <v>10255000</v>
      </c>
      <c r="L1487" s="7">
        <f>K1487-I1487</f>
        <v>-129000</v>
      </c>
      <c r="M1487" s="7">
        <f t="shared" si="254"/>
        <v>393333.33333333326</v>
      </c>
      <c r="N1487" s="7">
        <f t="shared" si="263"/>
        <v>264333.33333333326</v>
      </c>
      <c r="O1487" s="7">
        <f t="shared" si="262"/>
        <v>100000</v>
      </c>
      <c r="P1487" s="99">
        <f t="shared" si="255"/>
        <v>1.0706638115631691E-2</v>
      </c>
      <c r="Q1487" s="99">
        <f t="shared" si="264"/>
        <v>-1.2746092007206755E-2</v>
      </c>
      <c r="R1487">
        <v>1</v>
      </c>
      <c r="S1487" s="7">
        <f t="shared" si="256"/>
        <v>10384000</v>
      </c>
      <c r="T1487" s="7">
        <f t="shared" si="257"/>
        <v>3146666.6666666665</v>
      </c>
      <c r="U1487" s="7">
        <f t="shared" si="258"/>
        <v>10255000</v>
      </c>
      <c r="V1487" s="7">
        <f t="shared" si="259"/>
        <v>-129000</v>
      </c>
      <c r="W1487" s="7">
        <f t="shared" si="260"/>
        <v>393333.33333333326</v>
      </c>
      <c r="X1487" s="7">
        <f t="shared" si="261"/>
        <v>264333.33333333326</v>
      </c>
    </row>
    <row r="1488" spans="1:24">
      <c r="A1488">
        <v>1487</v>
      </c>
      <c r="B1488" s="96" t="s">
        <v>2116</v>
      </c>
      <c r="C1488" s="95">
        <v>42138</v>
      </c>
      <c r="D1488" s="82">
        <v>9490000</v>
      </c>
      <c r="E1488" s="82">
        <v>9455000</v>
      </c>
      <c r="F1488" s="82">
        <v>9515000</v>
      </c>
      <c r="G1488" s="82">
        <v>9490000</v>
      </c>
      <c r="I1488" s="97">
        <v>0</v>
      </c>
      <c r="J1488" s="97">
        <v>0</v>
      </c>
      <c r="K1488" s="97">
        <v>0</v>
      </c>
      <c r="M1488" s="7">
        <f t="shared" si="254"/>
        <v>0</v>
      </c>
      <c r="N1488" s="7">
        <f t="shared" si="263"/>
        <v>0</v>
      </c>
      <c r="O1488" s="7">
        <f t="shared" si="262"/>
        <v>50000</v>
      </c>
      <c r="P1488" s="99">
        <f t="shared" si="255"/>
        <v>5.2966101694915252E-3</v>
      </c>
      <c r="Q1488" s="99">
        <f t="shared" si="264"/>
        <v>2.1888759181500957E-3</v>
      </c>
      <c r="S1488" s="7">
        <f t="shared" si="256"/>
        <v>10439000</v>
      </c>
      <c r="T1488" s="7">
        <f t="shared" si="257"/>
        <v>3163333.3333333335</v>
      </c>
      <c r="U1488" s="7">
        <f t="shared" si="258"/>
        <v>10330000</v>
      </c>
      <c r="V1488" s="7">
        <f t="shared" si="259"/>
        <v>0</v>
      </c>
      <c r="W1488" s="7">
        <f t="shared" si="260"/>
        <v>0</v>
      </c>
      <c r="X1488" s="7">
        <f t="shared" si="261"/>
        <v>0</v>
      </c>
    </row>
    <row r="1489" spans="1:24">
      <c r="A1489">
        <v>1488</v>
      </c>
      <c r="B1489" s="96" t="s">
        <v>2115</v>
      </c>
      <c r="C1489" s="95">
        <v>42140</v>
      </c>
      <c r="D1489" s="82">
        <v>9490000</v>
      </c>
      <c r="E1489" s="82">
        <v>9490000</v>
      </c>
      <c r="F1489" s="82">
        <v>9505000</v>
      </c>
      <c r="G1489" s="82">
        <v>9490000</v>
      </c>
      <c r="I1489" s="97">
        <v>0</v>
      </c>
      <c r="J1489" s="97">
        <v>0</v>
      </c>
      <c r="K1489" s="97">
        <v>0</v>
      </c>
      <c r="M1489" s="7">
        <f t="shared" si="254"/>
        <v>0</v>
      </c>
      <c r="N1489" s="7">
        <f t="shared" si="263"/>
        <v>0</v>
      </c>
      <c r="O1489" s="7">
        <f t="shared" si="262"/>
        <v>0</v>
      </c>
      <c r="P1489" s="99">
        <f t="shared" si="255"/>
        <v>0</v>
      </c>
      <c r="Q1489" s="99">
        <f t="shared" si="264"/>
        <v>9.608628338172406E-3</v>
      </c>
      <c r="S1489" s="7">
        <f t="shared" si="256"/>
        <v>10439000</v>
      </c>
      <c r="T1489" s="7">
        <f t="shared" si="257"/>
        <v>3163333.3333333335</v>
      </c>
      <c r="U1489" s="7">
        <f t="shared" si="258"/>
        <v>10320000</v>
      </c>
      <c r="V1489" s="7">
        <f t="shared" si="259"/>
        <v>0</v>
      </c>
      <c r="W1489" s="7">
        <f t="shared" si="260"/>
        <v>0</v>
      </c>
      <c r="X1489" s="7">
        <f t="shared" si="261"/>
        <v>0</v>
      </c>
    </row>
    <row r="1490" spans="1:24">
      <c r="A1490">
        <v>1489</v>
      </c>
      <c r="B1490" s="96" t="s">
        <v>2114</v>
      </c>
      <c r="C1490" s="95">
        <v>42141</v>
      </c>
      <c r="D1490" s="82">
        <v>9500000</v>
      </c>
      <c r="E1490" s="82">
        <v>9500000</v>
      </c>
      <c r="F1490" s="82">
        <v>9515000</v>
      </c>
      <c r="G1490" s="82">
        <v>9500000</v>
      </c>
      <c r="I1490" s="97">
        <v>0</v>
      </c>
      <c r="J1490" s="97">
        <v>0</v>
      </c>
      <c r="K1490" s="97">
        <v>0</v>
      </c>
      <c r="M1490" s="7">
        <f t="shared" si="254"/>
        <v>0</v>
      </c>
      <c r="N1490" s="7">
        <f t="shared" si="263"/>
        <v>0</v>
      </c>
      <c r="O1490" s="7">
        <f t="shared" si="262"/>
        <v>10000</v>
      </c>
      <c r="P1490" s="99">
        <f t="shared" si="255"/>
        <v>1.053740779768177E-3</v>
      </c>
      <c r="Q1490" s="99">
        <f t="shared" si="264"/>
        <v>1.2268202806257513E-2</v>
      </c>
      <c r="S1490" s="7">
        <f t="shared" si="256"/>
        <v>10450000</v>
      </c>
      <c r="T1490" s="7">
        <f t="shared" si="257"/>
        <v>3166666.6666666665</v>
      </c>
      <c r="U1490" s="7">
        <f t="shared" si="258"/>
        <v>10425000</v>
      </c>
      <c r="V1490" s="7">
        <f t="shared" si="259"/>
        <v>0</v>
      </c>
      <c r="W1490" s="7">
        <f t="shared" si="260"/>
        <v>0</v>
      </c>
      <c r="X1490" s="7">
        <f t="shared" si="261"/>
        <v>0</v>
      </c>
    </row>
    <row r="1491" spans="1:24">
      <c r="A1491">
        <v>1490</v>
      </c>
      <c r="B1491" s="96" t="s">
        <v>2113</v>
      </c>
      <c r="C1491" s="95">
        <v>42142</v>
      </c>
      <c r="D1491" s="82">
        <v>9480000</v>
      </c>
      <c r="E1491" s="82">
        <v>9478000</v>
      </c>
      <c r="F1491" s="82">
        <v>9535000</v>
      </c>
      <c r="G1491" s="82">
        <v>9480000</v>
      </c>
      <c r="I1491" s="98">
        <v>0</v>
      </c>
      <c r="J1491" s="98">
        <v>0</v>
      </c>
      <c r="K1491" s="98">
        <v>0</v>
      </c>
      <c r="M1491" s="7">
        <f t="shared" si="254"/>
        <v>0</v>
      </c>
      <c r="N1491" s="7">
        <f t="shared" si="263"/>
        <v>0</v>
      </c>
      <c r="O1491" s="7">
        <f t="shared" si="262"/>
        <v>-20000</v>
      </c>
      <c r="P1491" s="99">
        <f t="shared" si="255"/>
        <v>-2.1052631578947368E-3</v>
      </c>
      <c r="Q1491" s="99">
        <f t="shared" si="264"/>
        <v>1.6521943586025691E-2</v>
      </c>
      <c r="S1491" s="7">
        <f t="shared" si="256"/>
        <v>10428000</v>
      </c>
      <c r="T1491" s="7">
        <f t="shared" si="257"/>
        <v>3160000</v>
      </c>
      <c r="U1491" s="7">
        <f t="shared" si="258"/>
        <v>10390000</v>
      </c>
      <c r="V1491" s="7">
        <f t="shared" si="259"/>
        <v>0</v>
      </c>
      <c r="W1491" s="7">
        <f t="shared" si="260"/>
        <v>0</v>
      </c>
      <c r="X1491" s="7">
        <f t="shared" si="261"/>
        <v>0</v>
      </c>
    </row>
    <row r="1492" spans="1:24">
      <c r="A1492">
        <v>1491</v>
      </c>
      <c r="B1492" s="96" t="s">
        <v>2112</v>
      </c>
      <c r="C1492" s="95">
        <v>42143</v>
      </c>
      <c r="D1492" s="82">
        <v>9410000</v>
      </c>
      <c r="E1492" s="82">
        <v>9400000</v>
      </c>
      <c r="F1492" s="82">
        <v>9430000</v>
      </c>
      <c r="G1492" s="82">
        <v>9410000</v>
      </c>
      <c r="I1492" s="82">
        <f>G1492*1.1</f>
        <v>10351000</v>
      </c>
      <c r="J1492" s="82">
        <f>G1492/3</f>
        <v>3136666.6666666665</v>
      </c>
      <c r="K1492" s="7">
        <f>G1760</f>
        <v>10330000</v>
      </c>
      <c r="L1492" s="7">
        <f>K1492-I1492</f>
        <v>-21000</v>
      </c>
      <c r="M1492" s="7">
        <f t="shared" si="254"/>
        <v>392083.33333333326</v>
      </c>
      <c r="N1492" s="7">
        <f t="shared" si="263"/>
        <v>371083.33333333326</v>
      </c>
      <c r="O1492" s="7">
        <f t="shared" si="262"/>
        <v>-70000</v>
      </c>
      <c r="P1492" s="99">
        <f t="shared" si="255"/>
        <v>-7.3839662447257384E-3</v>
      </c>
      <c r="Q1492" s="99">
        <f t="shared" si="264"/>
        <v>1.4951725906996656E-2</v>
      </c>
      <c r="R1492">
        <v>1</v>
      </c>
      <c r="S1492" s="7">
        <f t="shared" si="256"/>
        <v>10351000</v>
      </c>
      <c r="T1492" s="7">
        <f t="shared" si="257"/>
        <v>3136666.6666666665</v>
      </c>
      <c r="U1492" s="7">
        <f t="shared" si="258"/>
        <v>10330000</v>
      </c>
      <c r="V1492" s="7">
        <f t="shared" si="259"/>
        <v>-21000</v>
      </c>
      <c r="W1492" s="7">
        <f t="shared" si="260"/>
        <v>392083.33333333326</v>
      </c>
      <c r="X1492" s="7">
        <f t="shared" si="261"/>
        <v>371083.33333333326</v>
      </c>
    </row>
    <row r="1493" spans="1:24">
      <c r="A1493">
        <v>1492</v>
      </c>
      <c r="B1493" s="96" t="s">
        <v>2111</v>
      </c>
      <c r="C1493" s="95">
        <v>42147</v>
      </c>
      <c r="D1493" s="82">
        <v>9330000</v>
      </c>
      <c r="E1493" s="82">
        <v>9325000</v>
      </c>
      <c r="F1493" s="82">
        <v>9365000</v>
      </c>
      <c r="G1493" s="82">
        <v>9330000</v>
      </c>
      <c r="I1493" s="97">
        <v>0</v>
      </c>
      <c r="J1493" s="97">
        <v>0</v>
      </c>
      <c r="K1493" s="97">
        <v>0</v>
      </c>
      <c r="M1493" s="7">
        <f t="shared" si="254"/>
        <v>0</v>
      </c>
      <c r="N1493" s="7">
        <f t="shared" si="263"/>
        <v>0</v>
      </c>
      <c r="O1493" s="7">
        <f t="shared" si="262"/>
        <v>-80000</v>
      </c>
      <c r="P1493" s="99">
        <f t="shared" si="255"/>
        <v>-8.5015940488841653E-3</v>
      </c>
      <c r="Q1493" s="99">
        <f t="shared" si="264"/>
        <v>-3.1388784533607729E-3</v>
      </c>
      <c r="S1493" s="7">
        <f t="shared" si="256"/>
        <v>10263000</v>
      </c>
      <c r="T1493" s="7">
        <f t="shared" si="257"/>
        <v>3110000</v>
      </c>
      <c r="U1493" s="7">
        <f t="shared" si="258"/>
        <v>10225000</v>
      </c>
      <c r="V1493" s="7">
        <f t="shared" si="259"/>
        <v>0</v>
      </c>
      <c r="W1493" s="7">
        <f t="shared" si="260"/>
        <v>0</v>
      </c>
      <c r="X1493" s="7">
        <f t="shared" si="261"/>
        <v>0</v>
      </c>
    </row>
    <row r="1494" spans="1:24">
      <c r="A1494">
        <v>1493</v>
      </c>
      <c r="B1494" s="96" t="s">
        <v>2110</v>
      </c>
      <c r="C1494" s="95">
        <v>42144</v>
      </c>
      <c r="D1494" s="82">
        <v>9410000</v>
      </c>
      <c r="E1494" s="82">
        <v>9360000</v>
      </c>
      <c r="F1494" s="82">
        <v>9410000</v>
      </c>
      <c r="G1494" s="82">
        <v>9410000</v>
      </c>
      <c r="I1494" s="97">
        <v>0</v>
      </c>
      <c r="J1494" s="97">
        <v>0</v>
      </c>
      <c r="K1494" s="97">
        <v>0</v>
      </c>
      <c r="M1494" s="7">
        <f t="shared" si="254"/>
        <v>0</v>
      </c>
      <c r="N1494" s="7">
        <f t="shared" si="263"/>
        <v>0</v>
      </c>
      <c r="O1494" s="7">
        <f t="shared" si="262"/>
        <v>80000</v>
      </c>
      <c r="P1494" s="99">
        <f t="shared" si="255"/>
        <v>8.5744908896034297E-3</v>
      </c>
      <c r="Q1494" s="99">
        <f t="shared" si="264"/>
        <v>-1.6937082671736464E-2</v>
      </c>
      <c r="S1494" s="7">
        <f t="shared" si="256"/>
        <v>10351000</v>
      </c>
      <c r="T1494" s="7">
        <f t="shared" si="257"/>
        <v>3136666.6666666665</v>
      </c>
      <c r="U1494" s="7">
        <f t="shared" si="258"/>
        <v>10260000</v>
      </c>
      <c r="V1494" s="7">
        <f t="shared" si="259"/>
        <v>0</v>
      </c>
      <c r="W1494" s="7">
        <f t="shared" si="260"/>
        <v>0</v>
      </c>
      <c r="X1494" s="7">
        <f t="shared" si="261"/>
        <v>0</v>
      </c>
    </row>
    <row r="1495" spans="1:24">
      <c r="A1495">
        <v>1494</v>
      </c>
      <c r="B1495" s="96" t="s">
        <v>2109</v>
      </c>
      <c r="C1495" s="95">
        <v>42148</v>
      </c>
      <c r="D1495" s="82">
        <v>9345000</v>
      </c>
      <c r="E1495" s="82">
        <v>9310000</v>
      </c>
      <c r="F1495" s="82">
        <v>9350000</v>
      </c>
      <c r="G1495" s="82">
        <v>9345000</v>
      </c>
      <c r="I1495" s="97">
        <v>0</v>
      </c>
      <c r="J1495" s="97">
        <v>0</v>
      </c>
      <c r="K1495" s="97">
        <v>0</v>
      </c>
      <c r="M1495" s="7">
        <f t="shared" si="254"/>
        <v>0</v>
      </c>
      <c r="N1495" s="7">
        <f t="shared" si="263"/>
        <v>0</v>
      </c>
      <c r="O1495" s="7">
        <f t="shared" si="262"/>
        <v>-65000</v>
      </c>
      <c r="P1495" s="99">
        <f t="shared" si="255"/>
        <v>-6.9075451647183849E-3</v>
      </c>
      <c r="Q1495" s="99">
        <f t="shared" si="264"/>
        <v>-8.3625917821330345E-3</v>
      </c>
      <c r="S1495" s="7">
        <f t="shared" si="256"/>
        <v>10279500</v>
      </c>
      <c r="T1495" s="7">
        <f t="shared" si="257"/>
        <v>3115000</v>
      </c>
      <c r="U1495" s="7">
        <f t="shared" si="258"/>
        <v>10275000</v>
      </c>
      <c r="V1495" s="7">
        <f t="shared" si="259"/>
        <v>0</v>
      </c>
      <c r="W1495" s="7">
        <f t="shared" si="260"/>
        <v>0</v>
      </c>
      <c r="X1495" s="7">
        <f t="shared" si="261"/>
        <v>0</v>
      </c>
    </row>
    <row r="1496" spans="1:24">
      <c r="A1496">
        <v>1495</v>
      </c>
      <c r="B1496" s="96" t="s">
        <v>2108</v>
      </c>
      <c r="C1496" s="95">
        <v>42145</v>
      </c>
      <c r="D1496" s="82">
        <v>9375000</v>
      </c>
      <c r="E1496" s="82">
        <v>9370000</v>
      </c>
      <c r="F1496" s="82">
        <v>9385000</v>
      </c>
      <c r="G1496" s="82">
        <v>9375000</v>
      </c>
      <c r="I1496" s="98">
        <v>0</v>
      </c>
      <c r="J1496" s="98">
        <v>0</v>
      </c>
      <c r="K1496" s="98">
        <v>0</v>
      </c>
      <c r="M1496" s="7">
        <f t="shared" si="254"/>
        <v>0</v>
      </c>
      <c r="N1496" s="7">
        <f t="shared" si="263"/>
        <v>0</v>
      </c>
      <c r="O1496" s="7">
        <f t="shared" si="262"/>
        <v>30000</v>
      </c>
      <c r="P1496" s="99">
        <f t="shared" si="255"/>
        <v>3.2102728731942215E-3</v>
      </c>
      <c r="Q1496" s="99">
        <f t="shared" si="264"/>
        <v>-1.6323877726619598E-2</v>
      </c>
      <c r="S1496" s="7">
        <f t="shared" si="256"/>
        <v>10312500</v>
      </c>
      <c r="T1496" s="7">
        <f t="shared" si="257"/>
        <v>3125000</v>
      </c>
      <c r="U1496" s="7">
        <f t="shared" si="258"/>
        <v>10270000</v>
      </c>
      <c r="V1496" s="7">
        <f t="shared" si="259"/>
        <v>0</v>
      </c>
      <c r="W1496" s="7">
        <f t="shared" si="260"/>
        <v>0</v>
      </c>
      <c r="X1496" s="7">
        <f t="shared" si="261"/>
        <v>0</v>
      </c>
    </row>
    <row r="1497" spans="1:24">
      <c r="A1497">
        <v>1496</v>
      </c>
      <c r="B1497" s="96" t="s">
        <v>2107</v>
      </c>
      <c r="C1497" s="95">
        <v>42149</v>
      </c>
      <c r="D1497" s="82">
        <v>9330000</v>
      </c>
      <c r="E1497" s="82">
        <v>9330000</v>
      </c>
      <c r="F1497" s="82">
        <v>9385000</v>
      </c>
      <c r="G1497" s="82">
        <v>9330000</v>
      </c>
      <c r="I1497" s="82">
        <f>G1497*1.1</f>
        <v>10263000</v>
      </c>
      <c r="J1497" s="82">
        <f>G1497/3</f>
        <v>3110000</v>
      </c>
      <c r="K1497" s="7">
        <f>G1765</f>
        <v>10310000</v>
      </c>
      <c r="L1497" s="7">
        <f>K1497-I1497</f>
        <v>47000</v>
      </c>
      <c r="M1497" s="7">
        <f t="shared" si="254"/>
        <v>388750</v>
      </c>
      <c r="N1497" s="7">
        <f t="shared" si="263"/>
        <v>435750</v>
      </c>
      <c r="O1497" s="7">
        <f t="shared" si="262"/>
        <v>-45000</v>
      </c>
      <c r="P1497" s="99">
        <f t="shared" si="255"/>
        <v>-4.7999999999999996E-3</v>
      </c>
      <c r="Q1497" s="99">
        <f t="shared" si="264"/>
        <v>-1.1008341695530638E-2</v>
      </c>
      <c r="R1497">
        <v>1</v>
      </c>
      <c r="S1497" s="7">
        <f t="shared" si="256"/>
        <v>10263000</v>
      </c>
      <c r="T1497" s="7">
        <f t="shared" si="257"/>
        <v>3110000</v>
      </c>
      <c r="U1497" s="7">
        <f t="shared" si="258"/>
        <v>10310000</v>
      </c>
      <c r="V1497" s="7">
        <f t="shared" si="259"/>
        <v>47000</v>
      </c>
      <c r="W1497" s="7">
        <f t="shared" si="260"/>
        <v>388750</v>
      </c>
      <c r="X1497" s="7">
        <f t="shared" si="261"/>
        <v>435750</v>
      </c>
    </row>
    <row r="1498" spans="1:24">
      <c r="A1498">
        <v>1497</v>
      </c>
      <c r="B1498" s="96" t="s">
        <v>2106</v>
      </c>
      <c r="C1498" s="95">
        <v>42150</v>
      </c>
      <c r="D1498" s="82">
        <v>9305000</v>
      </c>
      <c r="E1498" s="82">
        <v>9300000</v>
      </c>
      <c r="F1498" s="82">
        <v>9325000</v>
      </c>
      <c r="G1498" s="82">
        <v>9305000</v>
      </c>
      <c r="I1498" s="97">
        <v>0</v>
      </c>
      <c r="J1498" s="97">
        <v>0</v>
      </c>
      <c r="K1498" s="97">
        <v>0</v>
      </c>
      <c r="M1498" s="7">
        <f t="shared" si="254"/>
        <v>0</v>
      </c>
      <c r="N1498" s="7">
        <f t="shared" si="263"/>
        <v>0</v>
      </c>
      <c r="O1498" s="7">
        <f t="shared" si="262"/>
        <v>-25000</v>
      </c>
      <c r="P1498" s="99">
        <f t="shared" si="255"/>
        <v>-2.6795284030010718E-3</v>
      </c>
      <c r="Q1498" s="99">
        <f t="shared" si="264"/>
        <v>-8.4243754508048982E-3</v>
      </c>
      <c r="S1498" s="7">
        <f t="shared" si="256"/>
        <v>10235500</v>
      </c>
      <c r="T1498" s="7">
        <f t="shared" si="257"/>
        <v>3101666.6666666665</v>
      </c>
      <c r="U1498" s="7">
        <f t="shared" si="258"/>
        <v>10300000</v>
      </c>
      <c r="V1498" s="7">
        <f t="shared" si="259"/>
        <v>0</v>
      </c>
      <c r="W1498" s="7">
        <f t="shared" si="260"/>
        <v>0</v>
      </c>
      <c r="X1498" s="7">
        <f t="shared" si="261"/>
        <v>0</v>
      </c>
    </row>
    <row r="1499" spans="1:24">
      <c r="A1499">
        <v>1498</v>
      </c>
      <c r="B1499" s="96" t="s">
        <v>2105</v>
      </c>
      <c r="C1499" s="95">
        <v>42151</v>
      </c>
      <c r="D1499" s="82">
        <v>9280000</v>
      </c>
      <c r="E1499" s="82">
        <v>9280000</v>
      </c>
      <c r="F1499" s="82">
        <v>9310000</v>
      </c>
      <c r="G1499" s="82">
        <v>9280000</v>
      </c>
      <c r="I1499" s="97">
        <v>0</v>
      </c>
      <c r="J1499" s="97">
        <v>0</v>
      </c>
      <c r="K1499" s="97">
        <v>0</v>
      </c>
      <c r="M1499" s="7">
        <f t="shared" si="254"/>
        <v>0</v>
      </c>
      <c r="N1499" s="7">
        <f t="shared" si="263"/>
        <v>0</v>
      </c>
      <c r="O1499" s="7">
        <f t="shared" si="262"/>
        <v>-25000</v>
      </c>
      <c r="P1499" s="99">
        <f t="shared" si="255"/>
        <v>-2.6867275658248252E-3</v>
      </c>
      <c r="Q1499" s="99">
        <f t="shared" si="264"/>
        <v>-2.6023098049218056E-3</v>
      </c>
      <c r="S1499" s="7">
        <f t="shared" si="256"/>
        <v>10208000</v>
      </c>
      <c r="T1499" s="7">
        <f t="shared" si="257"/>
        <v>3093333.3333333335</v>
      </c>
      <c r="U1499" s="7">
        <f t="shared" si="258"/>
        <v>10295000</v>
      </c>
      <c r="V1499" s="7">
        <f t="shared" si="259"/>
        <v>0</v>
      </c>
      <c r="W1499" s="7">
        <f t="shared" si="260"/>
        <v>0</v>
      </c>
      <c r="X1499" s="7">
        <f t="shared" si="261"/>
        <v>0</v>
      </c>
    </row>
    <row r="1500" spans="1:24">
      <c r="A1500">
        <v>1499</v>
      </c>
      <c r="B1500" s="96" t="s">
        <v>2104</v>
      </c>
      <c r="C1500" s="95">
        <v>42152</v>
      </c>
      <c r="D1500" s="82">
        <v>9320000</v>
      </c>
      <c r="E1500" s="82">
        <v>9280000</v>
      </c>
      <c r="F1500" s="82">
        <v>9325000</v>
      </c>
      <c r="G1500" s="82">
        <v>9320000</v>
      </c>
      <c r="I1500" s="97">
        <v>0</v>
      </c>
      <c r="J1500" s="97">
        <v>0</v>
      </c>
      <c r="K1500" s="97">
        <v>0</v>
      </c>
      <c r="M1500" s="7">
        <f t="shared" si="254"/>
        <v>0</v>
      </c>
      <c r="N1500" s="7">
        <f t="shared" si="263"/>
        <v>0</v>
      </c>
      <c r="O1500" s="7">
        <f t="shared" si="262"/>
        <v>40000</v>
      </c>
      <c r="P1500" s="99">
        <f t="shared" si="255"/>
        <v>4.3103448275862068E-3</v>
      </c>
      <c r="Q1500" s="99">
        <f t="shared" si="264"/>
        <v>-1.3863528260350061E-2</v>
      </c>
      <c r="S1500" s="7">
        <f t="shared" si="256"/>
        <v>10252000</v>
      </c>
      <c r="T1500" s="7">
        <f t="shared" si="257"/>
        <v>3106666.6666666665</v>
      </c>
      <c r="U1500" s="7">
        <f t="shared" si="258"/>
        <v>10205000</v>
      </c>
      <c r="V1500" s="7">
        <f t="shared" si="259"/>
        <v>0</v>
      </c>
      <c r="W1500" s="7">
        <f t="shared" si="260"/>
        <v>0</v>
      </c>
      <c r="X1500" s="7">
        <f t="shared" si="261"/>
        <v>0</v>
      </c>
    </row>
    <row r="1501" spans="1:24">
      <c r="A1501">
        <v>1500</v>
      </c>
      <c r="B1501" s="96" t="s">
        <v>2103</v>
      </c>
      <c r="C1501" s="95">
        <v>42154</v>
      </c>
      <c r="D1501" s="82">
        <v>9315000</v>
      </c>
      <c r="E1501" s="82">
        <v>9310000</v>
      </c>
      <c r="F1501" s="82">
        <v>9330000</v>
      </c>
      <c r="G1501" s="82">
        <v>9315000</v>
      </c>
      <c r="I1501" s="98">
        <v>0</v>
      </c>
      <c r="J1501" s="98">
        <v>0</v>
      </c>
      <c r="K1501" s="98">
        <v>0</v>
      </c>
      <c r="M1501" s="7">
        <f t="shared" si="254"/>
        <v>0</v>
      </c>
      <c r="N1501" s="7">
        <f t="shared" si="263"/>
        <v>0</v>
      </c>
      <c r="O1501" s="7">
        <f t="shared" si="262"/>
        <v>-5000</v>
      </c>
      <c r="P1501" s="99">
        <f t="shared" si="255"/>
        <v>-5.3648068669527897E-4</v>
      </c>
      <c r="Q1501" s="99">
        <f t="shared" si="264"/>
        <v>-2.6456382680454683E-3</v>
      </c>
      <c r="S1501" s="7">
        <f t="shared" si="256"/>
        <v>10246500</v>
      </c>
      <c r="T1501" s="7">
        <f t="shared" si="257"/>
        <v>3105000</v>
      </c>
      <c r="U1501" s="7">
        <f t="shared" si="258"/>
        <v>10220000</v>
      </c>
      <c r="V1501" s="7">
        <f t="shared" si="259"/>
        <v>0</v>
      </c>
      <c r="W1501" s="7">
        <f t="shared" si="260"/>
        <v>0</v>
      </c>
      <c r="X1501" s="7">
        <f t="shared" si="261"/>
        <v>0</v>
      </c>
    </row>
    <row r="1502" spans="1:24">
      <c r="A1502">
        <v>1501</v>
      </c>
      <c r="B1502" s="96" t="s">
        <v>2102</v>
      </c>
      <c r="C1502" s="95">
        <v>42155</v>
      </c>
      <c r="D1502" s="82">
        <v>9325000</v>
      </c>
      <c r="E1502" s="82">
        <v>9320000</v>
      </c>
      <c r="F1502" s="82">
        <v>9335000</v>
      </c>
      <c r="G1502" s="82">
        <v>9325000</v>
      </c>
      <c r="I1502" s="82">
        <f>G1502*1.1</f>
        <v>10257500</v>
      </c>
      <c r="J1502" s="82">
        <f>G1502/3</f>
        <v>3108333.3333333335</v>
      </c>
      <c r="K1502" s="7">
        <f>G1770</f>
        <v>10230000</v>
      </c>
      <c r="L1502" s="7">
        <f>K1502-I1502</f>
        <v>-27500</v>
      </c>
      <c r="M1502" s="7">
        <f t="shared" si="254"/>
        <v>388541.66666666674</v>
      </c>
      <c r="N1502" s="7">
        <f t="shared" si="263"/>
        <v>361041.66666666674</v>
      </c>
      <c r="O1502" s="7">
        <f t="shared" si="262"/>
        <v>10000</v>
      </c>
      <c r="P1502" s="99">
        <f t="shared" si="255"/>
        <v>1.0735373054213634E-3</v>
      </c>
      <c r="Q1502" s="99">
        <f t="shared" si="264"/>
        <v>-6.3923918279349696E-3</v>
      </c>
      <c r="R1502">
        <v>1</v>
      </c>
      <c r="S1502" s="7">
        <f t="shared" si="256"/>
        <v>10257500</v>
      </c>
      <c r="T1502" s="7">
        <f t="shared" si="257"/>
        <v>3108333.3333333335</v>
      </c>
      <c r="U1502" s="7">
        <f t="shared" si="258"/>
        <v>10230000</v>
      </c>
      <c r="V1502" s="7">
        <f t="shared" si="259"/>
        <v>-27500</v>
      </c>
      <c r="W1502" s="7">
        <f t="shared" si="260"/>
        <v>388541.66666666674</v>
      </c>
      <c r="X1502" s="7">
        <f t="shared" si="261"/>
        <v>361041.66666666674</v>
      </c>
    </row>
    <row r="1503" spans="1:24">
      <c r="A1503">
        <v>1502</v>
      </c>
      <c r="B1503" s="96" t="s">
        <v>2101</v>
      </c>
      <c r="C1503" s="95">
        <v>42156</v>
      </c>
      <c r="D1503" s="82">
        <v>9315000</v>
      </c>
      <c r="E1503" s="82">
        <v>9280000</v>
      </c>
      <c r="F1503" s="82">
        <v>9315000</v>
      </c>
      <c r="G1503" s="82">
        <v>9315000</v>
      </c>
      <c r="I1503" s="97">
        <v>0</v>
      </c>
      <c r="J1503" s="97">
        <v>0</v>
      </c>
      <c r="K1503" s="97">
        <v>0</v>
      </c>
      <c r="M1503" s="7">
        <f t="shared" si="254"/>
        <v>0</v>
      </c>
      <c r="N1503" s="7">
        <f t="shared" si="263"/>
        <v>0</v>
      </c>
      <c r="O1503" s="7">
        <f t="shared" si="262"/>
        <v>-10000</v>
      </c>
      <c r="P1503" s="99">
        <f t="shared" si="255"/>
        <v>-1.0723860589812334E-3</v>
      </c>
      <c r="Q1503" s="99">
        <f t="shared" si="264"/>
        <v>-5.1885452251360532E-4</v>
      </c>
      <c r="S1503" s="7">
        <f t="shared" si="256"/>
        <v>10246500</v>
      </c>
      <c r="T1503" s="7">
        <f t="shared" si="257"/>
        <v>3105000</v>
      </c>
      <c r="U1503" s="7">
        <f t="shared" si="258"/>
        <v>10260000</v>
      </c>
      <c r="V1503" s="7">
        <f t="shared" si="259"/>
        <v>0</v>
      </c>
      <c r="W1503" s="7">
        <f t="shared" si="260"/>
        <v>0</v>
      </c>
      <c r="X1503" s="7">
        <f t="shared" si="261"/>
        <v>0</v>
      </c>
    </row>
    <row r="1504" spans="1:24">
      <c r="A1504">
        <v>1503</v>
      </c>
      <c r="B1504" s="96" t="s">
        <v>2100</v>
      </c>
      <c r="C1504" s="95">
        <v>42157</v>
      </c>
      <c r="D1504" s="82">
        <v>9310000</v>
      </c>
      <c r="E1504" s="82">
        <v>9300000</v>
      </c>
      <c r="F1504" s="82">
        <v>9315000</v>
      </c>
      <c r="G1504" s="82">
        <v>9310000</v>
      </c>
      <c r="I1504" s="97">
        <v>0</v>
      </c>
      <c r="J1504" s="97">
        <v>0</v>
      </c>
      <c r="K1504" s="97">
        <v>0</v>
      </c>
      <c r="M1504" s="7">
        <f t="shared" si="254"/>
        <v>0</v>
      </c>
      <c r="N1504" s="7">
        <f t="shared" si="263"/>
        <v>0</v>
      </c>
      <c r="O1504" s="7">
        <f t="shared" si="262"/>
        <v>-5000</v>
      </c>
      <c r="P1504" s="99">
        <f t="shared" si="255"/>
        <v>-5.3676865271068169E-4</v>
      </c>
      <c r="Q1504" s="99">
        <f t="shared" si="264"/>
        <v>1.0882878215062327E-3</v>
      </c>
      <c r="S1504" s="7">
        <f t="shared" si="256"/>
        <v>10241000</v>
      </c>
      <c r="T1504" s="7">
        <f t="shared" si="257"/>
        <v>3103333.3333333335</v>
      </c>
      <c r="U1504" s="7">
        <f t="shared" si="258"/>
        <v>10285000</v>
      </c>
      <c r="V1504" s="7">
        <f t="shared" si="259"/>
        <v>0</v>
      </c>
      <c r="W1504" s="7">
        <f t="shared" si="260"/>
        <v>0</v>
      </c>
      <c r="X1504" s="7">
        <f t="shared" si="261"/>
        <v>0</v>
      </c>
    </row>
    <row r="1505" spans="1:24">
      <c r="A1505">
        <v>1504</v>
      </c>
      <c r="B1505" s="96" t="s">
        <v>2099</v>
      </c>
      <c r="C1505" s="95">
        <v>42161</v>
      </c>
      <c r="D1505" s="82">
        <v>9185000</v>
      </c>
      <c r="E1505" s="82">
        <v>9185000</v>
      </c>
      <c r="F1505" s="82">
        <v>9235000</v>
      </c>
      <c r="G1505" s="82">
        <v>9185000</v>
      </c>
      <c r="I1505" s="97">
        <v>0</v>
      </c>
      <c r="J1505" s="97">
        <v>0</v>
      </c>
      <c r="K1505" s="97">
        <v>0</v>
      </c>
      <c r="M1505" s="7">
        <f t="shared" si="254"/>
        <v>0</v>
      </c>
      <c r="N1505" s="7">
        <f t="shared" si="263"/>
        <v>0</v>
      </c>
      <c r="O1505" s="7">
        <f t="shared" si="262"/>
        <v>-125000</v>
      </c>
      <c r="P1505" s="99">
        <f t="shared" si="255"/>
        <v>-1.3426423200859291E-2</v>
      </c>
      <c r="Q1505" s="99">
        <f t="shared" si="264"/>
        <v>3.238246734620376E-3</v>
      </c>
      <c r="S1505" s="7">
        <f t="shared" si="256"/>
        <v>10103500</v>
      </c>
      <c r="T1505" s="7">
        <f t="shared" si="257"/>
        <v>3061666.6666666665</v>
      </c>
      <c r="U1505" s="7">
        <f t="shared" si="258"/>
        <v>10325000</v>
      </c>
      <c r="V1505" s="7">
        <f t="shared" si="259"/>
        <v>0</v>
      </c>
      <c r="W1505" s="7">
        <f t="shared" si="260"/>
        <v>0</v>
      </c>
      <c r="X1505" s="7">
        <f t="shared" si="261"/>
        <v>0</v>
      </c>
    </row>
    <row r="1506" spans="1:24">
      <c r="A1506">
        <v>1505</v>
      </c>
      <c r="B1506" s="96" t="s">
        <v>2098</v>
      </c>
      <c r="C1506" s="95">
        <v>42162</v>
      </c>
      <c r="D1506" s="82">
        <v>9160000</v>
      </c>
      <c r="E1506" s="82">
        <v>9160000</v>
      </c>
      <c r="F1506" s="82">
        <v>9190000</v>
      </c>
      <c r="G1506" s="82">
        <v>9160000</v>
      </c>
      <c r="I1506" s="98">
        <v>0</v>
      </c>
      <c r="J1506" s="98">
        <v>0</v>
      </c>
      <c r="K1506" s="98">
        <v>0</v>
      </c>
      <c r="M1506" s="7">
        <f t="shared" si="254"/>
        <v>0</v>
      </c>
      <c r="N1506" s="7">
        <f t="shared" si="263"/>
        <v>0</v>
      </c>
      <c r="O1506" s="7">
        <f t="shared" si="262"/>
        <v>-25000</v>
      </c>
      <c r="P1506" s="99">
        <f t="shared" si="255"/>
        <v>-2.7218290691344584E-3</v>
      </c>
      <c r="Q1506" s="99">
        <f t="shared" si="264"/>
        <v>-1.4498521293825121E-2</v>
      </c>
      <c r="S1506" s="7">
        <f t="shared" si="256"/>
        <v>10076000</v>
      </c>
      <c r="T1506" s="7">
        <f t="shared" si="257"/>
        <v>3053333.3333333335</v>
      </c>
      <c r="U1506" s="7">
        <f t="shared" si="258"/>
        <v>10460000</v>
      </c>
      <c r="V1506" s="7">
        <f t="shared" si="259"/>
        <v>0</v>
      </c>
      <c r="W1506" s="7">
        <f t="shared" si="260"/>
        <v>0</v>
      </c>
      <c r="X1506" s="7">
        <f t="shared" si="261"/>
        <v>0</v>
      </c>
    </row>
    <row r="1507" spans="1:24">
      <c r="A1507">
        <v>1506</v>
      </c>
      <c r="B1507" s="96" t="s">
        <v>2097</v>
      </c>
      <c r="C1507" s="95">
        <v>42163</v>
      </c>
      <c r="D1507" s="82">
        <v>9160000</v>
      </c>
      <c r="E1507" s="82">
        <v>9150000</v>
      </c>
      <c r="F1507" s="82">
        <v>9170000</v>
      </c>
      <c r="G1507" s="82">
        <v>9160000</v>
      </c>
      <c r="I1507" s="82">
        <f>G1507*1.1</f>
        <v>10076000</v>
      </c>
      <c r="J1507" s="82">
        <f>G1507/3</f>
        <v>3053333.3333333335</v>
      </c>
      <c r="K1507" s="7">
        <f>G1775</f>
        <v>10475000</v>
      </c>
      <c r="L1507" s="7">
        <f>K1507-I1507</f>
        <v>399000</v>
      </c>
      <c r="M1507" s="7">
        <f t="shared" si="254"/>
        <v>381666.66666666674</v>
      </c>
      <c r="N1507" s="7">
        <f t="shared" si="263"/>
        <v>780666.66666666674</v>
      </c>
      <c r="O1507" s="7">
        <f t="shared" si="262"/>
        <v>0</v>
      </c>
      <c r="P1507" s="99">
        <f t="shared" si="255"/>
        <v>0</v>
      </c>
      <c r="Q1507" s="99">
        <f t="shared" si="264"/>
        <v>-1.6683869676264302E-2</v>
      </c>
      <c r="R1507">
        <v>1</v>
      </c>
      <c r="S1507" s="7">
        <f t="shared" si="256"/>
        <v>10076000</v>
      </c>
      <c r="T1507" s="7">
        <f t="shared" si="257"/>
        <v>3053333.3333333335</v>
      </c>
      <c r="U1507" s="7">
        <f t="shared" si="258"/>
        <v>10475000</v>
      </c>
      <c r="V1507" s="7">
        <f t="shared" si="259"/>
        <v>399000</v>
      </c>
      <c r="W1507" s="7">
        <f t="shared" si="260"/>
        <v>381666.66666666674</v>
      </c>
      <c r="X1507" s="7">
        <f t="shared" si="261"/>
        <v>780666.66666666674</v>
      </c>
    </row>
    <row r="1508" spans="1:24">
      <c r="A1508">
        <v>1507</v>
      </c>
      <c r="B1508" s="96" t="s">
        <v>2096</v>
      </c>
      <c r="C1508" s="95">
        <v>42164</v>
      </c>
      <c r="D1508" s="82">
        <v>9185000</v>
      </c>
      <c r="E1508" s="82">
        <v>9175000</v>
      </c>
      <c r="F1508" s="82">
        <v>9190000</v>
      </c>
      <c r="G1508" s="82">
        <v>9185000</v>
      </c>
      <c r="I1508" s="97">
        <v>0</v>
      </c>
      <c r="J1508" s="97">
        <v>0</v>
      </c>
      <c r="K1508" s="97">
        <v>0</v>
      </c>
      <c r="M1508" s="7">
        <f t="shared" si="254"/>
        <v>0</v>
      </c>
      <c r="N1508" s="7">
        <f t="shared" si="263"/>
        <v>0</v>
      </c>
      <c r="O1508" s="7">
        <f t="shared" si="262"/>
        <v>25000</v>
      </c>
      <c r="P1508" s="99">
        <f t="shared" si="255"/>
        <v>2.7292576419213972E-3</v>
      </c>
      <c r="Q1508" s="99">
        <f t="shared" si="264"/>
        <v>-1.7757406981685663E-2</v>
      </c>
      <c r="S1508" s="7">
        <f t="shared" si="256"/>
        <v>10103500</v>
      </c>
      <c r="T1508" s="7">
        <f t="shared" si="257"/>
        <v>3061666.6666666665</v>
      </c>
      <c r="U1508" s="7">
        <f t="shared" si="258"/>
        <v>10415000</v>
      </c>
      <c r="V1508" s="7">
        <f t="shared" si="259"/>
        <v>0</v>
      </c>
      <c r="W1508" s="7">
        <f t="shared" si="260"/>
        <v>0</v>
      </c>
      <c r="X1508" s="7">
        <f t="shared" si="261"/>
        <v>0</v>
      </c>
    </row>
    <row r="1509" spans="1:24">
      <c r="A1509">
        <v>1508</v>
      </c>
      <c r="B1509" s="96" t="s">
        <v>2095</v>
      </c>
      <c r="C1509" s="95">
        <v>42165</v>
      </c>
      <c r="D1509" s="82">
        <v>9230000</v>
      </c>
      <c r="E1509" s="82">
        <v>9180000</v>
      </c>
      <c r="F1509" s="82">
        <v>9235000</v>
      </c>
      <c r="G1509" s="82">
        <v>9230000</v>
      </c>
      <c r="I1509" s="97">
        <v>0</v>
      </c>
      <c r="J1509" s="97">
        <v>0</v>
      </c>
      <c r="K1509" s="97">
        <v>0</v>
      </c>
      <c r="M1509" s="7">
        <f t="shared" si="254"/>
        <v>0</v>
      </c>
      <c r="N1509" s="7">
        <f t="shared" si="263"/>
        <v>0</v>
      </c>
      <c r="O1509" s="7">
        <f t="shared" si="262"/>
        <v>45000</v>
      </c>
      <c r="P1509" s="99">
        <f t="shared" si="255"/>
        <v>4.8992923244420249E-3</v>
      </c>
      <c r="Q1509" s="99">
        <f t="shared" si="264"/>
        <v>-1.3955763280783035E-2</v>
      </c>
      <c r="S1509" s="7">
        <f t="shared" si="256"/>
        <v>10153000</v>
      </c>
      <c r="T1509" s="7">
        <f t="shared" si="257"/>
        <v>3076666.6666666665</v>
      </c>
      <c r="U1509" s="7">
        <f t="shared" si="258"/>
        <v>10400000</v>
      </c>
      <c r="V1509" s="7">
        <f t="shared" si="259"/>
        <v>0</v>
      </c>
      <c r="W1509" s="7">
        <f t="shared" si="260"/>
        <v>0</v>
      </c>
      <c r="X1509" s="7">
        <f t="shared" si="261"/>
        <v>0</v>
      </c>
    </row>
    <row r="1510" spans="1:24">
      <c r="A1510">
        <v>1509</v>
      </c>
      <c r="B1510" s="96" t="s">
        <v>2094</v>
      </c>
      <c r="C1510" s="95">
        <v>42166</v>
      </c>
      <c r="D1510" s="82">
        <v>9185000</v>
      </c>
      <c r="E1510" s="82">
        <v>9180000</v>
      </c>
      <c r="F1510" s="82">
        <v>9210000</v>
      </c>
      <c r="G1510" s="82">
        <v>9185000</v>
      </c>
      <c r="I1510" s="97">
        <v>0</v>
      </c>
      <c r="J1510" s="97">
        <v>0</v>
      </c>
      <c r="K1510" s="97">
        <v>0</v>
      </c>
      <c r="M1510" s="7">
        <f t="shared" si="254"/>
        <v>0</v>
      </c>
      <c r="N1510" s="7">
        <f t="shared" si="263"/>
        <v>0</v>
      </c>
      <c r="O1510" s="7">
        <f t="shared" si="262"/>
        <v>-45000</v>
      </c>
      <c r="P1510" s="99">
        <f t="shared" si="255"/>
        <v>-4.8754062838569879E-3</v>
      </c>
      <c r="Q1510" s="99">
        <f t="shared" si="264"/>
        <v>-8.5197023036303263E-3</v>
      </c>
      <c r="S1510" s="7">
        <f t="shared" si="256"/>
        <v>10103500</v>
      </c>
      <c r="T1510" s="7">
        <f t="shared" si="257"/>
        <v>3061666.6666666665</v>
      </c>
      <c r="U1510" s="7">
        <f t="shared" si="258"/>
        <v>10335000</v>
      </c>
      <c r="V1510" s="7">
        <f t="shared" si="259"/>
        <v>0</v>
      </c>
      <c r="W1510" s="7">
        <f t="shared" si="260"/>
        <v>0</v>
      </c>
      <c r="X1510" s="7">
        <f t="shared" si="261"/>
        <v>0</v>
      </c>
    </row>
    <row r="1511" spans="1:24">
      <c r="A1511">
        <v>1510</v>
      </c>
      <c r="B1511" s="96" t="s">
        <v>2093</v>
      </c>
      <c r="C1511" s="95">
        <v>42168</v>
      </c>
      <c r="D1511" s="82">
        <v>9100000</v>
      </c>
      <c r="E1511" s="82">
        <v>9100000</v>
      </c>
      <c r="F1511" s="82">
        <v>9180000</v>
      </c>
      <c r="G1511" s="82">
        <v>9100000</v>
      </c>
      <c r="I1511" s="98">
        <v>0</v>
      </c>
      <c r="J1511" s="98">
        <v>0</v>
      </c>
      <c r="K1511" s="98">
        <v>0</v>
      </c>
      <c r="M1511" s="7">
        <f t="shared" si="254"/>
        <v>0</v>
      </c>
      <c r="N1511" s="7">
        <f t="shared" si="263"/>
        <v>0</v>
      </c>
      <c r="O1511" s="7">
        <f t="shared" si="262"/>
        <v>-85000</v>
      </c>
      <c r="P1511" s="99">
        <f t="shared" si="255"/>
        <v>-9.2542188350571587E-3</v>
      </c>
      <c r="Q1511" s="99">
        <f t="shared" si="264"/>
        <v>3.1314613371975775E-5</v>
      </c>
      <c r="S1511" s="7">
        <f t="shared" si="256"/>
        <v>10010000</v>
      </c>
      <c r="T1511" s="7">
        <f t="shared" si="257"/>
        <v>3033333.3333333335</v>
      </c>
      <c r="U1511" s="7">
        <f t="shared" si="258"/>
        <v>10330000</v>
      </c>
      <c r="V1511" s="7">
        <f t="shared" si="259"/>
        <v>0</v>
      </c>
      <c r="W1511" s="7">
        <f t="shared" si="260"/>
        <v>0</v>
      </c>
      <c r="X1511" s="7">
        <f t="shared" si="261"/>
        <v>0</v>
      </c>
    </row>
    <row r="1512" spans="1:24">
      <c r="A1512">
        <v>1511</v>
      </c>
      <c r="B1512" s="96" t="s">
        <v>2092</v>
      </c>
      <c r="C1512" s="95">
        <v>42169</v>
      </c>
      <c r="D1512" s="82">
        <v>9070000</v>
      </c>
      <c r="E1512" s="82">
        <v>9070000</v>
      </c>
      <c r="F1512" s="82">
        <v>9110000</v>
      </c>
      <c r="G1512" s="82">
        <v>9070000</v>
      </c>
      <c r="I1512" s="82">
        <f>G1512*1.1</f>
        <v>9977000</v>
      </c>
      <c r="J1512" s="82">
        <f>G1512/3</f>
        <v>3023333.3333333335</v>
      </c>
      <c r="K1512" s="7">
        <f>G1780</f>
        <v>10395000</v>
      </c>
      <c r="L1512" s="7">
        <f>K1512-I1512</f>
        <v>418000</v>
      </c>
      <c r="M1512" s="7">
        <f t="shared" si="254"/>
        <v>377916.66666666674</v>
      </c>
      <c r="N1512" s="7">
        <f t="shared" si="263"/>
        <v>795916.66666666674</v>
      </c>
      <c r="O1512" s="7">
        <f t="shared" si="262"/>
        <v>-30000</v>
      </c>
      <c r="P1512" s="99">
        <f t="shared" si="255"/>
        <v>-3.2967032967032967E-3</v>
      </c>
      <c r="Q1512" s="99">
        <f t="shared" si="264"/>
        <v>-6.5010751525507249E-3</v>
      </c>
      <c r="R1512">
        <v>1</v>
      </c>
      <c r="S1512" s="7">
        <f t="shared" si="256"/>
        <v>9977000</v>
      </c>
      <c r="T1512" s="7">
        <f t="shared" si="257"/>
        <v>3023333.3333333335</v>
      </c>
      <c r="U1512" s="7">
        <f t="shared" si="258"/>
        <v>10395000</v>
      </c>
      <c r="V1512" s="7">
        <f t="shared" si="259"/>
        <v>418000</v>
      </c>
      <c r="W1512" s="7">
        <f t="shared" si="260"/>
        <v>377916.66666666674</v>
      </c>
      <c r="X1512" s="7">
        <f t="shared" si="261"/>
        <v>795916.66666666674</v>
      </c>
    </row>
    <row r="1513" spans="1:24">
      <c r="A1513">
        <v>1512</v>
      </c>
      <c r="B1513" s="96" t="s">
        <v>2091</v>
      </c>
      <c r="C1513" s="95">
        <v>42170</v>
      </c>
      <c r="D1513" s="82">
        <v>9050000</v>
      </c>
      <c r="E1513" s="82">
        <v>9040000</v>
      </c>
      <c r="F1513" s="82">
        <v>9095000</v>
      </c>
      <c r="G1513" s="82">
        <v>9050000</v>
      </c>
      <c r="I1513" s="97">
        <v>0</v>
      </c>
      <c r="J1513" s="97">
        <v>0</v>
      </c>
      <c r="K1513" s="97">
        <v>0</v>
      </c>
      <c r="M1513" s="7">
        <f t="shared" si="254"/>
        <v>0</v>
      </c>
      <c r="N1513" s="7">
        <f t="shared" si="263"/>
        <v>0</v>
      </c>
      <c r="O1513" s="7">
        <f t="shared" si="262"/>
        <v>-20000</v>
      </c>
      <c r="P1513" s="99">
        <f t="shared" si="255"/>
        <v>-2.205071664829107E-3</v>
      </c>
      <c r="Q1513" s="99">
        <f t="shared" si="264"/>
        <v>-9.7977784492540212E-3</v>
      </c>
      <c r="S1513" s="7">
        <f t="shared" si="256"/>
        <v>9955000</v>
      </c>
      <c r="T1513" s="7">
        <f t="shared" si="257"/>
        <v>3016666.6666666665</v>
      </c>
      <c r="U1513" s="7">
        <f t="shared" si="258"/>
        <v>10388000</v>
      </c>
      <c r="V1513" s="7">
        <f t="shared" si="259"/>
        <v>0</v>
      </c>
      <c r="W1513" s="7">
        <f t="shared" si="260"/>
        <v>0</v>
      </c>
      <c r="X1513" s="7">
        <f t="shared" si="261"/>
        <v>0</v>
      </c>
    </row>
    <row r="1514" spans="1:24">
      <c r="A1514">
        <v>1513</v>
      </c>
      <c r="B1514" s="96" t="s">
        <v>2090</v>
      </c>
      <c r="C1514" s="95">
        <v>42171</v>
      </c>
      <c r="D1514" s="82">
        <v>9070000</v>
      </c>
      <c r="E1514" s="82">
        <v>9035000</v>
      </c>
      <c r="F1514" s="82">
        <v>9095000</v>
      </c>
      <c r="G1514" s="82">
        <v>9070000</v>
      </c>
      <c r="I1514" s="97">
        <v>0</v>
      </c>
      <c r="J1514" s="97">
        <v>0</v>
      </c>
      <c r="K1514" s="97">
        <v>0</v>
      </c>
      <c r="M1514" s="7">
        <f t="shared" si="254"/>
        <v>0</v>
      </c>
      <c r="N1514" s="7">
        <f t="shared" si="263"/>
        <v>0</v>
      </c>
      <c r="O1514" s="7">
        <f t="shared" si="262"/>
        <v>20000</v>
      </c>
      <c r="P1514" s="99">
        <f t="shared" si="255"/>
        <v>2.2099447513812156E-3</v>
      </c>
      <c r="Q1514" s="99">
        <f t="shared" si="264"/>
        <v>-1.4732107756004524E-2</v>
      </c>
      <c r="S1514" s="7">
        <f t="shared" si="256"/>
        <v>9977000</v>
      </c>
      <c r="T1514" s="7">
        <f t="shared" si="257"/>
        <v>3023333.3333333335</v>
      </c>
      <c r="U1514" s="7">
        <f t="shared" si="258"/>
        <v>10318000</v>
      </c>
      <c r="V1514" s="7">
        <f t="shared" si="259"/>
        <v>0</v>
      </c>
      <c r="W1514" s="7">
        <f t="shared" si="260"/>
        <v>0</v>
      </c>
      <c r="X1514" s="7">
        <f t="shared" si="261"/>
        <v>0</v>
      </c>
    </row>
    <row r="1515" spans="1:24">
      <c r="A1515">
        <v>1514</v>
      </c>
      <c r="B1515" s="96" t="s">
        <v>2089</v>
      </c>
      <c r="C1515" s="95">
        <v>42172</v>
      </c>
      <c r="D1515" s="82">
        <v>9030000</v>
      </c>
      <c r="E1515" s="82">
        <v>9030000</v>
      </c>
      <c r="F1515" s="82">
        <v>9095000</v>
      </c>
      <c r="G1515" s="82">
        <v>9030000</v>
      </c>
      <c r="I1515" s="97">
        <v>0</v>
      </c>
      <c r="J1515" s="97">
        <v>0</v>
      </c>
      <c r="K1515" s="97">
        <v>0</v>
      </c>
      <c r="M1515" s="7">
        <f t="shared" si="254"/>
        <v>0</v>
      </c>
      <c r="N1515" s="7">
        <f t="shared" si="263"/>
        <v>0</v>
      </c>
      <c r="O1515" s="7">
        <f t="shared" si="262"/>
        <v>-40000</v>
      </c>
      <c r="P1515" s="99">
        <f t="shared" si="255"/>
        <v>-4.410143329658214E-3</v>
      </c>
      <c r="Q1515" s="99">
        <f t="shared" si="264"/>
        <v>-1.7421455329065333E-2</v>
      </c>
      <c r="S1515" s="7">
        <f t="shared" si="256"/>
        <v>9933000</v>
      </c>
      <c r="T1515" s="7">
        <f t="shared" si="257"/>
        <v>3010000</v>
      </c>
      <c r="U1515" s="7">
        <f t="shared" si="258"/>
        <v>10313000</v>
      </c>
      <c r="V1515" s="7">
        <f t="shared" si="259"/>
        <v>0</v>
      </c>
      <c r="W1515" s="7">
        <f t="shared" si="260"/>
        <v>0</v>
      </c>
      <c r="X1515" s="7">
        <f t="shared" si="261"/>
        <v>0</v>
      </c>
    </row>
    <row r="1516" spans="1:24">
      <c r="A1516">
        <v>1515</v>
      </c>
      <c r="B1516" s="96" t="s">
        <v>2088</v>
      </c>
      <c r="C1516" s="95">
        <v>42173</v>
      </c>
      <c r="D1516" s="82">
        <v>9090000</v>
      </c>
      <c r="E1516" s="82">
        <v>9040000</v>
      </c>
      <c r="F1516" s="82">
        <v>9095000</v>
      </c>
      <c r="G1516" s="82">
        <v>9090000</v>
      </c>
      <c r="I1516" s="98">
        <v>0</v>
      </c>
      <c r="J1516" s="98">
        <v>0</v>
      </c>
      <c r="K1516" s="98">
        <v>0</v>
      </c>
      <c r="M1516" s="7">
        <f t="shared" si="254"/>
        <v>0</v>
      </c>
      <c r="N1516" s="7">
        <f t="shared" si="263"/>
        <v>0</v>
      </c>
      <c r="O1516" s="7">
        <f t="shared" si="262"/>
        <v>60000</v>
      </c>
      <c r="P1516" s="99">
        <f t="shared" si="255"/>
        <v>6.6445182724252493E-3</v>
      </c>
      <c r="Q1516" s="99">
        <f t="shared" si="264"/>
        <v>-1.6956192374866563E-2</v>
      </c>
      <c r="S1516" s="7">
        <f t="shared" si="256"/>
        <v>9999000</v>
      </c>
      <c r="T1516" s="7">
        <f t="shared" si="257"/>
        <v>3030000</v>
      </c>
      <c r="U1516" s="7">
        <f t="shared" si="258"/>
        <v>10336000</v>
      </c>
      <c r="V1516" s="7">
        <f t="shared" si="259"/>
        <v>0</v>
      </c>
      <c r="W1516" s="7">
        <f t="shared" si="260"/>
        <v>0</v>
      </c>
      <c r="X1516" s="7">
        <f t="shared" si="261"/>
        <v>0</v>
      </c>
    </row>
    <row r="1517" spans="1:24">
      <c r="A1517">
        <v>1516</v>
      </c>
      <c r="B1517" s="96" t="s">
        <v>2087</v>
      </c>
      <c r="C1517" s="95">
        <v>42175</v>
      </c>
      <c r="D1517" s="82">
        <v>9160000</v>
      </c>
      <c r="E1517" s="82">
        <v>9110000</v>
      </c>
      <c r="F1517" s="82">
        <v>9160000</v>
      </c>
      <c r="G1517" s="82">
        <v>9160000</v>
      </c>
      <c r="I1517" s="82">
        <f>G1517*1.1</f>
        <v>10076000</v>
      </c>
      <c r="J1517" s="82">
        <f>G1517/3</f>
        <v>3053333.3333333335</v>
      </c>
      <c r="K1517" s="7">
        <f>G1785</f>
        <v>10301000</v>
      </c>
      <c r="L1517" s="7">
        <f>K1517-I1517</f>
        <v>225000</v>
      </c>
      <c r="M1517" s="7">
        <f t="shared" si="254"/>
        <v>381666.66666666674</v>
      </c>
      <c r="N1517" s="7">
        <f t="shared" si="263"/>
        <v>606666.66666666674</v>
      </c>
      <c r="O1517" s="7">
        <f t="shared" si="262"/>
        <v>70000</v>
      </c>
      <c r="P1517" s="99">
        <f t="shared" si="255"/>
        <v>7.7007700770077006E-3</v>
      </c>
      <c r="Q1517" s="99">
        <f t="shared" si="264"/>
        <v>-1.0574552673841518E-3</v>
      </c>
      <c r="R1517">
        <v>1</v>
      </c>
      <c r="S1517" s="7">
        <f t="shared" si="256"/>
        <v>10076000</v>
      </c>
      <c r="T1517" s="7">
        <f t="shared" si="257"/>
        <v>3053333.3333333335</v>
      </c>
      <c r="U1517" s="7">
        <f t="shared" si="258"/>
        <v>10301000</v>
      </c>
      <c r="V1517" s="7">
        <f t="shared" si="259"/>
        <v>225000</v>
      </c>
      <c r="W1517" s="7">
        <f t="shared" si="260"/>
        <v>381666.66666666674</v>
      </c>
      <c r="X1517" s="7">
        <f t="shared" si="261"/>
        <v>606666.66666666674</v>
      </c>
    </row>
    <row r="1518" spans="1:24">
      <c r="A1518">
        <v>1517</v>
      </c>
      <c r="B1518" s="96" t="s">
        <v>2086</v>
      </c>
      <c r="C1518" s="95">
        <v>42176</v>
      </c>
      <c r="D1518" s="82">
        <v>9105000</v>
      </c>
      <c r="E1518" s="82">
        <v>9100000</v>
      </c>
      <c r="F1518" s="82">
        <v>9180000</v>
      </c>
      <c r="G1518" s="82">
        <v>9105000</v>
      </c>
      <c r="I1518" s="97">
        <v>0</v>
      </c>
      <c r="J1518" s="97">
        <v>0</v>
      </c>
      <c r="K1518" s="97">
        <v>0</v>
      </c>
      <c r="M1518" s="7">
        <f t="shared" si="254"/>
        <v>0</v>
      </c>
      <c r="N1518" s="7">
        <f t="shared" si="263"/>
        <v>0</v>
      </c>
      <c r="O1518" s="7">
        <f t="shared" si="262"/>
        <v>-55000</v>
      </c>
      <c r="P1518" s="99">
        <f t="shared" si="255"/>
        <v>-6.0043668122270744E-3</v>
      </c>
      <c r="Q1518" s="99">
        <f t="shared" si="264"/>
        <v>9.940018106326845E-3</v>
      </c>
      <c r="S1518" s="7">
        <f t="shared" si="256"/>
        <v>10015500</v>
      </c>
      <c r="T1518" s="7">
        <f t="shared" si="257"/>
        <v>3035000</v>
      </c>
      <c r="U1518" s="7">
        <f t="shared" si="258"/>
        <v>10243000</v>
      </c>
      <c r="V1518" s="7">
        <f t="shared" si="259"/>
        <v>0</v>
      </c>
      <c r="W1518" s="7">
        <f t="shared" si="260"/>
        <v>0</v>
      </c>
      <c r="X1518" s="7">
        <f t="shared" si="261"/>
        <v>0</v>
      </c>
    </row>
    <row r="1519" spans="1:24">
      <c r="A1519">
        <v>1518</v>
      </c>
      <c r="B1519" s="96" t="s">
        <v>2085</v>
      </c>
      <c r="C1519" s="95">
        <v>42177</v>
      </c>
      <c r="D1519" s="82">
        <v>9070000</v>
      </c>
      <c r="E1519" s="82">
        <v>9050000</v>
      </c>
      <c r="F1519" s="82">
        <v>9095000</v>
      </c>
      <c r="G1519" s="82">
        <v>9070000</v>
      </c>
      <c r="I1519" s="97">
        <v>0</v>
      </c>
      <c r="J1519" s="97">
        <v>0</v>
      </c>
      <c r="K1519" s="97">
        <v>0</v>
      </c>
      <c r="M1519" s="7">
        <f t="shared" si="254"/>
        <v>0</v>
      </c>
      <c r="N1519" s="7">
        <f t="shared" si="263"/>
        <v>0</v>
      </c>
      <c r="O1519" s="7">
        <f t="shared" si="262"/>
        <v>-35000</v>
      </c>
      <c r="P1519" s="99">
        <f t="shared" si="255"/>
        <v>-3.8440417353102691E-3</v>
      </c>
      <c r="Q1519" s="99">
        <f t="shared" si="264"/>
        <v>6.1407229589288785E-3</v>
      </c>
      <c r="S1519" s="7">
        <f t="shared" si="256"/>
        <v>9977000</v>
      </c>
      <c r="T1519" s="7">
        <f t="shared" si="257"/>
        <v>3023333.3333333335</v>
      </c>
      <c r="U1519" s="7">
        <f t="shared" si="258"/>
        <v>10281000</v>
      </c>
      <c r="V1519" s="7">
        <f t="shared" si="259"/>
        <v>0</v>
      </c>
      <c r="W1519" s="7">
        <f t="shared" si="260"/>
        <v>0</v>
      </c>
      <c r="X1519" s="7">
        <f t="shared" si="261"/>
        <v>0</v>
      </c>
    </row>
    <row r="1520" spans="1:24">
      <c r="A1520">
        <v>1519</v>
      </c>
      <c r="B1520" s="96" t="s">
        <v>2084</v>
      </c>
      <c r="C1520" s="95">
        <v>42178</v>
      </c>
      <c r="D1520" s="82">
        <v>9035000</v>
      </c>
      <c r="E1520" s="82">
        <v>9020000</v>
      </c>
      <c r="F1520" s="82">
        <v>9055000</v>
      </c>
      <c r="G1520" s="82">
        <v>9035000</v>
      </c>
      <c r="I1520" s="97">
        <v>0</v>
      </c>
      <c r="J1520" s="97">
        <v>0</v>
      </c>
      <c r="K1520" s="97">
        <v>0</v>
      </c>
      <c r="M1520" s="7">
        <f t="shared" si="254"/>
        <v>0</v>
      </c>
      <c r="N1520" s="7">
        <f t="shared" si="263"/>
        <v>0</v>
      </c>
      <c r="O1520" s="7">
        <f t="shared" si="262"/>
        <v>-35000</v>
      </c>
      <c r="P1520" s="99">
        <f t="shared" si="255"/>
        <v>-3.858875413450937E-3</v>
      </c>
      <c r="Q1520" s="99">
        <f t="shared" si="264"/>
        <v>8.6736472237393305E-5</v>
      </c>
      <c r="S1520" s="7">
        <f t="shared" si="256"/>
        <v>9938500</v>
      </c>
      <c r="T1520" s="7">
        <f t="shared" si="257"/>
        <v>3011666.6666666665</v>
      </c>
      <c r="U1520" s="7">
        <f t="shared" si="258"/>
        <v>10270000</v>
      </c>
      <c r="V1520" s="7">
        <f t="shared" si="259"/>
        <v>0</v>
      </c>
      <c r="W1520" s="7">
        <f t="shared" si="260"/>
        <v>0</v>
      </c>
      <c r="X1520" s="7">
        <f t="shared" si="261"/>
        <v>0</v>
      </c>
    </row>
    <row r="1521" spans="1:24">
      <c r="A1521">
        <v>1520</v>
      </c>
      <c r="B1521" s="96" t="s">
        <v>2083</v>
      </c>
      <c r="C1521" s="95">
        <v>42179</v>
      </c>
      <c r="D1521" s="82">
        <v>9085000</v>
      </c>
      <c r="E1521" s="82">
        <v>9045000</v>
      </c>
      <c r="F1521" s="82">
        <v>9096000</v>
      </c>
      <c r="G1521" s="82">
        <v>9085000</v>
      </c>
      <c r="I1521" s="98">
        <v>0</v>
      </c>
      <c r="J1521" s="98">
        <v>0</v>
      </c>
      <c r="K1521" s="98">
        <v>0</v>
      </c>
      <c r="M1521" s="7">
        <f t="shared" si="254"/>
        <v>0</v>
      </c>
      <c r="N1521" s="7">
        <f t="shared" si="263"/>
        <v>0</v>
      </c>
      <c r="O1521" s="7">
        <f t="shared" si="262"/>
        <v>50000</v>
      </c>
      <c r="P1521" s="99">
        <f t="shared" si="255"/>
        <v>5.5340343110127279E-3</v>
      </c>
      <c r="Q1521" s="99">
        <f t="shared" si="264"/>
        <v>6.3800438844466897E-4</v>
      </c>
      <c r="S1521" s="7">
        <f t="shared" si="256"/>
        <v>9993500</v>
      </c>
      <c r="T1521" s="7">
        <f t="shared" si="257"/>
        <v>3028333.3333333335</v>
      </c>
      <c r="U1521" s="7">
        <f t="shared" si="258"/>
        <v>10243000</v>
      </c>
      <c r="V1521" s="7">
        <f t="shared" si="259"/>
        <v>0</v>
      </c>
      <c r="W1521" s="7">
        <f t="shared" si="260"/>
        <v>0</v>
      </c>
      <c r="X1521" s="7">
        <f t="shared" si="261"/>
        <v>0</v>
      </c>
    </row>
    <row r="1522" spans="1:24">
      <c r="A1522">
        <v>1521</v>
      </c>
      <c r="B1522" s="96" t="s">
        <v>2082</v>
      </c>
      <c r="C1522" s="95">
        <v>42180</v>
      </c>
      <c r="D1522" s="82">
        <v>9090000</v>
      </c>
      <c r="E1522" s="82">
        <v>9090000</v>
      </c>
      <c r="F1522" s="82">
        <v>9125000</v>
      </c>
      <c r="G1522" s="82">
        <v>9090000</v>
      </c>
      <c r="I1522" s="82">
        <f>G1522*1.1</f>
        <v>9999000</v>
      </c>
      <c r="J1522" s="82">
        <f>G1522/3</f>
        <v>3030000</v>
      </c>
      <c r="K1522" s="7">
        <f>G1790</f>
        <v>10098000</v>
      </c>
      <c r="L1522" s="7">
        <f>K1522-I1522</f>
        <v>99000</v>
      </c>
      <c r="M1522" s="7">
        <f t="shared" si="254"/>
        <v>378750</v>
      </c>
      <c r="N1522" s="7">
        <f t="shared" si="263"/>
        <v>477750</v>
      </c>
      <c r="O1522" s="7">
        <f t="shared" si="262"/>
        <v>5000</v>
      </c>
      <c r="P1522" s="99">
        <f t="shared" si="255"/>
        <v>5.5035773252614197E-4</v>
      </c>
      <c r="Q1522" s="99">
        <f t="shared" si="264"/>
        <v>-4.7247957296785159E-4</v>
      </c>
      <c r="R1522">
        <v>1</v>
      </c>
      <c r="S1522" s="7">
        <f t="shared" si="256"/>
        <v>9999000</v>
      </c>
      <c r="T1522" s="7">
        <f t="shared" si="257"/>
        <v>3030000</v>
      </c>
      <c r="U1522" s="7">
        <f t="shared" si="258"/>
        <v>10098000</v>
      </c>
      <c r="V1522" s="7">
        <f t="shared" si="259"/>
        <v>99000</v>
      </c>
      <c r="W1522" s="7">
        <f t="shared" si="260"/>
        <v>378750</v>
      </c>
      <c r="X1522" s="7">
        <f t="shared" si="261"/>
        <v>477750</v>
      </c>
    </row>
    <row r="1523" spans="1:24">
      <c r="A1523">
        <v>1522</v>
      </c>
      <c r="B1523" s="96" t="s">
        <v>2081</v>
      </c>
      <c r="C1523" s="95">
        <v>42182</v>
      </c>
      <c r="D1523" s="82">
        <v>9090000</v>
      </c>
      <c r="E1523" s="82">
        <v>9070000</v>
      </c>
      <c r="F1523" s="82">
        <v>9115000</v>
      </c>
      <c r="G1523" s="82">
        <v>9090000</v>
      </c>
      <c r="I1523" s="97">
        <v>0</v>
      </c>
      <c r="J1523" s="97">
        <v>0</v>
      </c>
      <c r="K1523" s="97">
        <v>0</v>
      </c>
      <c r="M1523" s="7">
        <f t="shared" si="254"/>
        <v>0</v>
      </c>
      <c r="N1523" s="7">
        <f t="shared" si="263"/>
        <v>0</v>
      </c>
      <c r="O1523" s="7">
        <f t="shared" si="262"/>
        <v>0</v>
      </c>
      <c r="P1523" s="99">
        <f t="shared" si="255"/>
        <v>0</v>
      </c>
      <c r="Q1523" s="99">
        <f t="shared" si="264"/>
        <v>-7.6228919174494095E-3</v>
      </c>
      <c r="S1523" s="7">
        <f t="shared" si="256"/>
        <v>9999000</v>
      </c>
      <c r="T1523" s="7">
        <f t="shared" si="257"/>
        <v>3030000</v>
      </c>
      <c r="U1523" s="7">
        <f t="shared" si="258"/>
        <v>10246000</v>
      </c>
      <c r="V1523" s="7">
        <f t="shared" si="259"/>
        <v>0</v>
      </c>
      <c r="W1523" s="7">
        <f t="shared" si="260"/>
        <v>0</v>
      </c>
      <c r="X1523" s="7">
        <f t="shared" si="261"/>
        <v>0</v>
      </c>
    </row>
    <row r="1524" spans="1:24">
      <c r="A1524">
        <v>1523</v>
      </c>
      <c r="B1524" s="96" t="s">
        <v>2080</v>
      </c>
      <c r="C1524" s="95">
        <v>42183</v>
      </c>
      <c r="D1524" s="82">
        <v>9120000</v>
      </c>
      <c r="E1524" s="82">
        <v>9110000</v>
      </c>
      <c r="F1524" s="82">
        <v>9170000</v>
      </c>
      <c r="G1524" s="82">
        <v>9120000</v>
      </c>
      <c r="I1524" s="97">
        <v>0</v>
      </c>
      <c r="J1524" s="97">
        <v>0</v>
      </c>
      <c r="K1524" s="97">
        <v>0</v>
      </c>
      <c r="M1524" s="7">
        <f t="shared" si="254"/>
        <v>0</v>
      </c>
      <c r="N1524" s="7">
        <f t="shared" si="263"/>
        <v>0</v>
      </c>
      <c r="O1524" s="7">
        <f t="shared" si="262"/>
        <v>30000</v>
      </c>
      <c r="P1524" s="99">
        <f t="shared" si="255"/>
        <v>3.3003300330033004E-3</v>
      </c>
      <c r="Q1524" s="99">
        <f t="shared" si="264"/>
        <v>-1.6185251052223367E-3</v>
      </c>
      <c r="S1524" s="7">
        <f t="shared" si="256"/>
        <v>10032000</v>
      </c>
      <c r="T1524" s="7">
        <f t="shared" si="257"/>
        <v>3040000</v>
      </c>
      <c r="U1524" s="7">
        <f t="shared" si="258"/>
        <v>10094000</v>
      </c>
      <c r="V1524" s="7">
        <f t="shared" si="259"/>
        <v>0</v>
      </c>
      <c r="W1524" s="7">
        <f t="shared" si="260"/>
        <v>0</v>
      </c>
      <c r="X1524" s="7">
        <f t="shared" si="261"/>
        <v>0</v>
      </c>
    </row>
    <row r="1525" spans="1:24">
      <c r="A1525">
        <v>1524</v>
      </c>
      <c r="B1525" s="96" t="s">
        <v>2079</v>
      </c>
      <c r="C1525" s="95">
        <v>42184</v>
      </c>
      <c r="D1525" s="82">
        <v>9080000</v>
      </c>
      <c r="E1525" s="82">
        <v>9080000</v>
      </c>
      <c r="F1525" s="82">
        <v>9185000</v>
      </c>
      <c r="G1525" s="82">
        <v>9080000</v>
      </c>
      <c r="I1525" s="97">
        <v>0</v>
      </c>
      <c r="J1525" s="97">
        <v>0</v>
      </c>
      <c r="K1525" s="97">
        <v>0</v>
      </c>
      <c r="M1525" s="7">
        <f t="shared" si="254"/>
        <v>0</v>
      </c>
      <c r="N1525" s="7">
        <f t="shared" si="263"/>
        <v>0</v>
      </c>
      <c r="O1525" s="7">
        <f t="shared" si="262"/>
        <v>-40000</v>
      </c>
      <c r="P1525" s="99">
        <f t="shared" si="255"/>
        <v>-4.3859649122807015E-3</v>
      </c>
      <c r="Q1525" s="99">
        <f t="shared" si="264"/>
        <v>5.525846663091233E-3</v>
      </c>
      <c r="S1525" s="7">
        <f t="shared" si="256"/>
        <v>9988000</v>
      </c>
      <c r="T1525" s="7">
        <f t="shared" si="257"/>
        <v>3026666.6666666665</v>
      </c>
      <c r="U1525" s="7">
        <f t="shared" si="258"/>
        <v>10112000</v>
      </c>
      <c r="V1525" s="7">
        <f t="shared" si="259"/>
        <v>0</v>
      </c>
      <c r="W1525" s="7">
        <f t="shared" si="260"/>
        <v>0</v>
      </c>
      <c r="X1525" s="7">
        <f t="shared" si="261"/>
        <v>0</v>
      </c>
    </row>
    <row r="1526" spans="1:24">
      <c r="A1526">
        <v>1525</v>
      </c>
      <c r="B1526" s="96" t="s">
        <v>2078</v>
      </c>
      <c r="C1526" s="95">
        <v>42185</v>
      </c>
      <c r="D1526" s="82">
        <v>9050000</v>
      </c>
      <c r="E1526" s="82">
        <v>9025000</v>
      </c>
      <c r="F1526" s="82">
        <v>9055000</v>
      </c>
      <c r="G1526" s="82">
        <v>9050000</v>
      </c>
      <c r="I1526" s="98">
        <v>0</v>
      </c>
      <c r="J1526" s="98">
        <v>0</v>
      </c>
      <c r="K1526" s="98">
        <v>0</v>
      </c>
      <c r="M1526" s="7">
        <f t="shared" si="254"/>
        <v>0</v>
      </c>
      <c r="N1526" s="7">
        <f t="shared" si="263"/>
        <v>0</v>
      </c>
      <c r="O1526" s="7">
        <f t="shared" si="262"/>
        <v>-30000</v>
      </c>
      <c r="P1526" s="99">
        <f t="shared" si="255"/>
        <v>-3.3039647577092512E-3</v>
      </c>
      <c r="Q1526" s="99">
        <f t="shared" si="264"/>
        <v>4.9987571642614685E-3</v>
      </c>
      <c r="S1526" s="7">
        <f t="shared" si="256"/>
        <v>9955000</v>
      </c>
      <c r="T1526" s="7">
        <f t="shared" si="257"/>
        <v>3016666.6666666665</v>
      </c>
      <c r="U1526" s="7">
        <f t="shared" si="258"/>
        <v>10097000</v>
      </c>
      <c r="V1526" s="7">
        <f t="shared" si="259"/>
        <v>0</v>
      </c>
      <c r="W1526" s="7">
        <f t="shared" si="260"/>
        <v>0</v>
      </c>
      <c r="X1526" s="7">
        <f t="shared" si="261"/>
        <v>0</v>
      </c>
    </row>
    <row r="1527" spans="1:24">
      <c r="A1527">
        <v>1526</v>
      </c>
      <c r="B1527" s="96" t="s">
        <v>2077</v>
      </c>
      <c r="C1527" s="95">
        <v>42186</v>
      </c>
      <c r="D1527" s="82">
        <v>9021000</v>
      </c>
      <c r="E1527" s="82">
        <v>9021000</v>
      </c>
      <c r="F1527" s="82">
        <v>9085000</v>
      </c>
      <c r="G1527" s="82">
        <v>9021000</v>
      </c>
      <c r="I1527" s="82">
        <f>G1527*1.1</f>
        <v>9923100</v>
      </c>
      <c r="J1527" s="82">
        <f>G1527/3</f>
        <v>3007000</v>
      </c>
      <c r="K1527" s="7">
        <f>G1795</f>
        <v>10062000</v>
      </c>
      <c r="L1527" s="7">
        <f>K1527-I1527</f>
        <v>138900</v>
      </c>
      <c r="M1527" s="7">
        <f t="shared" si="254"/>
        <v>375875</v>
      </c>
      <c r="N1527" s="7">
        <f t="shared" si="263"/>
        <v>514775</v>
      </c>
      <c r="O1527" s="7">
        <f t="shared" si="262"/>
        <v>-29000</v>
      </c>
      <c r="P1527" s="99">
        <f t="shared" si="255"/>
        <v>-3.2044198895027623E-3</v>
      </c>
      <c r="Q1527" s="99">
        <f t="shared" si="264"/>
        <v>-3.8392419044605106E-3</v>
      </c>
      <c r="R1527">
        <v>1</v>
      </c>
      <c r="S1527" s="7">
        <f t="shared" si="256"/>
        <v>9923100</v>
      </c>
      <c r="T1527" s="7">
        <f t="shared" si="257"/>
        <v>3007000</v>
      </c>
      <c r="U1527" s="7">
        <f t="shared" si="258"/>
        <v>10062000</v>
      </c>
      <c r="V1527" s="7">
        <f t="shared" si="259"/>
        <v>138900</v>
      </c>
      <c r="W1527" s="7">
        <f t="shared" si="260"/>
        <v>375875</v>
      </c>
      <c r="X1527" s="7">
        <f t="shared" si="261"/>
        <v>514775</v>
      </c>
    </row>
    <row r="1528" spans="1:24">
      <c r="A1528">
        <v>1527</v>
      </c>
      <c r="B1528" s="96" t="s">
        <v>2076</v>
      </c>
      <c r="C1528" s="95">
        <v>42187</v>
      </c>
      <c r="D1528" s="82">
        <v>8970000</v>
      </c>
      <c r="E1528" s="82">
        <v>8945000</v>
      </c>
      <c r="F1528" s="82">
        <v>8985000</v>
      </c>
      <c r="G1528" s="82">
        <v>8970000</v>
      </c>
      <c r="I1528" s="97">
        <v>0</v>
      </c>
      <c r="J1528" s="97">
        <v>0</v>
      </c>
      <c r="K1528" s="97">
        <v>0</v>
      </c>
      <c r="M1528" s="7">
        <f t="shared" si="254"/>
        <v>0</v>
      </c>
      <c r="N1528" s="7">
        <f t="shared" si="263"/>
        <v>0</v>
      </c>
      <c r="O1528" s="7">
        <f t="shared" si="262"/>
        <v>-51000</v>
      </c>
      <c r="P1528" s="99">
        <f t="shared" si="255"/>
        <v>-5.6534752244762222E-3</v>
      </c>
      <c r="Q1528" s="99">
        <f t="shared" si="264"/>
        <v>-7.5940195264894142E-3</v>
      </c>
      <c r="S1528" s="7">
        <f t="shared" si="256"/>
        <v>9867000</v>
      </c>
      <c r="T1528" s="7">
        <f t="shared" si="257"/>
        <v>2990000</v>
      </c>
      <c r="U1528" s="7">
        <f t="shared" si="258"/>
        <v>9988000</v>
      </c>
      <c r="V1528" s="7">
        <f t="shared" si="259"/>
        <v>0</v>
      </c>
      <c r="W1528" s="7">
        <f t="shared" si="260"/>
        <v>0</v>
      </c>
      <c r="X1528" s="7">
        <f t="shared" si="261"/>
        <v>0</v>
      </c>
    </row>
    <row r="1529" spans="1:24">
      <c r="A1529">
        <v>1528</v>
      </c>
      <c r="B1529" s="96" t="s">
        <v>2075</v>
      </c>
      <c r="C1529" s="95">
        <v>42189</v>
      </c>
      <c r="D1529" s="82">
        <v>8935000</v>
      </c>
      <c r="E1529" s="82">
        <v>8930000</v>
      </c>
      <c r="F1529" s="82">
        <v>8980000</v>
      </c>
      <c r="G1529" s="82">
        <v>8935000</v>
      </c>
      <c r="I1529" s="97">
        <v>0</v>
      </c>
      <c r="J1529" s="97">
        <v>0</v>
      </c>
      <c r="K1529" s="97">
        <v>0</v>
      </c>
      <c r="M1529" s="7">
        <f t="shared" si="254"/>
        <v>0</v>
      </c>
      <c r="N1529" s="7">
        <f t="shared" si="263"/>
        <v>0</v>
      </c>
      <c r="O1529" s="7">
        <f t="shared" si="262"/>
        <v>-35000</v>
      </c>
      <c r="P1529" s="99">
        <f t="shared" si="255"/>
        <v>-3.9018952062430325E-3</v>
      </c>
      <c r="Q1529" s="99">
        <f t="shared" si="264"/>
        <v>-1.3247494750965635E-2</v>
      </c>
      <c r="S1529" s="7">
        <f t="shared" si="256"/>
        <v>9828500</v>
      </c>
      <c r="T1529" s="7">
        <f t="shared" si="257"/>
        <v>2978333.3333333335</v>
      </c>
      <c r="U1529" s="7">
        <f t="shared" si="258"/>
        <v>10020000</v>
      </c>
      <c r="V1529" s="7">
        <f t="shared" si="259"/>
        <v>0</v>
      </c>
      <c r="W1529" s="7">
        <f t="shared" si="260"/>
        <v>0</v>
      </c>
      <c r="X1529" s="7">
        <f t="shared" si="261"/>
        <v>0</v>
      </c>
    </row>
    <row r="1530" spans="1:24">
      <c r="A1530">
        <v>1529</v>
      </c>
      <c r="B1530" s="96" t="s">
        <v>2074</v>
      </c>
      <c r="C1530" s="95">
        <v>42190</v>
      </c>
      <c r="D1530" s="82">
        <v>8870000</v>
      </c>
      <c r="E1530" s="82">
        <v>8860000</v>
      </c>
      <c r="F1530" s="82">
        <v>8930000</v>
      </c>
      <c r="G1530" s="82">
        <v>8870000</v>
      </c>
      <c r="I1530" s="97">
        <v>0</v>
      </c>
      <c r="J1530" s="97">
        <v>0</v>
      </c>
      <c r="K1530" s="97">
        <v>0</v>
      </c>
      <c r="M1530" s="7">
        <f t="shared" si="254"/>
        <v>0</v>
      </c>
      <c r="N1530" s="7">
        <f t="shared" si="263"/>
        <v>0</v>
      </c>
      <c r="O1530" s="7">
        <f t="shared" si="262"/>
        <v>-65000</v>
      </c>
      <c r="P1530" s="99">
        <f t="shared" si="255"/>
        <v>-7.2747621712367094E-3</v>
      </c>
      <c r="Q1530" s="99">
        <f t="shared" si="264"/>
        <v>-2.0449719990211966E-2</v>
      </c>
      <c r="S1530" s="7">
        <f t="shared" si="256"/>
        <v>9757000</v>
      </c>
      <c r="T1530" s="7">
        <f t="shared" si="257"/>
        <v>2956666.6666666665</v>
      </c>
      <c r="U1530" s="7">
        <f t="shared" si="258"/>
        <v>10000000</v>
      </c>
      <c r="V1530" s="7">
        <f t="shared" si="259"/>
        <v>0</v>
      </c>
      <c r="W1530" s="7">
        <f t="shared" si="260"/>
        <v>0</v>
      </c>
      <c r="X1530" s="7">
        <f t="shared" si="261"/>
        <v>0</v>
      </c>
    </row>
    <row r="1531" spans="1:24">
      <c r="A1531">
        <v>1530</v>
      </c>
      <c r="B1531" s="96" t="s">
        <v>2073</v>
      </c>
      <c r="C1531" s="95">
        <v>42191</v>
      </c>
      <c r="D1531" s="82">
        <v>8750000</v>
      </c>
      <c r="E1531" s="82">
        <v>8750000</v>
      </c>
      <c r="F1531" s="82">
        <v>8885000</v>
      </c>
      <c r="G1531" s="82">
        <v>8750000</v>
      </c>
      <c r="I1531" s="98">
        <v>0</v>
      </c>
      <c r="J1531" s="98">
        <v>0</v>
      </c>
      <c r="K1531" s="98">
        <v>0</v>
      </c>
      <c r="M1531" s="7">
        <f t="shared" si="254"/>
        <v>0</v>
      </c>
      <c r="N1531" s="7">
        <f t="shared" si="263"/>
        <v>0</v>
      </c>
      <c r="O1531" s="7">
        <f t="shared" si="262"/>
        <v>-120000</v>
      </c>
      <c r="P1531" s="99">
        <f t="shared" si="255"/>
        <v>-1.3528748590755355E-2</v>
      </c>
      <c r="Q1531" s="99">
        <f t="shared" si="264"/>
        <v>-2.3338517249167978E-2</v>
      </c>
      <c r="S1531" s="7">
        <f t="shared" si="256"/>
        <v>9625000</v>
      </c>
      <c r="T1531" s="7">
        <f t="shared" si="257"/>
        <v>2916666.6666666665</v>
      </c>
      <c r="U1531" s="7">
        <f t="shared" si="258"/>
        <v>9975000</v>
      </c>
      <c r="V1531" s="7">
        <f t="shared" si="259"/>
        <v>0</v>
      </c>
      <c r="W1531" s="7">
        <f t="shared" si="260"/>
        <v>0</v>
      </c>
      <c r="X1531" s="7">
        <f t="shared" si="261"/>
        <v>0</v>
      </c>
    </row>
    <row r="1532" spans="1:24">
      <c r="A1532">
        <v>1531</v>
      </c>
      <c r="B1532" s="96" t="s">
        <v>2072</v>
      </c>
      <c r="C1532" s="95">
        <v>42192</v>
      </c>
      <c r="D1532" s="82">
        <v>8735000</v>
      </c>
      <c r="E1532" s="82">
        <v>8675000</v>
      </c>
      <c r="F1532" s="82">
        <v>8800000</v>
      </c>
      <c r="G1532" s="82">
        <v>8735000</v>
      </c>
      <c r="I1532" s="82">
        <f>G1532*1.1</f>
        <v>9608500</v>
      </c>
      <c r="J1532" s="82">
        <f>G1532/3</f>
        <v>2911666.6666666665</v>
      </c>
      <c r="K1532" s="7">
        <f>G1800</f>
        <v>10002000</v>
      </c>
      <c r="L1532" s="7">
        <f>K1532-I1532</f>
        <v>393500</v>
      </c>
      <c r="M1532" s="7">
        <f t="shared" si="254"/>
        <v>363958.33333333326</v>
      </c>
      <c r="N1532" s="7">
        <f t="shared" si="263"/>
        <v>757458.33333333326</v>
      </c>
      <c r="O1532" s="7">
        <f t="shared" si="262"/>
        <v>-15000</v>
      </c>
      <c r="P1532" s="99">
        <f t="shared" si="255"/>
        <v>-1.7142857142857142E-3</v>
      </c>
      <c r="Q1532" s="99">
        <f t="shared" si="264"/>
        <v>-3.356330108221408E-2</v>
      </c>
      <c r="R1532">
        <v>1</v>
      </c>
      <c r="S1532" s="7">
        <f t="shared" si="256"/>
        <v>9608500</v>
      </c>
      <c r="T1532" s="7">
        <f t="shared" si="257"/>
        <v>2911666.6666666665</v>
      </c>
      <c r="U1532" s="7">
        <f t="shared" si="258"/>
        <v>10002000</v>
      </c>
      <c r="V1532" s="7">
        <f t="shared" si="259"/>
        <v>393500</v>
      </c>
      <c r="W1532" s="7">
        <f t="shared" si="260"/>
        <v>363958.33333333326</v>
      </c>
      <c r="X1532" s="7">
        <f t="shared" si="261"/>
        <v>757458.33333333326</v>
      </c>
    </row>
    <row r="1533" spans="1:24">
      <c r="A1533">
        <v>1532</v>
      </c>
      <c r="B1533" s="96" t="s">
        <v>2071</v>
      </c>
      <c r="C1533" s="95">
        <v>42193</v>
      </c>
      <c r="D1533" s="82">
        <v>8755000</v>
      </c>
      <c r="E1533" s="82">
        <v>8705000</v>
      </c>
      <c r="F1533" s="82">
        <v>8755000</v>
      </c>
      <c r="G1533" s="82">
        <v>8755000</v>
      </c>
      <c r="I1533" s="97">
        <v>0</v>
      </c>
      <c r="J1533" s="97">
        <v>0</v>
      </c>
      <c r="K1533" s="97">
        <v>0</v>
      </c>
      <c r="M1533" s="7">
        <f t="shared" si="254"/>
        <v>0</v>
      </c>
      <c r="N1533" s="7">
        <f t="shared" si="263"/>
        <v>0</v>
      </c>
      <c r="O1533" s="7">
        <f t="shared" si="262"/>
        <v>20000</v>
      </c>
      <c r="P1533" s="99">
        <f t="shared" si="255"/>
        <v>2.2896393817973667E-3</v>
      </c>
      <c r="Q1533" s="99">
        <f t="shared" si="264"/>
        <v>-3.2073166906997033E-2</v>
      </c>
      <c r="S1533" s="7">
        <f t="shared" si="256"/>
        <v>9630500</v>
      </c>
      <c r="T1533" s="7">
        <f t="shared" si="257"/>
        <v>2918333.3333333335</v>
      </c>
      <c r="U1533" s="7">
        <f t="shared" si="258"/>
        <v>10014000</v>
      </c>
      <c r="V1533" s="7">
        <f t="shared" si="259"/>
        <v>0</v>
      </c>
      <c r="W1533" s="7">
        <f t="shared" si="260"/>
        <v>0</v>
      </c>
      <c r="X1533" s="7">
        <f t="shared" si="261"/>
        <v>0</v>
      </c>
    </row>
    <row r="1534" spans="1:24">
      <c r="A1534">
        <v>1533</v>
      </c>
      <c r="B1534" s="96" t="s">
        <v>2070</v>
      </c>
      <c r="C1534" s="95">
        <v>42194</v>
      </c>
      <c r="D1534" s="82">
        <v>8640000</v>
      </c>
      <c r="E1534" s="82">
        <v>8640000</v>
      </c>
      <c r="F1534" s="82">
        <v>8735000</v>
      </c>
      <c r="G1534" s="82">
        <v>8640000</v>
      </c>
      <c r="I1534" s="97">
        <v>0</v>
      </c>
      <c r="J1534" s="97">
        <v>0</v>
      </c>
      <c r="K1534" s="97">
        <v>0</v>
      </c>
      <c r="M1534" s="7">
        <f t="shared" si="254"/>
        <v>0</v>
      </c>
      <c r="N1534" s="7">
        <f t="shared" si="263"/>
        <v>0</v>
      </c>
      <c r="O1534" s="7">
        <f t="shared" si="262"/>
        <v>-115000</v>
      </c>
      <c r="P1534" s="99">
        <f t="shared" si="255"/>
        <v>-1.3135351227869789E-2</v>
      </c>
      <c r="Q1534" s="99">
        <f t="shared" si="264"/>
        <v>-2.4130052300723442E-2</v>
      </c>
      <c r="S1534" s="7">
        <f t="shared" si="256"/>
        <v>9504000</v>
      </c>
      <c r="T1534" s="7">
        <f t="shared" si="257"/>
        <v>2880000</v>
      </c>
      <c r="U1534" s="7">
        <f t="shared" si="258"/>
        <v>9986000</v>
      </c>
      <c r="V1534" s="7">
        <f t="shared" si="259"/>
        <v>0</v>
      </c>
      <c r="W1534" s="7">
        <f t="shared" si="260"/>
        <v>0</v>
      </c>
      <c r="X1534" s="7">
        <f t="shared" si="261"/>
        <v>0</v>
      </c>
    </row>
    <row r="1535" spans="1:24">
      <c r="A1535">
        <v>1534</v>
      </c>
      <c r="B1535" s="96" t="s">
        <v>2069</v>
      </c>
      <c r="C1535" s="95">
        <v>42196</v>
      </c>
      <c r="D1535" s="82">
        <v>8855000</v>
      </c>
      <c r="E1535" s="82">
        <v>8680000</v>
      </c>
      <c r="F1535" s="82">
        <v>8875000</v>
      </c>
      <c r="G1535" s="82">
        <v>8855000</v>
      </c>
      <c r="I1535" s="97">
        <v>0</v>
      </c>
      <c r="J1535" s="97">
        <v>0</v>
      </c>
      <c r="K1535" s="97">
        <v>0</v>
      </c>
      <c r="M1535" s="7">
        <f t="shared" si="254"/>
        <v>0</v>
      </c>
      <c r="N1535" s="7">
        <f t="shared" si="263"/>
        <v>0</v>
      </c>
      <c r="O1535" s="7">
        <f t="shared" si="262"/>
        <v>215000</v>
      </c>
      <c r="P1535" s="99">
        <f t="shared" si="255"/>
        <v>2.4884259259259259E-2</v>
      </c>
      <c r="Q1535" s="99">
        <f t="shared" si="264"/>
        <v>-3.3363508322350202E-2</v>
      </c>
      <c r="S1535" s="7">
        <f t="shared" si="256"/>
        <v>9740500</v>
      </c>
      <c r="T1535" s="7">
        <f t="shared" si="257"/>
        <v>2951666.6666666665</v>
      </c>
      <c r="U1535" s="7">
        <f t="shared" si="258"/>
        <v>10025000</v>
      </c>
      <c r="V1535" s="7">
        <f t="shared" si="259"/>
        <v>0</v>
      </c>
      <c r="W1535" s="7">
        <f t="shared" si="260"/>
        <v>0</v>
      </c>
      <c r="X1535" s="7">
        <f t="shared" si="261"/>
        <v>0</v>
      </c>
    </row>
    <row r="1536" spans="1:24">
      <c r="A1536">
        <v>1535</v>
      </c>
      <c r="B1536" s="96" t="s">
        <v>2068</v>
      </c>
      <c r="C1536" s="95">
        <v>42197</v>
      </c>
      <c r="D1536" s="82">
        <v>8655000</v>
      </c>
      <c r="E1536" s="82">
        <v>8620000</v>
      </c>
      <c r="F1536" s="82">
        <v>8800000</v>
      </c>
      <c r="G1536" s="82">
        <v>8655000</v>
      </c>
      <c r="I1536" s="98">
        <v>0</v>
      </c>
      <c r="J1536" s="98">
        <v>0</v>
      </c>
      <c r="K1536" s="98">
        <v>0</v>
      </c>
      <c r="M1536" s="7">
        <f t="shared" si="254"/>
        <v>0</v>
      </c>
      <c r="N1536" s="7">
        <f t="shared" si="263"/>
        <v>0</v>
      </c>
      <c r="O1536" s="7">
        <f t="shared" si="262"/>
        <v>-200000</v>
      </c>
      <c r="P1536" s="99">
        <f t="shared" si="255"/>
        <v>-2.258610954263128E-2</v>
      </c>
      <c r="Q1536" s="99">
        <f t="shared" si="264"/>
        <v>-1.2044868918542305E-3</v>
      </c>
      <c r="S1536" s="7">
        <f t="shared" si="256"/>
        <v>9520500</v>
      </c>
      <c r="T1536" s="7">
        <f t="shared" si="257"/>
        <v>2885000</v>
      </c>
      <c r="U1536" s="7">
        <f t="shared" si="258"/>
        <v>10126000</v>
      </c>
      <c r="V1536" s="7">
        <f t="shared" si="259"/>
        <v>0</v>
      </c>
      <c r="W1536" s="7">
        <f t="shared" si="260"/>
        <v>0</v>
      </c>
      <c r="X1536" s="7">
        <f t="shared" si="261"/>
        <v>0</v>
      </c>
    </row>
    <row r="1537" spans="1:24">
      <c r="A1537">
        <v>1536</v>
      </c>
      <c r="B1537" s="96" t="s">
        <v>2067</v>
      </c>
      <c r="C1537" s="95">
        <v>42198</v>
      </c>
      <c r="D1537" s="82">
        <v>8755000</v>
      </c>
      <c r="E1537" s="82">
        <v>8610000</v>
      </c>
      <c r="F1537" s="82">
        <v>8770000</v>
      </c>
      <c r="G1537" s="82">
        <v>8755000</v>
      </c>
      <c r="I1537" s="82">
        <f>G1537*1.1</f>
        <v>9630500</v>
      </c>
      <c r="J1537" s="82">
        <f>G1537/3</f>
        <v>2918333.3333333335</v>
      </c>
      <c r="K1537" s="7">
        <f>G1805</f>
        <v>10080000</v>
      </c>
      <c r="L1537" s="7">
        <f>K1537-I1537</f>
        <v>449500</v>
      </c>
      <c r="M1537" s="7">
        <f t="shared" si="254"/>
        <v>364791.66666666674</v>
      </c>
      <c r="N1537" s="7">
        <f t="shared" si="263"/>
        <v>814291.66666666674</v>
      </c>
      <c r="O1537" s="7">
        <f t="shared" si="262"/>
        <v>100000</v>
      </c>
      <c r="P1537" s="99">
        <f t="shared" si="255"/>
        <v>1.1554015020219527E-2</v>
      </c>
      <c r="Q1537" s="99">
        <f t="shared" si="264"/>
        <v>-1.0261847843730158E-2</v>
      </c>
      <c r="R1537">
        <v>1</v>
      </c>
      <c r="S1537" s="7">
        <f t="shared" si="256"/>
        <v>9630500</v>
      </c>
      <c r="T1537" s="7">
        <f t="shared" si="257"/>
        <v>2918333.3333333335</v>
      </c>
      <c r="U1537" s="7">
        <f t="shared" si="258"/>
        <v>10080000</v>
      </c>
      <c r="V1537" s="7">
        <f t="shared" si="259"/>
        <v>449500</v>
      </c>
      <c r="W1537" s="7">
        <f t="shared" si="260"/>
        <v>364791.66666666674</v>
      </c>
      <c r="X1537" s="7">
        <f t="shared" si="261"/>
        <v>814291.66666666674</v>
      </c>
    </row>
    <row r="1538" spans="1:24">
      <c r="A1538">
        <v>1537</v>
      </c>
      <c r="B1538" s="96" t="s">
        <v>2066</v>
      </c>
      <c r="C1538" s="95">
        <v>42199</v>
      </c>
      <c r="D1538" s="82">
        <v>8915000</v>
      </c>
      <c r="E1538" s="82">
        <v>8660000</v>
      </c>
      <c r="F1538" s="82">
        <v>8955000</v>
      </c>
      <c r="G1538" s="82">
        <v>8915000</v>
      </c>
      <c r="I1538" s="97">
        <v>0</v>
      </c>
      <c r="J1538" s="97">
        <v>0</v>
      </c>
      <c r="K1538" s="97">
        <v>0</v>
      </c>
      <c r="M1538" s="7">
        <f t="shared" ref="M1538:M1601" si="265">J1538*$AI$6/200</f>
        <v>0</v>
      </c>
      <c r="N1538" s="7">
        <f t="shared" si="263"/>
        <v>0</v>
      </c>
      <c r="O1538" s="7">
        <f t="shared" si="262"/>
        <v>160000</v>
      </c>
      <c r="P1538" s="99">
        <f t="shared" si="255"/>
        <v>1.8275271273557967E-2</v>
      </c>
      <c r="Q1538" s="99">
        <f t="shared" si="264"/>
        <v>3.0064528907750836E-3</v>
      </c>
      <c r="S1538" s="7">
        <f t="shared" si="256"/>
        <v>9806500</v>
      </c>
      <c r="T1538" s="7">
        <f t="shared" si="257"/>
        <v>2971666.6666666665</v>
      </c>
      <c r="U1538" s="7">
        <f t="shared" si="258"/>
        <v>10040000</v>
      </c>
      <c r="V1538" s="7">
        <f t="shared" si="259"/>
        <v>0</v>
      </c>
      <c r="W1538" s="7">
        <f t="shared" si="260"/>
        <v>0</v>
      </c>
      <c r="X1538" s="7">
        <f t="shared" si="261"/>
        <v>0</v>
      </c>
    </row>
    <row r="1539" spans="1:24">
      <c r="A1539">
        <v>1538</v>
      </c>
      <c r="B1539" s="96" t="s">
        <v>2065</v>
      </c>
      <c r="C1539" s="95">
        <v>42200</v>
      </c>
      <c r="D1539" s="82">
        <v>8880000</v>
      </c>
      <c r="E1539" s="82">
        <v>8840000</v>
      </c>
      <c r="F1539" s="82">
        <v>9020000</v>
      </c>
      <c r="G1539" s="82">
        <v>8880000</v>
      </c>
      <c r="I1539" s="97">
        <v>0</v>
      </c>
      <c r="J1539" s="97">
        <v>0</v>
      </c>
      <c r="K1539" s="97">
        <v>0</v>
      </c>
      <c r="M1539" s="7">
        <f t="shared" si="265"/>
        <v>0</v>
      </c>
      <c r="N1539" s="7">
        <f t="shared" si="263"/>
        <v>0</v>
      </c>
      <c r="O1539" s="7">
        <f t="shared" si="262"/>
        <v>-35000</v>
      </c>
      <c r="P1539" s="99">
        <f t="shared" ref="P1539:P1602" si="266">O1539/G1538</f>
        <v>-3.9259674705552439E-3</v>
      </c>
      <c r="Q1539" s="99">
        <f t="shared" si="264"/>
        <v>1.8992084782535681E-2</v>
      </c>
      <c r="S1539" s="7">
        <f t="shared" ref="S1539:S1602" si="267">G1539*1.1</f>
        <v>9768000</v>
      </c>
      <c r="T1539" s="7">
        <f t="shared" ref="T1539:T1602" si="268">G1539/3</f>
        <v>2960000</v>
      </c>
      <c r="U1539" s="7">
        <f t="shared" ref="U1539:U1602" si="269">G1807</f>
        <v>10168500</v>
      </c>
      <c r="V1539" s="7">
        <f t="shared" ref="V1539:V1602" si="270">(U1539-S1539)*R1539</f>
        <v>0</v>
      </c>
      <c r="W1539" s="7">
        <f t="shared" ref="W1539:W1602" si="271">(T1539*$AI$6/200)*R1539</f>
        <v>0</v>
      </c>
      <c r="X1539" s="7">
        <f t="shared" ref="X1539:X1602" si="272">V1539+W1539</f>
        <v>0</v>
      </c>
    </row>
    <row r="1540" spans="1:24">
      <c r="A1540">
        <v>1539</v>
      </c>
      <c r="B1540" s="96" t="s">
        <v>2064</v>
      </c>
      <c r="C1540" s="95">
        <v>42201</v>
      </c>
      <c r="D1540" s="82">
        <v>8750000</v>
      </c>
      <c r="E1540" s="82">
        <v>8750000</v>
      </c>
      <c r="F1540" s="82">
        <v>8870000</v>
      </c>
      <c r="G1540" s="82">
        <v>8750000</v>
      </c>
      <c r="I1540" s="97">
        <v>0</v>
      </c>
      <c r="J1540" s="97">
        <v>0</v>
      </c>
      <c r="K1540" s="97">
        <v>0</v>
      </c>
      <c r="M1540" s="7">
        <f t="shared" si="265"/>
        <v>0</v>
      </c>
      <c r="N1540" s="7">
        <f t="shared" si="263"/>
        <v>0</v>
      </c>
      <c r="O1540" s="7">
        <f t="shared" ref="O1540:O1603" si="273">G1540-G1539</f>
        <v>-130000</v>
      </c>
      <c r="P1540" s="99">
        <f t="shared" si="266"/>
        <v>-1.4639639639639639E-2</v>
      </c>
      <c r="Q1540" s="99">
        <f t="shared" si="264"/>
        <v>2.8201468539850227E-2</v>
      </c>
      <c r="S1540" s="7">
        <f t="shared" si="267"/>
        <v>9625000</v>
      </c>
      <c r="T1540" s="7">
        <f t="shared" si="268"/>
        <v>2916666.6666666665</v>
      </c>
      <c r="U1540" s="7">
        <f t="shared" si="269"/>
        <v>10267000</v>
      </c>
      <c r="V1540" s="7">
        <f t="shared" si="270"/>
        <v>0</v>
      </c>
      <c r="W1540" s="7">
        <f t="shared" si="271"/>
        <v>0</v>
      </c>
      <c r="X1540" s="7">
        <f t="shared" si="272"/>
        <v>0</v>
      </c>
    </row>
    <row r="1541" spans="1:24">
      <c r="A1541">
        <v>1540</v>
      </c>
      <c r="B1541" s="96" t="s">
        <v>2063</v>
      </c>
      <c r="C1541" s="95">
        <v>42205</v>
      </c>
      <c r="D1541" s="82">
        <v>8560000</v>
      </c>
      <c r="E1541" s="82">
        <v>8515000</v>
      </c>
      <c r="F1541" s="82">
        <v>8645000</v>
      </c>
      <c r="G1541" s="82">
        <v>8560000</v>
      </c>
      <c r="I1541" s="98">
        <v>0</v>
      </c>
      <c r="J1541" s="98">
        <v>0</v>
      </c>
      <c r="K1541" s="98">
        <v>0</v>
      </c>
      <c r="M1541" s="7">
        <f t="shared" si="265"/>
        <v>0</v>
      </c>
      <c r="N1541" s="7">
        <f t="shared" si="263"/>
        <v>0</v>
      </c>
      <c r="O1541" s="7">
        <f t="shared" si="273"/>
        <v>-190000</v>
      </c>
      <c r="P1541" s="99">
        <f t="shared" si="266"/>
        <v>-2.1714285714285714E-2</v>
      </c>
      <c r="Q1541" s="99">
        <f t="shared" si="264"/>
        <v>-1.1322430359048671E-2</v>
      </c>
      <c r="S1541" s="7">
        <f t="shared" si="267"/>
        <v>9416000</v>
      </c>
      <c r="T1541" s="7">
        <f t="shared" si="268"/>
        <v>2853333.3333333335</v>
      </c>
      <c r="U1541" s="7">
        <f t="shared" si="269"/>
        <v>10295000</v>
      </c>
      <c r="V1541" s="7">
        <f t="shared" si="270"/>
        <v>0</v>
      </c>
      <c r="W1541" s="7">
        <f t="shared" si="271"/>
        <v>0</v>
      </c>
      <c r="X1541" s="7">
        <f t="shared" si="272"/>
        <v>0</v>
      </c>
    </row>
    <row r="1542" spans="1:24">
      <c r="A1542">
        <v>1541</v>
      </c>
      <c r="B1542" s="96" t="s">
        <v>2062</v>
      </c>
      <c r="C1542" s="95">
        <v>42206</v>
      </c>
      <c r="D1542" s="82">
        <v>8675000</v>
      </c>
      <c r="E1542" s="82">
        <v>8545000</v>
      </c>
      <c r="F1542" s="82">
        <v>8675000</v>
      </c>
      <c r="G1542" s="82">
        <v>8675000</v>
      </c>
      <c r="I1542" s="82">
        <f>G1542*1.1</f>
        <v>9542500</v>
      </c>
      <c r="J1542" s="82">
        <f>G1542/3</f>
        <v>2891666.6666666665</v>
      </c>
      <c r="K1542" s="7">
        <f>G1810</f>
        <v>10288000</v>
      </c>
      <c r="L1542" s="7">
        <f>K1542-I1542</f>
        <v>745500</v>
      </c>
      <c r="M1542" s="7">
        <f t="shared" si="265"/>
        <v>361458.33333333326</v>
      </c>
      <c r="N1542" s="7">
        <f t="shared" si="263"/>
        <v>1106958.3333333333</v>
      </c>
      <c r="O1542" s="7">
        <f t="shared" si="273"/>
        <v>115000</v>
      </c>
      <c r="P1542" s="99">
        <f t="shared" si="266"/>
        <v>1.3434579439252336E-2</v>
      </c>
      <c r="Q1542" s="99">
        <f t="shared" si="264"/>
        <v>-1.0450606530703104E-2</v>
      </c>
      <c r="R1542">
        <v>1</v>
      </c>
      <c r="S1542" s="7">
        <f t="shared" si="267"/>
        <v>9542500</v>
      </c>
      <c r="T1542" s="7">
        <f t="shared" si="268"/>
        <v>2891666.6666666665</v>
      </c>
      <c r="U1542" s="7">
        <f t="shared" si="269"/>
        <v>10288000</v>
      </c>
      <c r="V1542" s="7">
        <f t="shared" si="270"/>
        <v>745500</v>
      </c>
      <c r="W1542" s="7">
        <f t="shared" si="271"/>
        <v>361458.33333333326</v>
      </c>
      <c r="X1542" s="7">
        <f t="shared" si="272"/>
        <v>1106958.3333333333</v>
      </c>
    </row>
    <row r="1543" spans="1:24">
      <c r="A1543">
        <v>1542</v>
      </c>
      <c r="B1543" s="96" t="s">
        <v>2061</v>
      </c>
      <c r="C1543" s="95">
        <v>42208</v>
      </c>
      <c r="D1543" s="82">
        <v>8645000</v>
      </c>
      <c r="E1543" s="82">
        <v>8630000</v>
      </c>
      <c r="F1543" s="82">
        <v>8670000</v>
      </c>
      <c r="G1543" s="82">
        <v>8645000</v>
      </c>
      <c r="I1543" s="97">
        <v>0</v>
      </c>
      <c r="J1543" s="97">
        <v>0</v>
      </c>
      <c r="K1543" s="97">
        <v>0</v>
      </c>
      <c r="M1543" s="7">
        <f t="shared" si="265"/>
        <v>0</v>
      </c>
      <c r="N1543" s="7">
        <f t="shared" si="263"/>
        <v>0</v>
      </c>
      <c r="O1543" s="7">
        <f t="shared" si="273"/>
        <v>-30000</v>
      </c>
      <c r="P1543" s="99">
        <f t="shared" si="266"/>
        <v>-3.4582132564841498E-3</v>
      </c>
      <c r="Q1543" s="99">
        <f t="shared" si="264"/>
        <v>-8.5700421116702927E-3</v>
      </c>
      <c r="S1543" s="7">
        <f t="shared" si="267"/>
        <v>9509500</v>
      </c>
      <c r="T1543" s="7">
        <f t="shared" si="268"/>
        <v>2881666.6666666665</v>
      </c>
      <c r="U1543" s="7">
        <f t="shared" si="269"/>
        <v>10306000</v>
      </c>
      <c r="V1543" s="7">
        <f t="shared" si="270"/>
        <v>0</v>
      </c>
      <c r="W1543" s="7">
        <f t="shared" si="271"/>
        <v>0</v>
      </c>
      <c r="X1543" s="7">
        <f t="shared" si="272"/>
        <v>0</v>
      </c>
    </row>
    <row r="1544" spans="1:24">
      <c r="A1544">
        <v>1543</v>
      </c>
      <c r="B1544" s="96" t="s">
        <v>2060</v>
      </c>
      <c r="C1544" s="95">
        <v>42207</v>
      </c>
      <c r="D1544" s="82">
        <v>8610000</v>
      </c>
      <c r="E1544" s="82">
        <v>8570000</v>
      </c>
      <c r="F1544" s="82">
        <v>8645000</v>
      </c>
      <c r="G1544" s="82">
        <v>8610000</v>
      </c>
      <c r="I1544" s="97">
        <v>0</v>
      </c>
      <c r="J1544" s="97">
        <v>0</v>
      </c>
      <c r="K1544" s="97">
        <v>0</v>
      </c>
      <c r="M1544" s="7">
        <f t="shared" si="265"/>
        <v>0</v>
      </c>
      <c r="N1544" s="7">
        <f t="shared" ref="N1544:N1607" si="274">L1544+M1544</f>
        <v>0</v>
      </c>
      <c r="O1544" s="7">
        <f t="shared" si="273"/>
        <v>-35000</v>
      </c>
      <c r="P1544" s="99">
        <f t="shared" si="266"/>
        <v>-4.048582995951417E-3</v>
      </c>
      <c r="Q1544" s="99">
        <f t="shared" ref="Q1544:Q1607" si="275">SUM(P1539:P1543)</f>
        <v>-3.0303526641712403E-2</v>
      </c>
      <c r="S1544" s="7">
        <f t="shared" si="267"/>
        <v>9471000</v>
      </c>
      <c r="T1544" s="7">
        <f t="shared" si="268"/>
        <v>2870000</v>
      </c>
      <c r="U1544" s="7">
        <f t="shared" si="269"/>
        <v>10317000</v>
      </c>
      <c r="V1544" s="7">
        <f t="shared" si="270"/>
        <v>0</v>
      </c>
      <c r="W1544" s="7">
        <f t="shared" si="271"/>
        <v>0</v>
      </c>
      <c r="X1544" s="7">
        <f t="shared" si="272"/>
        <v>0</v>
      </c>
    </row>
    <row r="1545" spans="1:24">
      <c r="A1545">
        <v>1544</v>
      </c>
      <c r="B1545" s="96" t="s">
        <v>2059</v>
      </c>
      <c r="C1545" s="95">
        <v>42210</v>
      </c>
      <c r="D1545" s="82">
        <v>8735000</v>
      </c>
      <c r="E1545" s="82">
        <v>8650000</v>
      </c>
      <c r="F1545" s="82">
        <v>8755000</v>
      </c>
      <c r="G1545" s="82">
        <v>8735000</v>
      </c>
      <c r="I1545" s="97">
        <v>0</v>
      </c>
      <c r="J1545" s="97">
        <v>0</v>
      </c>
      <c r="K1545" s="97">
        <v>0</v>
      </c>
      <c r="M1545" s="7">
        <f t="shared" si="265"/>
        <v>0</v>
      </c>
      <c r="N1545" s="7">
        <f t="shared" si="274"/>
        <v>0</v>
      </c>
      <c r="O1545" s="7">
        <f t="shared" si="273"/>
        <v>125000</v>
      </c>
      <c r="P1545" s="99">
        <f t="shared" si="266"/>
        <v>1.4518002322880372E-2</v>
      </c>
      <c r="Q1545" s="99">
        <f t="shared" si="275"/>
        <v>-3.0426142167108584E-2</v>
      </c>
      <c r="S1545" s="7">
        <f t="shared" si="267"/>
        <v>9608500</v>
      </c>
      <c r="T1545" s="7">
        <f t="shared" si="268"/>
        <v>2911666.6666666665</v>
      </c>
      <c r="U1545" s="7">
        <f t="shared" si="269"/>
        <v>10314000</v>
      </c>
      <c r="V1545" s="7">
        <f t="shared" si="270"/>
        <v>0</v>
      </c>
      <c r="W1545" s="7">
        <f t="shared" si="271"/>
        <v>0</v>
      </c>
      <c r="X1545" s="7">
        <f t="shared" si="272"/>
        <v>0</v>
      </c>
    </row>
    <row r="1546" spans="1:24">
      <c r="A1546">
        <v>1545</v>
      </c>
      <c r="B1546" s="96" t="s">
        <v>2058</v>
      </c>
      <c r="C1546" s="95">
        <v>42211</v>
      </c>
      <c r="D1546" s="82">
        <v>8730000</v>
      </c>
      <c r="E1546" s="82">
        <v>8725000</v>
      </c>
      <c r="F1546" s="82">
        <v>8830000</v>
      </c>
      <c r="G1546" s="82">
        <v>8730000</v>
      </c>
      <c r="I1546" s="98">
        <v>0</v>
      </c>
      <c r="J1546" s="98">
        <v>0</v>
      </c>
      <c r="K1546" s="98">
        <v>0</v>
      </c>
      <c r="M1546" s="7">
        <f t="shared" si="265"/>
        <v>0</v>
      </c>
      <c r="N1546" s="7">
        <f t="shared" si="274"/>
        <v>0</v>
      </c>
      <c r="O1546" s="7">
        <f t="shared" si="273"/>
        <v>-5000</v>
      </c>
      <c r="P1546" s="99">
        <f t="shared" si="266"/>
        <v>-5.7240984544934168E-4</v>
      </c>
      <c r="Q1546" s="99">
        <f t="shared" si="275"/>
        <v>-1.2685002045885723E-3</v>
      </c>
      <c r="S1546" s="7">
        <f t="shared" si="267"/>
        <v>9603000</v>
      </c>
      <c r="T1546" s="7">
        <f t="shared" si="268"/>
        <v>2910000</v>
      </c>
      <c r="U1546" s="7">
        <f t="shared" si="269"/>
        <v>10493000</v>
      </c>
      <c r="V1546" s="7">
        <f t="shared" si="270"/>
        <v>0</v>
      </c>
      <c r="W1546" s="7">
        <f t="shared" si="271"/>
        <v>0</v>
      </c>
      <c r="X1546" s="7">
        <f t="shared" si="272"/>
        <v>0</v>
      </c>
    </row>
    <row r="1547" spans="1:24">
      <c r="A1547">
        <v>1546</v>
      </c>
      <c r="B1547" s="96" t="s">
        <v>2057</v>
      </c>
      <c r="C1547" s="95">
        <v>42212</v>
      </c>
      <c r="D1547" s="82">
        <v>8764000</v>
      </c>
      <c r="E1547" s="82">
        <v>8725000</v>
      </c>
      <c r="F1547" s="82">
        <v>8775000</v>
      </c>
      <c r="G1547" s="82">
        <v>8764000</v>
      </c>
      <c r="I1547" s="82">
        <f>G1547*1.1</f>
        <v>9640400</v>
      </c>
      <c r="J1547" s="82">
        <f>G1547/3</f>
        <v>2921333.3333333335</v>
      </c>
      <c r="K1547" s="7">
        <f>G1815</f>
        <v>10422000</v>
      </c>
      <c r="L1547" s="7">
        <f>K1547-I1547</f>
        <v>781600</v>
      </c>
      <c r="M1547" s="7">
        <f t="shared" si="265"/>
        <v>365166.66666666674</v>
      </c>
      <c r="N1547" s="7">
        <f t="shared" si="274"/>
        <v>1146766.6666666667</v>
      </c>
      <c r="O1547" s="7">
        <f t="shared" si="273"/>
        <v>34000</v>
      </c>
      <c r="P1547" s="99">
        <f t="shared" si="266"/>
        <v>3.8946162657502864E-3</v>
      </c>
      <c r="Q1547" s="99">
        <f t="shared" si="275"/>
        <v>1.9873375664247798E-2</v>
      </c>
      <c r="R1547">
        <v>1</v>
      </c>
      <c r="S1547" s="7">
        <f t="shared" si="267"/>
        <v>9640400</v>
      </c>
      <c r="T1547" s="7">
        <f t="shared" si="268"/>
        <v>2921333.3333333335</v>
      </c>
      <c r="U1547" s="7">
        <f t="shared" si="269"/>
        <v>10422000</v>
      </c>
      <c r="V1547" s="7">
        <f t="shared" si="270"/>
        <v>781600</v>
      </c>
      <c r="W1547" s="7">
        <f t="shared" si="271"/>
        <v>365166.66666666674</v>
      </c>
      <c r="X1547" s="7">
        <f t="shared" si="272"/>
        <v>1146766.6666666667</v>
      </c>
    </row>
    <row r="1548" spans="1:24">
      <c r="A1548">
        <v>1547</v>
      </c>
      <c r="B1548" s="96" t="s">
        <v>2056</v>
      </c>
      <c r="C1548" s="95">
        <v>42213</v>
      </c>
      <c r="D1548" s="82">
        <v>8800000</v>
      </c>
      <c r="E1548" s="82">
        <v>8745000</v>
      </c>
      <c r="F1548" s="82">
        <v>8805000</v>
      </c>
      <c r="G1548" s="82">
        <v>8800000</v>
      </c>
      <c r="I1548" s="97">
        <v>0</v>
      </c>
      <c r="J1548" s="97">
        <v>0</v>
      </c>
      <c r="K1548" s="97">
        <v>0</v>
      </c>
      <c r="M1548" s="7">
        <f t="shared" si="265"/>
        <v>0</v>
      </c>
      <c r="N1548" s="7">
        <f t="shared" si="274"/>
        <v>0</v>
      </c>
      <c r="O1548" s="7">
        <f t="shared" si="273"/>
        <v>36000</v>
      </c>
      <c r="P1548" s="99">
        <f t="shared" si="266"/>
        <v>4.1077133728890918E-3</v>
      </c>
      <c r="Q1548" s="99">
        <f t="shared" si="275"/>
        <v>1.033341249074575E-2</v>
      </c>
      <c r="S1548" s="7">
        <f t="shared" si="267"/>
        <v>9680000</v>
      </c>
      <c r="T1548" s="7">
        <f t="shared" si="268"/>
        <v>2933333.3333333335</v>
      </c>
      <c r="U1548" s="7">
        <f t="shared" si="269"/>
        <v>10421000</v>
      </c>
      <c r="V1548" s="7">
        <f t="shared" si="270"/>
        <v>0</v>
      </c>
      <c r="W1548" s="7">
        <f t="shared" si="271"/>
        <v>0</v>
      </c>
      <c r="X1548" s="7">
        <f t="shared" si="272"/>
        <v>0</v>
      </c>
    </row>
    <row r="1549" spans="1:24">
      <c r="A1549">
        <v>1548</v>
      </c>
      <c r="B1549" s="96" t="s">
        <v>2055</v>
      </c>
      <c r="C1549" s="95">
        <v>42214</v>
      </c>
      <c r="D1549" s="82">
        <v>8770000</v>
      </c>
      <c r="E1549" s="82">
        <v>8765000</v>
      </c>
      <c r="F1549" s="82">
        <v>8825000</v>
      </c>
      <c r="G1549" s="82">
        <v>8770000</v>
      </c>
      <c r="I1549" s="97">
        <v>0</v>
      </c>
      <c r="J1549" s="97">
        <v>0</v>
      </c>
      <c r="K1549" s="97">
        <v>0</v>
      </c>
      <c r="M1549" s="7">
        <f t="shared" si="265"/>
        <v>0</v>
      </c>
      <c r="N1549" s="7">
        <f t="shared" si="274"/>
        <v>0</v>
      </c>
      <c r="O1549" s="7">
        <f t="shared" si="273"/>
        <v>-30000</v>
      </c>
      <c r="P1549" s="99">
        <f t="shared" si="266"/>
        <v>-3.4090909090909089E-3</v>
      </c>
      <c r="Q1549" s="99">
        <f t="shared" si="275"/>
        <v>1.7899339120118991E-2</v>
      </c>
      <c r="S1549" s="7">
        <f t="shared" si="267"/>
        <v>9647000</v>
      </c>
      <c r="T1549" s="7">
        <f t="shared" si="268"/>
        <v>2923333.3333333335</v>
      </c>
      <c r="U1549" s="7">
        <f t="shared" si="269"/>
        <v>10340000</v>
      </c>
      <c r="V1549" s="7">
        <f t="shared" si="270"/>
        <v>0</v>
      </c>
      <c r="W1549" s="7">
        <f t="shared" si="271"/>
        <v>0</v>
      </c>
      <c r="X1549" s="7">
        <f t="shared" si="272"/>
        <v>0</v>
      </c>
    </row>
    <row r="1550" spans="1:24">
      <c r="A1550">
        <v>1549</v>
      </c>
      <c r="B1550" s="96" t="s">
        <v>2054</v>
      </c>
      <c r="C1550" s="95">
        <v>42215</v>
      </c>
      <c r="D1550" s="82">
        <v>8730000</v>
      </c>
      <c r="E1550" s="82">
        <v>8670000</v>
      </c>
      <c r="F1550" s="82">
        <v>8735000</v>
      </c>
      <c r="G1550" s="82">
        <v>8730000</v>
      </c>
      <c r="I1550" s="97">
        <v>0</v>
      </c>
      <c r="J1550" s="97">
        <v>0</v>
      </c>
      <c r="K1550" s="97">
        <v>0</v>
      </c>
      <c r="M1550" s="7">
        <f t="shared" si="265"/>
        <v>0</v>
      </c>
      <c r="N1550" s="7">
        <f t="shared" si="274"/>
        <v>0</v>
      </c>
      <c r="O1550" s="7">
        <f t="shared" si="273"/>
        <v>-40000</v>
      </c>
      <c r="P1550" s="99">
        <f t="shared" si="266"/>
        <v>-4.5610034207525657E-3</v>
      </c>
      <c r="Q1550" s="99">
        <f t="shared" si="275"/>
        <v>1.8538831206979502E-2</v>
      </c>
      <c r="S1550" s="7">
        <f t="shared" si="267"/>
        <v>9603000</v>
      </c>
      <c r="T1550" s="7">
        <f t="shared" si="268"/>
        <v>2910000</v>
      </c>
      <c r="U1550" s="7">
        <f t="shared" si="269"/>
        <v>10287000</v>
      </c>
      <c r="V1550" s="7">
        <f t="shared" si="270"/>
        <v>0</v>
      </c>
      <c r="W1550" s="7">
        <f t="shared" si="271"/>
        <v>0</v>
      </c>
      <c r="X1550" s="7">
        <f t="shared" si="272"/>
        <v>0</v>
      </c>
    </row>
    <row r="1551" spans="1:24">
      <c r="A1551">
        <v>1550</v>
      </c>
      <c r="B1551" s="96" t="s">
        <v>2053</v>
      </c>
      <c r="C1551" s="95">
        <v>42217</v>
      </c>
      <c r="D1551" s="82">
        <v>8788000</v>
      </c>
      <c r="E1551" s="82">
        <v>8745000</v>
      </c>
      <c r="F1551" s="82">
        <v>8790000</v>
      </c>
      <c r="G1551" s="82">
        <v>8788000</v>
      </c>
      <c r="I1551" s="98">
        <v>0</v>
      </c>
      <c r="J1551" s="98">
        <v>0</v>
      </c>
      <c r="K1551" s="98">
        <v>0</v>
      </c>
      <c r="M1551" s="7">
        <f t="shared" si="265"/>
        <v>0</v>
      </c>
      <c r="N1551" s="7">
        <f t="shared" si="274"/>
        <v>0</v>
      </c>
      <c r="O1551" s="7">
        <f t="shared" si="273"/>
        <v>58000</v>
      </c>
      <c r="P1551" s="99">
        <f t="shared" si="266"/>
        <v>6.6437571592210766E-3</v>
      </c>
      <c r="Q1551" s="99">
        <f t="shared" si="275"/>
        <v>-5.4017453665343787E-4</v>
      </c>
      <c r="S1551" s="7">
        <f t="shared" si="267"/>
        <v>9666800</v>
      </c>
      <c r="T1551" s="7">
        <f t="shared" si="268"/>
        <v>2929333.3333333335</v>
      </c>
      <c r="U1551" s="7">
        <f t="shared" si="269"/>
        <v>10278000</v>
      </c>
      <c r="V1551" s="7">
        <f t="shared" si="270"/>
        <v>0</v>
      </c>
      <c r="W1551" s="7">
        <f t="shared" si="271"/>
        <v>0</v>
      </c>
      <c r="X1551" s="7">
        <f t="shared" si="272"/>
        <v>0</v>
      </c>
    </row>
    <row r="1552" spans="1:24">
      <c r="A1552">
        <v>1551</v>
      </c>
      <c r="B1552" s="96" t="s">
        <v>2052</v>
      </c>
      <c r="C1552" s="95">
        <v>42218</v>
      </c>
      <c r="D1552" s="82">
        <v>8785000</v>
      </c>
      <c r="E1552" s="82">
        <v>8775000</v>
      </c>
      <c r="F1552" s="82">
        <v>8815000</v>
      </c>
      <c r="G1552" s="82">
        <v>8785000</v>
      </c>
      <c r="I1552" s="82">
        <f>G1552*1.1</f>
        <v>9663500</v>
      </c>
      <c r="J1552" s="82">
        <f>G1552/3</f>
        <v>2928333.3333333335</v>
      </c>
      <c r="K1552" s="7">
        <f>G1820</f>
        <v>10254000</v>
      </c>
      <c r="L1552" s="7">
        <f>K1552-I1552</f>
        <v>590500</v>
      </c>
      <c r="M1552" s="7">
        <f t="shared" si="265"/>
        <v>366041.66666666674</v>
      </c>
      <c r="N1552" s="7">
        <f t="shared" si="274"/>
        <v>956541.66666666674</v>
      </c>
      <c r="O1552" s="7">
        <f t="shared" si="273"/>
        <v>-3000</v>
      </c>
      <c r="P1552" s="99">
        <f t="shared" si="266"/>
        <v>-3.4137460172963132E-4</v>
      </c>
      <c r="Q1552" s="99">
        <f t="shared" si="275"/>
        <v>6.6759924680169806E-3</v>
      </c>
      <c r="R1552">
        <v>1</v>
      </c>
      <c r="S1552" s="7">
        <f t="shared" si="267"/>
        <v>9663500</v>
      </c>
      <c r="T1552" s="7">
        <f t="shared" si="268"/>
        <v>2928333.3333333335</v>
      </c>
      <c r="U1552" s="7">
        <f t="shared" si="269"/>
        <v>10254000</v>
      </c>
      <c r="V1552" s="7">
        <f t="shared" si="270"/>
        <v>590500</v>
      </c>
      <c r="W1552" s="7">
        <f t="shared" si="271"/>
        <v>366041.66666666674</v>
      </c>
      <c r="X1552" s="7">
        <f t="shared" si="272"/>
        <v>956541.66666666674</v>
      </c>
    </row>
    <row r="1553" spans="1:24">
      <c r="A1553">
        <v>1552</v>
      </c>
      <c r="B1553" s="96" t="s">
        <v>2051</v>
      </c>
      <c r="C1553" s="95">
        <v>42219</v>
      </c>
      <c r="D1553" s="82">
        <v>8750000</v>
      </c>
      <c r="E1553" s="82">
        <v>8740000</v>
      </c>
      <c r="F1553" s="82">
        <v>8775000</v>
      </c>
      <c r="G1553" s="82">
        <v>8750000</v>
      </c>
      <c r="I1553" s="97">
        <v>0</v>
      </c>
      <c r="J1553" s="97">
        <v>0</v>
      </c>
      <c r="K1553" s="97">
        <v>0</v>
      </c>
      <c r="M1553" s="7">
        <f t="shared" si="265"/>
        <v>0</v>
      </c>
      <c r="N1553" s="7">
        <f t="shared" si="274"/>
        <v>0</v>
      </c>
      <c r="O1553" s="7">
        <f t="shared" si="273"/>
        <v>-35000</v>
      </c>
      <c r="P1553" s="99">
        <f t="shared" si="266"/>
        <v>-3.9840637450199202E-3</v>
      </c>
      <c r="Q1553" s="99">
        <f t="shared" si="275"/>
        <v>2.4400016005370626E-3</v>
      </c>
      <c r="S1553" s="7">
        <f t="shared" si="267"/>
        <v>9625000</v>
      </c>
      <c r="T1553" s="7">
        <f t="shared" si="268"/>
        <v>2916666.6666666665</v>
      </c>
      <c r="U1553" s="7">
        <f t="shared" si="269"/>
        <v>10621000</v>
      </c>
      <c r="V1553" s="7">
        <f t="shared" si="270"/>
        <v>0</v>
      </c>
      <c r="W1553" s="7">
        <f t="shared" si="271"/>
        <v>0</v>
      </c>
      <c r="X1553" s="7">
        <f t="shared" si="272"/>
        <v>0</v>
      </c>
    </row>
    <row r="1554" spans="1:24">
      <c r="A1554">
        <v>1553</v>
      </c>
      <c r="B1554" s="96" t="s">
        <v>2050</v>
      </c>
      <c r="C1554" s="95">
        <v>42220</v>
      </c>
      <c r="D1554" s="82">
        <v>8740000</v>
      </c>
      <c r="E1554" s="82">
        <v>8725000</v>
      </c>
      <c r="F1554" s="82">
        <v>8755000</v>
      </c>
      <c r="G1554" s="82">
        <v>8740000</v>
      </c>
      <c r="I1554" s="97">
        <v>0</v>
      </c>
      <c r="J1554" s="97">
        <v>0</v>
      </c>
      <c r="K1554" s="97">
        <v>0</v>
      </c>
      <c r="M1554" s="7">
        <f t="shared" si="265"/>
        <v>0</v>
      </c>
      <c r="N1554" s="7">
        <f t="shared" si="274"/>
        <v>0</v>
      </c>
      <c r="O1554" s="7">
        <f t="shared" si="273"/>
        <v>-10000</v>
      </c>
      <c r="P1554" s="99">
        <f t="shared" si="266"/>
        <v>-1.1428571428571429E-3</v>
      </c>
      <c r="Q1554" s="99">
        <f t="shared" si="275"/>
        <v>-5.6517755173719495E-3</v>
      </c>
      <c r="S1554" s="7">
        <f t="shared" si="267"/>
        <v>9614000</v>
      </c>
      <c r="T1554" s="7">
        <f t="shared" si="268"/>
        <v>2913333.3333333335</v>
      </c>
      <c r="U1554" s="7">
        <f t="shared" si="269"/>
        <v>10691000</v>
      </c>
      <c r="V1554" s="7">
        <f t="shared" si="270"/>
        <v>0</v>
      </c>
      <c r="W1554" s="7">
        <f t="shared" si="271"/>
        <v>0</v>
      </c>
      <c r="X1554" s="7">
        <f t="shared" si="272"/>
        <v>0</v>
      </c>
    </row>
    <row r="1555" spans="1:24">
      <c r="A1555">
        <v>1554</v>
      </c>
      <c r="B1555" s="96" t="s">
        <v>2049</v>
      </c>
      <c r="C1555" s="95">
        <v>42221</v>
      </c>
      <c r="D1555" s="82">
        <v>8710000</v>
      </c>
      <c r="E1555" s="82">
        <v>8705000</v>
      </c>
      <c r="F1555" s="82">
        <v>8730000</v>
      </c>
      <c r="G1555" s="82">
        <v>8710000</v>
      </c>
      <c r="I1555" s="97">
        <v>0</v>
      </c>
      <c r="J1555" s="97">
        <v>0</v>
      </c>
      <c r="K1555" s="97">
        <v>0</v>
      </c>
      <c r="M1555" s="7">
        <f t="shared" si="265"/>
        <v>0</v>
      </c>
      <c r="N1555" s="7">
        <f t="shared" si="274"/>
        <v>0</v>
      </c>
      <c r="O1555" s="7">
        <f t="shared" si="273"/>
        <v>-30000</v>
      </c>
      <c r="P1555" s="99">
        <f t="shared" si="266"/>
        <v>-3.4324942791762012E-3</v>
      </c>
      <c r="Q1555" s="99">
        <f t="shared" si="275"/>
        <v>-3.3855417511381839E-3</v>
      </c>
      <c r="S1555" s="7">
        <f t="shared" si="267"/>
        <v>9581000</v>
      </c>
      <c r="T1555" s="7">
        <f t="shared" si="268"/>
        <v>2903333.3333333335</v>
      </c>
      <c r="U1555" s="7">
        <f t="shared" si="269"/>
        <v>10757000</v>
      </c>
      <c r="V1555" s="7">
        <f t="shared" si="270"/>
        <v>0</v>
      </c>
      <c r="W1555" s="7">
        <f t="shared" si="271"/>
        <v>0</v>
      </c>
      <c r="X1555" s="7">
        <f t="shared" si="272"/>
        <v>0</v>
      </c>
    </row>
    <row r="1556" spans="1:24">
      <c r="A1556">
        <v>1555</v>
      </c>
      <c r="B1556" s="96" t="s">
        <v>2048</v>
      </c>
      <c r="C1556" s="95">
        <v>42222</v>
      </c>
      <c r="D1556" s="82">
        <v>8703000</v>
      </c>
      <c r="E1556" s="82">
        <v>8690000</v>
      </c>
      <c r="F1556" s="82">
        <v>8715000</v>
      </c>
      <c r="G1556" s="82">
        <v>8703000</v>
      </c>
      <c r="I1556" s="98">
        <v>0</v>
      </c>
      <c r="J1556" s="98">
        <v>0</v>
      </c>
      <c r="K1556" s="98">
        <v>0</v>
      </c>
      <c r="M1556" s="7">
        <f t="shared" si="265"/>
        <v>0</v>
      </c>
      <c r="N1556" s="7">
        <f t="shared" si="274"/>
        <v>0</v>
      </c>
      <c r="O1556" s="7">
        <f t="shared" si="273"/>
        <v>-7000</v>
      </c>
      <c r="P1556" s="99">
        <f t="shared" si="266"/>
        <v>-8.0367393800229625E-4</v>
      </c>
      <c r="Q1556" s="99">
        <f t="shared" si="275"/>
        <v>-2.2570326095618194E-3</v>
      </c>
      <c r="S1556" s="7">
        <f t="shared" si="267"/>
        <v>9573300</v>
      </c>
      <c r="T1556" s="7">
        <f t="shared" si="268"/>
        <v>2901000</v>
      </c>
      <c r="U1556" s="7">
        <f t="shared" si="269"/>
        <v>10730000</v>
      </c>
      <c r="V1556" s="7">
        <f t="shared" si="270"/>
        <v>0</v>
      </c>
      <c r="W1556" s="7">
        <f t="shared" si="271"/>
        <v>0</v>
      </c>
      <c r="X1556" s="7">
        <f t="shared" si="272"/>
        <v>0</v>
      </c>
    </row>
    <row r="1557" spans="1:24">
      <c r="A1557">
        <v>1556</v>
      </c>
      <c r="B1557" s="96" t="s">
        <v>2047</v>
      </c>
      <c r="C1557" s="95">
        <v>42224</v>
      </c>
      <c r="D1557" s="82">
        <v>8780000</v>
      </c>
      <c r="E1557" s="82">
        <v>8735000</v>
      </c>
      <c r="F1557" s="82">
        <v>8795000</v>
      </c>
      <c r="G1557" s="82">
        <v>8780000</v>
      </c>
      <c r="I1557" s="82">
        <f>G1557*1.1</f>
        <v>9658000</v>
      </c>
      <c r="J1557" s="82">
        <f>G1557/3</f>
        <v>2926666.6666666665</v>
      </c>
      <c r="K1557" s="7">
        <f>G1825</f>
        <v>10885000</v>
      </c>
      <c r="L1557" s="7">
        <f>K1557-I1557</f>
        <v>1227000</v>
      </c>
      <c r="M1557" s="7">
        <f t="shared" si="265"/>
        <v>365833.33333333326</v>
      </c>
      <c r="N1557" s="7">
        <f t="shared" si="274"/>
        <v>1592833.3333333333</v>
      </c>
      <c r="O1557" s="7">
        <f t="shared" si="273"/>
        <v>77000</v>
      </c>
      <c r="P1557" s="99">
        <f t="shared" si="266"/>
        <v>8.847523842353211E-3</v>
      </c>
      <c r="Q1557" s="99">
        <f t="shared" si="275"/>
        <v>-9.7044637067851929E-3</v>
      </c>
      <c r="R1557">
        <v>1</v>
      </c>
      <c r="S1557" s="7">
        <f t="shared" si="267"/>
        <v>9658000</v>
      </c>
      <c r="T1557" s="7">
        <f t="shared" si="268"/>
        <v>2926666.6666666665</v>
      </c>
      <c r="U1557" s="7">
        <f t="shared" si="269"/>
        <v>10885000</v>
      </c>
      <c r="V1557" s="7">
        <f t="shared" si="270"/>
        <v>1227000</v>
      </c>
      <c r="W1557" s="7">
        <f t="shared" si="271"/>
        <v>365833.33333333326</v>
      </c>
      <c r="X1557" s="7">
        <f t="shared" si="272"/>
        <v>1592833.3333333333</v>
      </c>
    </row>
    <row r="1558" spans="1:24">
      <c r="A1558">
        <v>1557</v>
      </c>
      <c r="B1558" s="96" t="s">
        <v>2046</v>
      </c>
      <c r="C1558" s="95">
        <v>42225</v>
      </c>
      <c r="D1558" s="82">
        <v>8755000</v>
      </c>
      <c r="E1558" s="82">
        <v>8755000</v>
      </c>
      <c r="F1558" s="82">
        <v>8790000</v>
      </c>
      <c r="G1558" s="82">
        <v>8755000</v>
      </c>
      <c r="I1558" s="97">
        <v>0</v>
      </c>
      <c r="J1558" s="97">
        <v>0</v>
      </c>
      <c r="K1558" s="97">
        <v>0</v>
      </c>
      <c r="M1558" s="7">
        <f t="shared" si="265"/>
        <v>0</v>
      </c>
      <c r="N1558" s="7">
        <f t="shared" si="274"/>
        <v>0</v>
      </c>
      <c r="O1558" s="7">
        <f t="shared" si="273"/>
        <v>-25000</v>
      </c>
      <c r="P1558" s="99">
        <f t="shared" si="266"/>
        <v>-2.8473804100227792E-3</v>
      </c>
      <c r="Q1558" s="99">
        <f t="shared" si="275"/>
        <v>-5.1556526270235027E-4</v>
      </c>
      <c r="S1558" s="7">
        <f t="shared" si="267"/>
        <v>9630500</v>
      </c>
      <c r="T1558" s="7">
        <f t="shared" si="268"/>
        <v>2918333.3333333335</v>
      </c>
      <c r="U1558" s="7">
        <f t="shared" si="269"/>
        <v>10813000</v>
      </c>
      <c r="V1558" s="7">
        <f t="shared" si="270"/>
        <v>0</v>
      </c>
      <c r="W1558" s="7">
        <f t="shared" si="271"/>
        <v>0</v>
      </c>
      <c r="X1558" s="7">
        <f t="shared" si="272"/>
        <v>0</v>
      </c>
    </row>
    <row r="1559" spans="1:24">
      <c r="A1559">
        <v>1558</v>
      </c>
      <c r="B1559" s="96" t="s">
        <v>2045</v>
      </c>
      <c r="C1559" s="95">
        <v>42226</v>
      </c>
      <c r="D1559" s="82">
        <v>8810000</v>
      </c>
      <c r="E1559" s="82">
        <v>8745000</v>
      </c>
      <c r="F1559" s="82">
        <v>8810000</v>
      </c>
      <c r="G1559" s="82">
        <v>8810000</v>
      </c>
      <c r="I1559" s="97">
        <v>0</v>
      </c>
      <c r="J1559" s="97">
        <v>0</v>
      </c>
      <c r="K1559" s="97">
        <v>0</v>
      </c>
      <c r="M1559" s="7">
        <f t="shared" si="265"/>
        <v>0</v>
      </c>
      <c r="N1559" s="7">
        <f t="shared" si="274"/>
        <v>0</v>
      </c>
      <c r="O1559" s="7">
        <f t="shared" si="273"/>
        <v>55000</v>
      </c>
      <c r="P1559" s="99">
        <f t="shared" si="266"/>
        <v>6.2821245002855509E-3</v>
      </c>
      <c r="Q1559" s="99">
        <f t="shared" si="275"/>
        <v>6.2111807229479161E-4</v>
      </c>
      <c r="S1559" s="7">
        <f t="shared" si="267"/>
        <v>9691000</v>
      </c>
      <c r="T1559" s="7">
        <f t="shared" si="268"/>
        <v>2936666.6666666665</v>
      </c>
      <c r="U1559" s="7">
        <f t="shared" si="269"/>
        <v>11026000</v>
      </c>
      <c r="V1559" s="7">
        <f t="shared" si="270"/>
        <v>0</v>
      </c>
      <c r="W1559" s="7">
        <f t="shared" si="271"/>
        <v>0</v>
      </c>
      <c r="X1559" s="7">
        <f t="shared" si="272"/>
        <v>0</v>
      </c>
    </row>
    <row r="1560" spans="1:24">
      <c r="A1560">
        <v>1559</v>
      </c>
      <c r="B1560" s="96" t="s">
        <v>2044</v>
      </c>
      <c r="C1560" s="95">
        <v>42228</v>
      </c>
      <c r="D1560" s="82">
        <v>8925000</v>
      </c>
      <c r="E1560" s="82">
        <v>8845000</v>
      </c>
      <c r="F1560" s="82">
        <v>8925000</v>
      </c>
      <c r="G1560" s="82">
        <v>8925000</v>
      </c>
      <c r="I1560" s="97">
        <v>0</v>
      </c>
      <c r="J1560" s="97">
        <v>0</v>
      </c>
      <c r="K1560" s="97">
        <v>0</v>
      </c>
      <c r="M1560" s="7">
        <f t="shared" si="265"/>
        <v>0</v>
      </c>
      <c r="N1560" s="7">
        <f t="shared" si="274"/>
        <v>0</v>
      </c>
      <c r="O1560" s="7">
        <f t="shared" si="273"/>
        <v>115000</v>
      </c>
      <c r="P1560" s="99">
        <f t="shared" si="266"/>
        <v>1.3053348467650397E-2</v>
      </c>
      <c r="Q1560" s="99">
        <f t="shared" si="275"/>
        <v>8.0460997154374846E-3</v>
      </c>
      <c r="S1560" s="7">
        <f t="shared" si="267"/>
        <v>9817500</v>
      </c>
      <c r="T1560" s="7">
        <f t="shared" si="268"/>
        <v>2975000</v>
      </c>
      <c r="U1560" s="7">
        <f t="shared" si="269"/>
        <v>10974000</v>
      </c>
      <c r="V1560" s="7">
        <f t="shared" si="270"/>
        <v>0</v>
      </c>
      <c r="W1560" s="7">
        <f t="shared" si="271"/>
        <v>0</v>
      </c>
      <c r="X1560" s="7">
        <f t="shared" si="272"/>
        <v>0</v>
      </c>
    </row>
    <row r="1561" spans="1:24">
      <c r="A1561">
        <v>1560</v>
      </c>
      <c r="B1561" s="96" t="s">
        <v>2043</v>
      </c>
      <c r="C1561" s="95">
        <v>42229</v>
      </c>
      <c r="D1561" s="82">
        <v>8860000</v>
      </c>
      <c r="E1561" s="82">
        <v>8860000</v>
      </c>
      <c r="F1561" s="82">
        <v>8930000</v>
      </c>
      <c r="G1561" s="82">
        <v>8860000</v>
      </c>
      <c r="I1561" s="98">
        <v>0</v>
      </c>
      <c r="J1561" s="98">
        <v>0</v>
      </c>
      <c r="K1561" s="98">
        <v>0</v>
      </c>
      <c r="M1561" s="7">
        <f t="shared" si="265"/>
        <v>0</v>
      </c>
      <c r="N1561" s="7">
        <f t="shared" si="274"/>
        <v>0</v>
      </c>
      <c r="O1561" s="7">
        <f t="shared" si="273"/>
        <v>-65000</v>
      </c>
      <c r="P1561" s="99">
        <f t="shared" si="266"/>
        <v>-7.2829131652661066E-3</v>
      </c>
      <c r="Q1561" s="99">
        <f t="shared" si="275"/>
        <v>2.4531942462264082E-2</v>
      </c>
      <c r="S1561" s="7">
        <f t="shared" si="267"/>
        <v>9746000</v>
      </c>
      <c r="T1561" s="7">
        <f t="shared" si="268"/>
        <v>2953333.3333333335</v>
      </c>
      <c r="U1561" s="7">
        <f t="shared" si="269"/>
        <v>11002000</v>
      </c>
      <c r="V1561" s="7">
        <f t="shared" si="270"/>
        <v>0</v>
      </c>
      <c r="W1561" s="7">
        <f t="shared" si="271"/>
        <v>0</v>
      </c>
      <c r="X1561" s="7">
        <f t="shared" si="272"/>
        <v>0</v>
      </c>
    </row>
    <row r="1562" spans="1:24">
      <c r="A1562">
        <v>1561</v>
      </c>
      <c r="B1562" s="96" t="s">
        <v>2042</v>
      </c>
      <c r="C1562" s="95">
        <v>42231</v>
      </c>
      <c r="D1562" s="82">
        <v>8875000</v>
      </c>
      <c r="E1562" s="82">
        <v>8860000</v>
      </c>
      <c r="F1562" s="82">
        <v>8890000</v>
      </c>
      <c r="G1562" s="82">
        <v>8875000</v>
      </c>
      <c r="I1562" s="82">
        <f>G1562*1.1</f>
        <v>9762500</v>
      </c>
      <c r="J1562" s="82">
        <f>G1562/3</f>
        <v>2958333.3333333335</v>
      </c>
      <c r="K1562" s="7">
        <f>G1830</f>
        <v>11008000</v>
      </c>
      <c r="L1562" s="7">
        <f>K1562-I1562</f>
        <v>1245500</v>
      </c>
      <c r="M1562" s="7">
        <f t="shared" si="265"/>
        <v>369791.66666666674</v>
      </c>
      <c r="N1562" s="7">
        <f t="shared" si="274"/>
        <v>1615291.6666666667</v>
      </c>
      <c r="O1562" s="7">
        <f t="shared" si="273"/>
        <v>15000</v>
      </c>
      <c r="P1562" s="99">
        <f t="shared" si="266"/>
        <v>1.6930022573363431E-3</v>
      </c>
      <c r="Q1562" s="99">
        <f t="shared" si="275"/>
        <v>1.8052703235000273E-2</v>
      </c>
      <c r="R1562">
        <v>1</v>
      </c>
      <c r="S1562" s="7">
        <f t="shared" si="267"/>
        <v>9762500</v>
      </c>
      <c r="T1562" s="7">
        <f t="shared" si="268"/>
        <v>2958333.3333333335</v>
      </c>
      <c r="U1562" s="7">
        <f t="shared" si="269"/>
        <v>11008000</v>
      </c>
      <c r="V1562" s="7">
        <f t="shared" si="270"/>
        <v>1245500</v>
      </c>
      <c r="W1562" s="7">
        <f t="shared" si="271"/>
        <v>369791.66666666674</v>
      </c>
      <c r="X1562" s="7">
        <f t="shared" si="272"/>
        <v>1615291.6666666667</v>
      </c>
    </row>
    <row r="1563" spans="1:24">
      <c r="A1563">
        <v>1562</v>
      </c>
      <c r="B1563" s="96" t="s">
        <v>2041</v>
      </c>
      <c r="C1563" s="95">
        <v>42232</v>
      </c>
      <c r="D1563" s="82">
        <v>8910000</v>
      </c>
      <c r="E1563" s="82">
        <v>8860000</v>
      </c>
      <c r="F1563" s="82">
        <v>8910000</v>
      </c>
      <c r="G1563" s="82">
        <v>8910000</v>
      </c>
      <c r="I1563" s="97">
        <v>0</v>
      </c>
      <c r="J1563" s="97">
        <v>0</v>
      </c>
      <c r="K1563" s="97">
        <v>0</v>
      </c>
      <c r="M1563" s="7">
        <f t="shared" si="265"/>
        <v>0</v>
      </c>
      <c r="N1563" s="7">
        <f t="shared" si="274"/>
        <v>0</v>
      </c>
      <c r="O1563" s="7">
        <f t="shared" si="273"/>
        <v>35000</v>
      </c>
      <c r="P1563" s="99">
        <f t="shared" si="266"/>
        <v>3.9436619718309857E-3</v>
      </c>
      <c r="Q1563" s="99">
        <f t="shared" si="275"/>
        <v>1.0898181649983407E-2</v>
      </c>
      <c r="S1563" s="7">
        <f t="shared" si="267"/>
        <v>9801000</v>
      </c>
      <c r="T1563" s="7">
        <f t="shared" si="268"/>
        <v>2970000</v>
      </c>
      <c r="U1563" s="7">
        <f t="shared" si="269"/>
        <v>11203000</v>
      </c>
      <c r="V1563" s="7">
        <f t="shared" si="270"/>
        <v>0</v>
      </c>
      <c r="W1563" s="7">
        <f t="shared" si="271"/>
        <v>0</v>
      </c>
      <c r="X1563" s="7">
        <f t="shared" si="272"/>
        <v>0</v>
      </c>
    </row>
    <row r="1564" spans="1:24">
      <c r="A1564">
        <v>1563</v>
      </c>
      <c r="B1564" s="96" t="s">
        <v>2040</v>
      </c>
      <c r="C1564" s="95">
        <v>42233</v>
      </c>
      <c r="D1564" s="82">
        <v>8935000</v>
      </c>
      <c r="E1564" s="82">
        <v>8910000</v>
      </c>
      <c r="F1564" s="82">
        <v>8940000</v>
      </c>
      <c r="G1564" s="82">
        <v>8935000</v>
      </c>
      <c r="I1564" s="97">
        <v>0</v>
      </c>
      <c r="J1564" s="97">
        <v>0</v>
      </c>
      <c r="K1564" s="97">
        <v>0</v>
      </c>
      <c r="M1564" s="7">
        <f t="shared" si="265"/>
        <v>0</v>
      </c>
      <c r="N1564" s="7">
        <f t="shared" si="274"/>
        <v>0</v>
      </c>
      <c r="O1564" s="7">
        <f t="shared" si="273"/>
        <v>25000</v>
      </c>
      <c r="P1564" s="99">
        <f t="shared" si="266"/>
        <v>2.8058361391694723E-3</v>
      </c>
      <c r="Q1564" s="99">
        <f t="shared" si="275"/>
        <v>1.7689224031837168E-2</v>
      </c>
      <c r="S1564" s="7">
        <f t="shared" si="267"/>
        <v>9828500</v>
      </c>
      <c r="T1564" s="7">
        <f t="shared" si="268"/>
        <v>2978333.3333333335</v>
      </c>
      <c r="U1564" s="7">
        <f t="shared" si="269"/>
        <v>11187000</v>
      </c>
      <c r="V1564" s="7">
        <f t="shared" si="270"/>
        <v>0</v>
      </c>
      <c r="W1564" s="7">
        <f t="shared" si="271"/>
        <v>0</v>
      </c>
      <c r="X1564" s="7">
        <f t="shared" si="272"/>
        <v>0</v>
      </c>
    </row>
    <row r="1565" spans="1:24">
      <c r="A1565">
        <v>1564</v>
      </c>
      <c r="B1565" s="96" t="s">
        <v>2039</v>
      </c>
      <c r="C1565" s="95">
        <v>42234</v>
      </c>
      <c r="D1565" s="82">
        <v>8930000</v>
      </c>
      <c r="E1565" s="82">
        <v>8925000</v>
      </c>
      <c r="F1565" s="82">
        <v>8970000</v>
      </c>
      <c r="G1565" s="82">
        <v>8930000</v>
      </c>
      <c r="I1565" s="97">
        <v>0</v>
      </c>
      <c r="J1565" s="97">
        <v>0</v>
      </c>
      <c r="K1565" s="97">
        <v>0</v>
      </c>
      <c r="M1565" s="7">
        <f t="shared" si="265"/>
        <v>0</v>
      </c>
      <c r="N1565" s="7">
        <f t="shared" si="274"/>
        <v>0</v>
      </c>
      <c r="O1565" s="7">
        <f t="shared" si="273"/>
        <v>-5000</v>
      </c>
      <c r="P1565" s="99">
        <f t="shared" si="266"/>
        <v>-5.5959709009513155E-4</v>
      </c>
      <c r="Q1565" s="99">
        <f t="shared" si="275"/>
        <v>1.4212935670721091E-2</v>
      </c>
      <c r="S1565" s="7">
        <f t="shared" si="267"/>
        <v>9823000</v>
      </c>
      <c r="T1565" s="7">
        <f t="shared" si="268"/>
        <v>2976666.6666666665</v>
      </c>
      <c r="U1565" s="7">
        <f t="shared" si="269"/>
        <v>11164000</v>
      </c>
      <c r="V1565" s="7">
        <f t="shared" si="270"/>
        <v>0</v>
      </c>
      <c r="W1565" s="7">
        <f t="shared" si="271"/>
        <v>0</v>
      </c>
      <c r="X1565" s="7">
        <f t="shared" si="272"/>
        <v>0</v>
      </c>
    </row>
    <row r="1566" spans="1:24">
      <c r="A1566">
        <v>1565</v>
      </c>
      <c r="B1566" s="96" t="s">
        <v>2038</v>
      </c>
      <c r="C1566" s="95">
        <v>42235</v>
      </c>
      <c r="D1566" s="82">
        <v>9000000</v>
      </c>
      <c r="E1566" s="82">
        <v>8940000</v>
      </c>
      <c r="F1566" s="82">
        <v>9015000</v>
      </c>
      <c r="G1566" s="82">
        <v>9000000</v>
      </c>
      <c r="I1566" s="98">
        <v>0</v>
      </c>
      <c r="J1566" s="98">
        <v>0</v>
      </c>
      <c r="K1566" s="98">
        <v>0</v>
      </c>
      <c r="M1566" s="7">
        <f t="shared" si="265"/>
        <v>0</v>
      </c>
      <c r="N1566" s="7">
        <f t="shared" si="274"/>
        <v>0</v>
      </c>
      <c r="O1566" s="7">
        <f t="shared" si="273"/>
        <v>70000</v>
      </c>
      <c r="P1566" s="99">
        <f t="shared" si="266"/>
        <v>7.8387458006718928E-3</v>
      </c>
      <c r="Q1566" s="99">
        <f t="shared" si="275"/>
        <v>5.9999011297556294E-4</v>
      </c>
      <c r="S1566" s="7">
        <f t="shared" si="267"/>
        <v>9900000</v>
      </c>
      <c r="T1566" s="7">
        <f t="shared" si="268"/>
        <v>3000000</v>
      </c>
      <c r="U1566" s="7">
        <f t="shared" si="269"/>
        <v>11070000</v>
      </c>
      <c r="V1566" s="7">
        <f t="shared" si="270"/>
        <v>0</v>
      </c>
      <c r="W1566" s="7">
        <f t="shared" si="271"/>
        <v>0</v>
      </c>
      <c r="X1566" s="7">
        <f t="shared" si="272"/>
        <v>0</v>
      </c>
    </row>
    <row r="1567" spans="1:24">
      <c r="A1567">
        <v>1566</v>
      </c>
      <c r="B1567" s="96" t="s">
        <v>2037</v>
      </c>
      <c r="C1567" s="95">
        <v>42236</v>
      </c>
      <c r="D1567" s="82">
        <v>9095000</v>
      </c>
      <c r="E1567" s="82">
        <v>9050000</v>
      </c>
      <c r="F1567" s="82">
        <v>9105000</v>
      </c>
      <c r="G1567" s="82">
        <v>9095000</v>
      </c>
      <c r="I1567" s="82">
        <f>G1567*1.1</f>
        <v>10004500</v>
      </c>
      <c r="J1567" s="82">
        <f>G1567/3</f>
        <v>3031666.6666666665</v>
      </c>
      <c r="K1567" s="7">
        <f>G1835</f>
        <v>11023000</v>
      </c>
      <c r="L1567" s="7">
        <f>K1567-I1567</f>
        <v>1018500</v>
      </c>
      <c r="M1567" s="7">
        <f t="shared" si="265"/>
        <v>378958.33333333326</v>
      </c>
      <c r="N1567" s="7">
        <f t="shared" si="274"/>
        <v>1397458.3333333333</v>
      </c>
      <c r="O1567" s="7">
        <f t="shared" si="273"/>
        <v>95000</v>
      </c>
      <c r="P1567" s="99">
        <f t="shared" si="266"/>
        <v>1.0555555555555556E-2</v>
      </c>
      <c r="Q1567" s="99">
        <f t="shared" si="275"/>
        <v>1.572164907891356E-2</v>
      </c>
      <c r="R1567">
        <v>1</v>
      </c>
      <c r="S1567" s="7">
        <f t="shared" si="267"/>
        <v>10004500</v>
      </c>
      <c r="T1567" s="7">
        <f t="shared" si="268"/>
        <v>3031666.6666666665</v>
      </c>
      <c r="U1567" s="7">
        <f t="shared" si="269"/>
        <v>11023000</v>
      </c>
      <c r="V1567" s="7">
        <f t="shared" si="270"/>
        <v>1018500</v>
      </c>
      <c r="W1567" s="7">
        <f t="shared" si="271"/>
        <v>378958.33333333326</v>
      </c>
      <c r="X1567" s="7">
        <f t="shared" si="272"/>
        <v>1397458.3333333333</v>
      </c>
    </row>
    <row r="1568" spans="1:24">
      <c r="A1568">
        <v>1567</v>
      </c>
      <c r="B1568" s="96" t="s">
        <v>2036</v>
      </c>
      <c r="C1568" s="95">
        <v>42238</v>
      </c>
      <c r="D1568" s="82">
        <v>9410000</v>
      </c>
      <c r="E1568" s="82">
        <v>9225000</v>
      </c>
      <c r="F1568" s="82">
        <v>9410000</v>
      </c>
      <c r="G1568" s="82">
        <v>9410000</v>
      </c>
      <c r="I1568" s="97">
        <v>0</v>
      </c>
      <c r="J1568" s="97">
        <v>0</v>
      </c>
      <c r="K1568" s="97">
        <v>0</v>
      </c>
      <c r="M1568" s="7">
        <f t="shared" si="265"/>
        <v>0</v>
      </c>
      <c r="N1568" s="7">
        <f t="shared" si="274"/>
        <v>0</v>
      </c>
      <c r="O1568" s="7">
        <f t="shared" si="273"/>
        <v>315000</v>
      </c>
      <c r="P1568" s="99">
        <f t="shared" si="266"/>
        <v>3.4634414513468936E-2</v>
      </c>
      <c r="Q1568" s="99">
        <f t="shared" si="275"/>
        <v>2.4584202377132776E-2</v>
      </c>
      <c r="S1568" s="7">
        <f t="shared" si="267"/>
        <v>10351000</v>
      </c>
      <c r="T1568" s="7">
        <f t="shared" si="268"/>
        <v>3136666.6666666665</v>
      </c>
      <c r="U1568" s="7">
        <f t="shared" si="269"/>
        <v>10940000</v>
      </c>
      <c r="V1568" s="7">
        <f t="shared" si="270"/>
        <v>0</v>
      </c>
      <c r="W1568" s="7">
        <f t="shared" si="271"/>
        <v>0</v>
      </c>
      <c r="X1568" s="7">
        <f t="shared" si="272"/>
        <v>0</v>
      </c>
    </row>
    <row r="1569" spans="1:24">
      <c r="A1569">
        <v>1568</v>
      </c>
      <c r="B1569" s="96" t="s">
        <v>2035</v>
      </c>
      <c r="C1569" s="95">
        <v>42239</v>
      </c>
      <c r="D1569" s="82">
        <v>9380000</v>
      </c>
      <c r="E1569" s="82">
        <v>9330000</v>
      </c>
      <c r="F1569" s="82">
        <v>9505000</v>
      </c>
      <c r="G1569" s="82">
        <v>9380000</v>
      </c>
      <c r="I1569" s="97">
        <v>0</v>
      </c>
      <c r="J1569" s="97">
        <v>0</v>
      </c>
      <c r="K1569" s="97">
        <v>0</v>
      </c>
      <c r="M1569" s="7">
        <f t="shared" si="265"/>
        <v>0</v>
      </c>
      <c r="N1569" s="7">
        <f t="shared" si="274"/>
        <v>0</v>
      </c>
      <c r="O1569" s="7">
        <f t="shared" si="273"/>
        <v>-30000</v>
      </c>
      <c r="P1569" s="99">
        <f t="shared" si="266"/>
        <v>-3.188097768331562E-3</v>
      </c>
      <c r="Q1569" s="99">
        <f t="shared" si="275"/>
        <v>5.5274954918770727E-2</v>
      </c>
      <c r="S1569" s="7">
        <f t="shared" si="267"/>
        <v>10318000</v>
      </c>
      <c r="T1569" s="7">
        <f t="shared" si="268"/>
        <v>3126666.6666666665</v>
      </c>
      <c r="U1569" s="7">
        <f t="shared" si="269"/>
        <v>10914000</v>
      </c>
      <c r="V1569" s="7">
        <f t="shared" si="270"/>
        <v>0</v>
      </c>
      <c r="W1569" s="7">
        <f t="shared" si="271"/>
        <v>0</v>
      </c>
      <c r="X1569" s="7">
        <f t="shared" si="272"/>
        <v>0</v>
      </c>
    </row>
    <row r="1570" spans="1:24">
      <c r="A1570">
        <v>1569</v>
      </c>
      <c r="B1570" s="96" t="s">
        <v>2034</v>
      </c>
      <c r="C1570" s="95">
        <v>42240</v>
      </c>
      <c r="D1570" s="82">
        <v>9355000</v>
      </c>
      <c r="E1570" s="82">
        <v>9295000</v>
      </c>
      <c r="F1570" s="82">
        <v>9370000</v>
      </c>
      <c r="G1570" s="82">
        <v>9355000</v>
      </c>
      <c r="I1570" s="97">
        <v>0</v>
      </c>
      <c r="J1570" s="97">
        <v>0</v>
      </c>
      <c r="K1570" s="97">
        <v>0</v>
      </c>
      <c r="M1570" s="7">
        <f t="shared" si="265"/>
        <v>0</v>
      </c>
      <c r="N1570" s="7">
        <f t="shared" si="274"/>
        <v>0</v>
      </c>
      <c r="O1570" s="7">
        <f t="shared" si="273"/>
        <v>-25000</v>
      </c>
      <c r="P1570" s="99">
        <f t="shared" si="266"/>
        <v>-2.6652452025586353E-3</v>
      </c>
      <c r="Q1570" s="99">
        <f t="shared" si="275"/>
        <v>4.9281021011269695E-2</v>
      </c>
      <c r="S1570" s="7">
        <f t="shared" si="267"/>
        <v>10290500</v>
      </c>
      <c r="T1570" s="7">
        <f t="shared" si="268"/>
        <v>3118333.3333333335</v>
      </c>
      <c r="U1570" s="7">
        <f t="shared" si="269"/>
        <v>10894000</v>
      </c>
      <c r="V1570" s="7">
        <f t="shared" si="270"/>
        <v>0</v>
      </c>
      <c r="W1570" s="7">
        <f t="shared" si="271"/>
        <v>0</v>
      </c>
      <c r="X1570" s="7">
        <f t="shared" si="272"/>
        <v>0</v>
      </c>
    </row>
    <row r="1571" spans="1:24">
      <c r="A1571">
        <v>1570</v>
      </c>
      <c r="B1571" s="96" t="s">
        <v>2033</v>
      </c>
      <c r="C1571" s="95">
        <v>42241</v>
      </c>
      <c r="D1571" s="82">
        <v>9255000</v>
      </c>
      <c r="E1571" s="82">
        <v>9245000</v>
      </c>
      <c r="F1571" s="82">
        <v>9300000</v>
      </c>
      <c r="G1571" s="82">
        <v>9255000</v>
      </c>
      <c r="I1571" s="98">
        <v>0</v>
      </c>
      <c r="J1571" s="98">
        <v>0</v>
      </c>
      <c r="K1571" s="98">
        <v>0</v>
      </c>
      <c r="M1571" s="7">
        <f t="shared" si="265"/>
        <v>0</v>
      </c>
      <c r="N1571" s="7">
        <f t="shared" si="274"/>
        <v>0</v>
      </c>
      <c r="O1571" s="7">
        <f t="shared" si="273"/>
        <v>-100000</v>
      </c>
      <c r="P1571" s="99">
        <f t="shared" si="266"/>
        <v>-1.0689470871191877E-2</v>
      </c>
      <c r="Q1571" s="99">
        <f t="shared" si="275"/>
        <v>4.7175372898806196E-2</v>
      </c>
      <c r="S1571" s="7">
        <f t="shared" si="267"/>
        <v>10180500</v>
      </c>
      <c r="T1571" s="7">
        <f t="shared" si="268"/>
        <v>3085000</v>
      </c>
      <c r="U1571" s="7">
        <f t="shared" si="269"/>
        <v>10844500</v>
      </c>
      <c r="V1571" s="7">
        <f t="shared" si="270"/>
        <v>0</v>
      </c>
      <c r="W1571" s="7">
        <f t="shared" si="271"/>
        <v>0</v>
      </c>
      <c r="X1571" s="7">
        <f t="shared" si="272"/>
        <v>0</v>
      </c>
    </row>
    <row r="1572" spans="1:24">
      <c r="A1572">
        <v>1571</v>
      </c>
      <c r="B1572" s="96" t="s">
        <v>2032</v>
      </c>
      <c r="C1572" s="95">
        <v>42242</v>
      </c>
      <c r="D1572" s="82">
        <v>9160000</v>
      </c>
      <c r="E1572" s="82">
        <v>9130000</v>
      </c>
      <c r="F1572" s="82">
        <v>9285000</v>
      </c>
      <c r="G1572" s="82">
        <v>9160000</v>
      </c>
      <c r="I1572" s="82">
        <f>G1572*1.1</f>
        <v>10076000</v>
      </c>
      <c r="J1572" s="82">
        <f>G1572/3</f>
        <v>3053333.3333333335</v>
      </c>
      <c r="K1572" s="7">
        <f>G1840</f>
        <v>10875000</v>
      </c>
      <c r="L1572" s="7">
        <f>K1572-I1572</f>
        <v>799000</v>
      </c>
      <c r="M1572" s="7">
        <f t="shared" si="265"/>
        <v>381666.66666666674</v>
      </c>
      <c r="N1572" s="7">
        <f t="shared" si="274"/>
        <v>1180666.6666666667</v>
      </c>
      <c r="O1572" s="7">
        <f t="shared" si="273"/>
        <v>-95000</v>
      </c>
      <c r="P1572" s="99">
        <f t="shared" si="266"/>
        <v>-1.0264721772015126E-2</v>
      </c>
      <c r="Q1572" s="99">
        <f t="shared" si="275"/>
        <v>2.8647156226942423E-2</v>
      </c>
      <c r="R1572">
        <v>1</v>
      </c>
      <c r="S1572" s="7">
        <f t="shared" si="267"/>
        <v>10076000</v>
      </c>
      <c r="T1572" s="7">
        <f t="shared" si="268"/>
        <v>3053333.3333333335</v>
      </c>
      <c r="U1572" s="7">
        <f t="shared" si="269"/>
        <v>10875000</v>
      </c>
      <c r="V1572" s="7">
        <f t="shared" si="270"/>
        <v>799000</v>
      </c>
      <c r="W1572" s="7">
        <f t="shared" si="271"/>
        <v>381666.66666666674</v>
      </c>
      <c r="X1572" s="7">
        <f t="shared" si="272"/>
        <v>1180666.6666666667</v>
      </c>
    </row>
    <row r="1573" spans="1:24">
      <c r="A1573">
        <v>1572</v>
      </c>
      <c r="B1573" s="96" t="s">
        <v>2031</v>
      </c>
      <c r="C1573" s="95">
        <v>42243</v>
      </c>
      <c r="D1573" s="82">
        <v>9110000</v>
      </c>
      <c r="E1573" s="82">
        <v>9090000</v>
      </c>
      <c r="F1573" s="82">
        <v>9165000</v>
      </c>
      <c r="G1573" s="82">
        <v>9110000</v>
      </c>
      <c r="I1573" s="97">
        <v>0</v>
      </c>
      <c r="J1573" s="97">
        <v>0</v>
      </c>
      <c r="K1573" s="97">
        <v>0</v>
      </c>
      <c r="M1573" s="7">
        <f t="shared" si="265"/>
        <v>0</v>
      </c>
      <c r="N1573" s="7">
        <f t="shared" si="274"/>
        <v>0</v>
      </c>
      <c r="O1573" s="7">
        <f t="shared" si="273"/>
        <v>-50000</v>
      </c>
      <c r="P1573" s="99">
        <f t="shared" si="266"/>
        <v>-5.4585152838427945E-3</v>
      </c>
      <c r="Q1573" s="99">
        <f t="shared" si="275"/>
        <v>7.8268788993717357E-3</v>
      </c>
      <c r="S1573" s="7">
        <f t="shared" si="267"/>
        <v>10021000</v>
      </c>
      <c r="T1573" s="7">
        <f t="shared" si="268"/>
        <v>3036666.6666666665</v>
      </c>
      <c r="U1573" s="7">
        <f t="shared" si="269"/>
        <v>10822000</v>
      </c>
      <c r="V1573" s="7">
        <f t="shared" si="270"/>
        <v>0</v>
      </c>
      <c r="W1573" s="7">
        <f t="shared" si="271"/>
        <v>0</v>
      </c>
      <c r="X1573" s="7">
        <f t="shared" si="272"/>
        <v>0</v>
      </c>
    </row>
    <row r="1574" spans="1:24">
      <c r="A1574">
        <v>1573</v>
      </c>
      <c r="B1574" s="96" t="s">
        <v>2030</v>
      </c>
      <c r="C1574" s="95">
        <v>42245</v>
      </c>
      <c r="D1574" s="82">
        <v>9085000</v>
      </c>
      <c r="E1574" s="82">
        <v>9075000</v>
      </c>
      <c r="F1574" s="82">
        <v>9140000</v>
      </c>
      <c r="G1574" s="82">
        <v>9085000</v>
      </c>
      <c r="I1574" s="97">
        <v>0</v>
      </c>
      <c r="J1574" s="97">
        <v>0</v>
      </c>
      <c r="K1574" s="97">
        <v>0</v>
      </c>
      <c r="M1574" s="7">
        <f t="shared" si="265"/>
        <v>0</v>
      </c>
      <c r="N1574" s="7">
        <f t="shared" si="274"/>
        <v>0</v>
      </c>
      <c r="O1574" s="7">
        <f t="shared" si="273"/>
        <v>-25000</v>
      </c>
      <c r="P1574" s="99">
        <f t="shared" si="266"/>
        <v>-2.7442371020856204E-3</v>
      </c>
      <c r="Q1574" s="99">
        <f t="shared" si="275"/>
        <v>-3.2266050897939998E-2</v>
      </c>
      <c r="S1574" s="7">
        <f t="shared" si="267"/>
        <v>9993500</v>
      </c>
      <c r="T1574" s="7">
        <f t="shared" si="268"/>
        <v>3028333.3333333335</v>
      </c>
      <c r="U1574" s="7">
        <f t="shared" si="269"/>
        <v>10896000</v>
      </c>
      <c r="V1574" s="7">
        <f t="shared" si="270"/>
        <v>0</v>
      </c>
      <c r="W1574" s="7">
        <f t="shared" si="271"/>
        <v>0</v>
      </c>
      <c r="X1574" s="7">
        <f t="shared" si="272"/>
        <v>0</v>
      </c>
    </row>
    <row r="1575" spans="1:24">
      <c r="A1575">
        <v>1574</v>
      </c>
      <c r="B1575" s="96" t="s">
        <v>2029</v>
      </c>
      <c r="C1575" s="95">
        <v>42246</v>
      </c>
      <c r="D1575" s="82">
        <v>9190000</v>
      </c>
      <c r="E1575" s="82">
        <v>9090000</v>
      </c>
      <c r="F1575" s="82">
        <v>9190000</v>
      </c>
      <c r="G1575" s="82">
        <v>9190000</v>
      </c>
      <c r="I1575" s="97">
        <v>0</v>
      </c>
      <c r="J1575" s="97">
        <v>0</v>
      </c>
      <c r="K1575" s="97">
        <v>0</v>
      </c>
      <c r="M1575" s="7">
        <f t="shared" si="265"/>
        <v>0</v>
      </c>
      <c r="N1575" s="7">
        <f t="shared" si="274"/>
        <v>0</v>
      </c>
      <c r="O1575" s="7">
        <f t="shared" si="273"/>
        <v>105000</v>
      </c>
      <c r="P1575" s="99">
        <f t="shared" si="266"/>
        <v>1.1557512383048982E-2</v>
      </c>
      <c r="Q1575" s="99">
        <f t="shared" si="275"/>
        <v>-3.1822190231694053E-2</v>
      </c>
      <c r="S1575" s="7">
        <f t="shared" si="267"/>
        <v>10109000</v>
      </c>
      <c r="T1575" s="7">
        <f t="shared" si="268"/>
        <v>3063333.3333333335</v>
      </c>
      <c r="U1575" s="7">
        <f t="shared" si="269"/>
        <v>10872000</v>
      </c>
      <c r="V1575" s="7">
        <f t="shared" si="270"/>
        <v>0</v>
      </c>
      <c r="W1575" s="7">
        <f t="shared" si="271"/>
        <v>0</v>
      </c>
      <c r="X1575" s="7">
        <f t="shared" si="272"/>
        <v>0</v>
      </c>
    </row>
    <row r="1576" spans="1:24">
      <c r="A1576">
        <v>1575</v>
      </c>
      <c r="B1576" s="96" t="s">
        <v>2028</v>
      </c>
      <c r="C1576" s="95">
        <v>42247</v>
      </c>
      <c r="D1576" s="82">
        <v>9200000</v>
      </c>
      <c r="E1576" s="82">
        <v>9185000</v>
      </c>
      <c r="F1576" s="82">
        <v>9225000</v>
      </c>
      <c r="G1576" s="82">
        <v>9200000</v>
      </c>
      <c r="I1576" s="98">
        <v>0</v>
      </c>
      <c r="J1576" s="98">
        <v>0</v>
      </c>
      <c r="K1576" s="98">
        <v>0</v>
      </c>
      <c r="M1576" s="7">
        <f t="shared" si="265"/>
        <v>0</v>
      </c>
      <c r="N1576" s="7">
        <f t="shared" si="274"/>
        <v>0</v>
      </c>
      <c r="O1576" s="7">
        <f t="shared" si="273"/>
        <v>10000</v>
      </c>
      <c r="P1576" s="99">
        <f t="shared" si="266"/>
        <v>1.088139281828074E-3</v>
      </c>
      <c r="Q1576" s="99">
        <f t="shared" si="275"/>
        <v>-1.7599432646086439E-2</v>
      </c>
      <c r="S1576" s="7">
        <f t="shared" si="267"/>
        <v>10120000</v>
      </c>
      <c r="T1576" s="7">
        <f t="shared" si="268"/>
        <v>3066666.6666666665</v>
      </c>
      <c r="U1576" s="7">
        <f t="shared" si="269"/>
        <v>10857000</v>
      </c>
      <c r="V1576" s="7">
        <f t="shared" si="270"/>
        <v>0</v>
      </c>
      <c r="W1576" s="7">
        <f t="shared" si="271"/>
        <v>0</v>
      </c>
      <c r="X1576" s="7">
        <f t="shared" si="272"/>
        <v>0</v>
      </c>
    </row>
    <row r="1577" spans="1:24">
      <c r="A1577">
        <v>1576</v>
      </c>
      <c r="B1577" s="96" t="s">
        <v>2027</v>
      </c>
      <c r="C1577" s="95">
        <v>42248</v>
      </c>
      <c r="D1577" s="82">
        <v>9275000</v>
      </c>
      <c r="E1577" s="82">
        <v>9225000</v>
      </c>
      <c r="F1577" s="82">
        <v>9275000</v>
      </c>
      <c r="G1577" s="82">
        <v>9275000</v>
      </c>
      <c r="I1577" s="82">
        <f>G1577*1.1</f>
        <v>10202500</v>
      </c>
      <c r="J1577" s="82">
        <f>G1577/3</f>
        <v>3091666.6666666665</v>
      </c>
      <c r="K1577" s="7">
        <f>G1845</f>
        <v>10875000</v>
      </c>
      <c r="L1577" s="7">
        <f>K1577-I1577</f>
        <v>672500</v>
      </c>
      <c r="M1577" s="7">
        <f t="shared" si="265"/>
        <v>386458.33333333326</v>
      </c>
      <c r="N1577" s="7">
        <f t="shared" si="274"/>
        <v>1058958.3333333333</v>
      </c>
      <c r="O1577" s="7">
        <f t="shared" si="273"/>
        <v>75000</v>
      </c>
      <c r="P1577" s="99">
        <f t="shared" si="266"/>
        <v>8.152173913043478E-3</v>
      </c>
      <c r="Q1577" s="99">
        <f t="shared" si="275"/>
        <v>-5.8218224930664851E-3</v>
      </c>
      <c r="R1577">
        <v>1</v>
      </c>
      <c r="S1577" s="7">
        <f t="shared" si="267"/>
        <v>10202500</v>
      </c>
      <c r="T1577" s="7">
        <f t="shared" si="268"/>
        <v>3091666.6666666665</v>
      </c>
      <c r="U1577" s="7">
        <f t="shared" si="269"/>
        <v>10875000</v>
      </c>
      <c r="V1577" s="7">
        <f t="shared" si="270"/>
        <v>672500</v>
      </c>
      <c r="W1577" s="7">
        <f t="shared" si="271"/>
        <v>386458.33333333326</v>
      </c>
      <c r="X1577" s="7">
        <f t="shared" si="272"/>
        <v>1058958.3333333333</v>
      </c>
    </row>
    <row r="1578" spans="1:24">
      <c r="A1578">
        <v>1577</v>
      </c>
      <c r="B1578" s="96" t="s">
        <v>2026</v>
      </c>
      <c r="C1578" s="95">
        <v>42249</v>
      </c>
      <c r="D1578" s="82">
        <v>9185000</v>
      </c>
      <c r="E1578" s="82">
        <v>9180000</v>
      </c>
      <c r="F1578" s="82">
        <v>9260000</v>
      </c>
      <c r="G1578" s="82">
        <v>9185000</v>
      </c>
      <c r="I1578" s="97">
        <v>0</v>
      </c>
      <c r="J1578" s="97">
        <v>0</v>
      </c>
      <c r="K1578" s="97">
        <v>0</v>
      </c>
      <c r="M1578" s="7">
        <f t="shared" si="265"/>
        <v>0</v>
      </c>
      <c r="N1578" s="7">
        <f t="shared" si="274"/>
        <v>0</v>
      </c>
      <c r="O1578" s="7">
        <f t="shared" si="273"/>
        <v>-90000</v>
      </c>
      <c r="P1578" s="99">
        <f t="shared" si="266"/>
        <v>-9.7035040431266845E-3</v>
      </c>
      <c r="Q1578" s="99">
        <f t="shared" si="275"/>
        <v>1.2595073191992118E-2</v>
      </c>
      <c r="S1578" s="7">
        <f t="shared" si="267"/>
        <v>10103500</v>
      </c>
      <c r="T1578" s="7">
        <f t="shared" si="268"/>
        <v>3061666.6666666665</v>
      </c>
      <c r="U1578" s="7">
        <f t="shared" si="269"/>
        <v>10922000</v>
      </c>
      <c r="V1578" s="7">
        <f t="shared" si="270"/>
        <v>0</v>
      </c>
      <c r="W1578" s="7">
        <f t="shared" si="271"/>
        <v>0</v>
      </c>
      <c r="X1578" s="7">
        <f t="shared" si="272"/>
        <v>0</v>
      </c>
    </row>
    <row r="1579" spans="1:24">
      <c r="A1579">
        <v>1578</v>
      </c>
      <c r="B1579" s="96" t="s">
        <v>2025</v>
      </c>
      <c r="C1579" s="95">
        <v>42250</v>
      </c>
      <c r="D1579" s="82">
        <v>9165000</v>
      </c>
      <c r="E1579" s="82">
        <v>9155000</v>
      </c>
      <c r="F1579" s="82">
        <v>9180000</v>
      </c>
      <c r="G1579" s="82">
        <v>9165000</v>
      </c>
      <c r="I1579" s="97">
        <v>0</v>
      </c>
      <c r="J1579" s="97">
        <v>0</v>
      </c>
      <c r="K1579" s="97">
        <v>0</v>
      </c>
      <c r="M1579" s="7">
        <f t="shared" si="265"/>
        <v>0</v>
      </c>
      <c r="N1579" s="7">
        <f t="shared" si="274"/>
        <v>0</v>
      </c>
      <c r="O1579" s="7">
        <f t="shared" si="273"/>
        <v>-20000</v>
      </c>
      <c r="P1579" s="99">
        <f t="shared" si="266"/>
        <v>-2.1774632553075669E-3</v>
      </c>
      <c r="Q1579" s="99">
        <f t="shared" si="275"/>
        <v>8.350084432708231E-3</v>
      </c>
      <c r="S1579" s="7">
        <f t="shared" si="267"/>
        <v>10081500</v>
      </c>
      <c r="T1579" s="7">
        <f t="shared" si="268"/>
        <v>3055000</v>
      </c>
      <c r="U1579" s="7">
        <f t="shared" si="269"/>
        <v>10979000</v>
      </c>
      <c r="V1579" s="7">
        <f t="shared" si="270"/>
        <v>0</v>
      </c>
      <c r="W1579" s="7">
        <f t="shared" si="271"/>
        <v>0</v>
      </c>
      <c r="X1579" s="7">
        <f t="shared" si="272"/>
        <v>0</v>
      </c>
    </row>
    <row r="1580" spans="1:24">
      <c r="A1580">
        <v>1579</v>
      </c>
      <c r="B1580" s="96" t="s">
        <v>2024</v>
      </c>
      <c r="C1580" s="95">
        <v>42252</v>
      </c>
      <c r="D1580" s="82">
        <v>9200000</v>
      </c>
      <c r="E1580" s="82">
        <v>9150000</v>
      </c>
      <c r="F1580" s="82">
        <v>9205000</v>
      </c>
      <c r="G1580" s="82">
        <v>9200000</v>
      </c>
      <c r="I1580" s="97">
        <v>0</v>
      </c>
      <c r="J1580" s="97">
        <v>0</v>
      </c>
      <c r="K1580" s="97">
        <v>0</v>
      </c>
      <c r="M1580" s="7">
        <f t="shared" si="265"/>
        <v>0</v>
      </c>
      <c r="N1580" s="7">
        <f t="shared" si="274"/>
        <v>0</v>
      </c>
      <c r="O1580" s="7">
        <f t="shared" si="273"/>
        <v>35000</v>
      </c>
      <c r="P1580" s="99">
        <f t="shared" si="266"/>
        <v>3.8188761593016913E-3</v>
      </c>
      <c r="Q1580" s="99">
        <f t="shared" si="275"/>
        <v>8.9168582794862845E-3</v>
      </c>
      <c r="S1580" s="7">
        <f t="shared" si="267"/>
        <v>10120000</v>
      </c>
      <c r="T1580" s="7">
        <f t="shared" si="268"/>
        <v>3066666.6666666665</v>
      </c>
      <c r="U1580" s="7">
        <f t="shared" si="269"/>
        <v>11062000</v>
      </c>
      <c r="V1580" s="7">
        <f t="shared" si="270"/>
        <v>0</v>
      </c>
      <c r="W1580" s="7">
        <f t="shared" si="271"/>
        <v>0</v>
      </c>
      <c r="X1580" s="7">
        <f t="shared" si="272"/>
        <v>0</v>
      </c>
    </row>
    <row r="1581" spans="1:24">
      <c r="A1581">
        <v>1580</v>
      </c>
      <c r="B1581" s="96" t="s">
        <v>2023</v>
      </c>
      <c r="C1581" s="95">
        <v>42253</v>
      </c>
      <c r="D1581" s="82">
        <v>9205000</v>
      </c>
      <c r="E1581" s="82">
        <v>9125000</v>
      </c>
      <c r="F1581" s="82">
        <v>9230000</v>
      </c>
      <c r="G1581" s="82">
        <v>9205000</v>
      </c>
      <c r="I1581" s="98">
        <v>0</v>
      </c>
      <c r="J1581" s="98">
        <v>0</v>
      </c>
      <c r="K1581" s="98">
        <v>0</v>
      </c>
      <c r="M1581" s="7">
        <f t="shared" si="265"/>
        <v>0</v>
      </c>
      <c r="N1581" s="7">
        <f t="shared" si="274"/>
        <v>0</v>
      </c>
      <c r="O1581" s="7">
        <f t="shared" si="273"/>
        <v>5000</v>
      </c>
      <c r="P1581" s="99">
        <f t="shared" si="266"/>
        <v>5.4347826086956522E-4</v>
      </c>
      <c r="Q1581" s="99">
        <f t="shared" si="275"/>
        <v>1.1782220557389929E-3</v>
      </c>
      <c r="S1581" s="7">
        <f t="shared" si="267"/>
        <v>10125500</v>
      </c>
      <c r="T1581" s="7">
        <f t="shared" si="268"/>
        <v>3068333.3333333335</v>
      </c>
      <c r="U1581" s="7">
        <f t="shared" si="269"/>
        <v>11162000</v>
      </c>
      <c r="V1581" s="7">
        <f t="shared" si="270"/>
        <v>0</v>
      </c>
      <c r="W1581" s="7">
        <f t="shared" si="271"/>
        <v>0</v>
      </c>
      <c r="X1581" s="7">
        <f t="shared" si="272"/>
        <v>0</v>
      </c>
    </row>
    <row r="1582" spans="1:24">
      <c r="A1582">
        <v>1581</v>
      </c>
      <c r="B1582" s="96" t="s">
        <v>2022</v>
      </c>
      <c r="C1582" s="95">
        <v>42254</v>
      </c>
      <c r="D1582" s="82">
        <v>9150000</v>
      </c>
      <c r="E1582" s="82">
        <v>9145000</v>
      </c>
      <c r="F1582" s="82">
        <v>9215000</v>
      </c>
      <c r="G1582" s="82">
        <v>9150000</v>
      </c>
      <c r="I1582" s="82">
        <f>G1582*1.1</f>
        <v>10065000</v>
      </c>
      <c r="J1582" s="82">
        <f>G1582/3</f>
        <v>3050000</v>
      </c>
      <c r="K1582" s="7">
        <f>G1850</f>
        <v>11157000</v>
      </c>
      <c r="L1582" s="7">
        <f>K1582-I1582</f>
        <v>1092000</v>
      </c>
      <c r="M1582" s="7">
        <f t="shared" si="265"/>
        <v>381250</v>
      </c>
      <c r="N1582" s="7">
        <f t="shared" si="274"/>
        <v>1473250</v>
      </c>
      <c r="O1582" s="7">
        <f t="shared" si="273"/>
        <v>-55000</v>
      </c>
      <c r="P1582" s="99">
        <f t="shared" si="266"/>
        <v>-5.975013579576317E-3</v>
      </c>
      <c r="Q1582" s="99">
        <f t="shared" si="275"/>
        <v>6.3356103478048322E-4</v>
      </c>
      <c r="R1582">
        <v>1</v>
      </c>
      <c r="S1582" s="7">
        <f t="shared" si="267"/>
        <v>10065000</v>
      </c>
      <c r="T1582" s="7">
        <f t="shared" si="268"/>
        <v>3050000</v>
      </c>
      <c r="U1582" s="7">
        <f t="shared" si="269"/>
        <v>11157000</v>
      </c>
      <c r="V1582" s="7">
        <f t="shared" si="270"/>
        <v>1092000</v>
      </c>
      <c r="W1582" s="7">
        <f t="shared" si="271"/>
        <v>381250</v>
      </c>
      <c r="X1582" s="7">
        <f t="shared" si="272"/>
        <v>1473250</v>
      </c>
    </row>
    <row r="1583" spans="1:24">
      <c r="A1583">
        <v>1582</v>
      </c>
      <c r="B1583" s="96" t="s">
        <v>2021</v>
      </c>
      <c r="C1583" s="95">
        <v>42255</v>
      </c>
      <c r="D1583" s="82">
        <v>9195000</v>
      </c>
      <c r="E1583" s="82">
        <v>9145000</v>
      </c>
      <c r="F1583" s="82">
        <v>9195000</v>
      </c>
      <c r="G1583" s="82">
        <v>9195000</v>
      </c>
      <c r="I1583" s="97">
        <v>0</v>
      </c>
      <c r="J1583" s="97">
        <v>0</v>
      </c>
      <c r="K1583" s="97">
        <v>0</v>
      </c>
      <c r="M1583" s="7">
        <f t="shared" si="265"/>
        <v>0</v>
      </c>
      <c r="N1583" s="7">
        <f t="shared" si="274"/>
        <v>0</v>
      </c>
      <c r="O1583" s="7">
        <f t="shared" si="273"/>
        <v>45000</v>
      </c>
      <c r="P1583" s="99">
        <f t="shared" si="266"/>
        <v>4.9180327868852463E-3</v>
      </c>
      <c r="Q1583" s="99">
        <f t="shared" si="275"/>
        <v>-1.3493626457839311E-2</v>
      </c>
      <c r="S1583" s="7">
        <f t="shared" si="267"/>
        <v>10114500</v>
      </c>
      <c r="T1583" s="7">
        <f t="shared" si="268"/>
        <v>3065000</v>
      </c>
      <c r="U1583" s="7">
        <f t="shared" si="269"/>
        <v>11174000</v>
      </c>
      <c r="V1583" s="7">
        <f t="shared" si="270"/>
        <v>0</v>
      </c>
      <c r="W1583" s="7">
        <f t="shared" si="271"/>
        <v>0</v>
      </c>
      <c r="X1583" s="7">
        <f t="shared" si="272"/>
        <v>0</v>
      </c>
    </row>
    <row r="1584" spans="1:24">
      <c r="A1584">
        <v>1583</v>
      </c>
      <c r="B1584" s="96" t="s">
        <v>2020</v>
      </c>
      <c r="C1584" s="95">
        <v>42256</v>
      </c>
      <c r="D1584" s="82">
        <v>9145000</v>
      </c>
      <c r="E1584" s="82">
        <v>9135000</v>
      </c>
      <c r="F1584" s="82">
        <v>9180000</v>
      </c>
      <c r="G1584" s="82">
        <v>9145000</v>
      </c>
      <c r="I1584" s="97">
        <v>0</v>
      </c>
      <c r="J1584" s="97">
        <v>0</v>
      </c>
      <c r="K1584" s="97">
        <v>0</v>
      </c>
      <c r="M1584" s="7">
        <f t="shared" si="265"/>
        <v>0</v>
      </c>
      <c r="N1584" s="7">
        <f t="shared" si="274"/>
        <v>0</v>
      </c>
      <c r="O1584" s="7">
        <f t="shared" si="273"/>
        <v>-50000</v>
      </c>
      <c r="P1584" s="99">
        <f t="shared" si="266"/>
        <v>-5.4377379010331706E-3</v>
      </c>
      <c r="Q1584" s="99">
        <f t="shared" si="275"/>
        <v>1.1279103721726189E-3</v>
      </c>
      <c r="S1584" s="7">
        <f t="shared" si="267"/>
        <v>10059500</v>
      </c>
      <c r="T1584" s="7">
        <f t="shared" si="268"/>
        <v>3048333.3333333335</v>
      </c>
      <c r="U1584" s="7">
        <f t="shared" si="269"/>
        <v>11287000</v>
      </c>
      <c r="V1584" s="7">
        <f t="shared" si="270"/>
        <v>0</v>
      </c>
      <c r="W1584" s="7">
        <f t="shared" si="271"/>
        <v>0</v>
      </c>
      <c r="X1584" s="7">
        <f t="shared" si="272"/>
        <v>0</v>
      </c>
    </row>
    <row r="1585" spans="1:24">
      <c r="A1585">
        <v>1584</v>
      </c>
      <c r="B1585" s="96" t="s">
        <v>2019</v>
      </c>
      <c r="C1585" s="95">
        <v>42257</v>
      </c>
      <c r="D1585" s="82">
        <v>9120000</v>
      </c>
      <c r="E1585" s="82">
        <v>9100000</v>
      </c>
      <c r="F1585" s="82">
        <v>9130000</v>
      </c>
      <c r="G1585" s="82">
        <v>9120000</v>
      </c>
      <c r="I1585" s="97">
        <v>0</v>
      </c>
      <c r="J1585" s="97">
        <v>0</v>
      </c>
      <c r="K1585" s="97">
        <v>0</v>
      </c>
      <c r="M1585" s="7">
        <f t="shared" si="265"/>
        <v>0</v>
      </c>
      <c r="N1585" s="7">
        <f t="shared" si="274"/>
        <v>0</v>
      </c>
      <c r="O1585" s="7">
        <f t="shared" si="273"/>
        <v>-25000</v>
      </c>
      <c r="P1585" s="99">
        <f t="shared" si="266"/>
        <v>-2.7337342810278839E-3</v>
      </c>
      <c r="Q1585" s="99">
        <f t="shared" si="275"/>
        <v>-2.1323642735529844E-3</v>
      </c>
      <c r="S1585" s="7">
        <f t="shared" si="267"/>
        <v>10032000</v>
      </c>
      <c r="T1585" s="7">
        <f t="shared" si="268"/>
        <v>3040000</v>
      </c>
      <c r="U1585" s="7">
        <f t="shared" si="269"/>
        <v>11198000</v>
      </c>
      <c r="V1585" s="7">
        <f t="shared" si="270"/>
        <v>0</v>
      </c>
      <c r="W1585" s="7">
        <f t="shared" si="271"/>
        <v>0</v>
      </c>
      <c r="X1585" s="7">
        <f t="shared" si="272"/>
        <v>0</v>
      </c>
    </row>
    <row r="1586" spans="1:24">
      <c r="A1586">
        <v>1585</v>
      </c>
      <c r="B1586" s="96" t="s">
        <v>2018</v>
      </c>
      <c r="C1586" s="95">
        <v>42259</v>
      </c>
      <c r="D1586" s="82">
        <v>9110000</v>
      </c>
      <c r="E1586" s="82">
        <v>9090000</v>
      </c>
      <c r="F1586" s="82">
        <v>9125000</v>
      </c>
      <c r="G1586" s="82">
        <v>9110000</v>
      </c>
      <c r="I1586" s="98">
        <v>0</v>
      </c>
      <c r="J1586" s="98">
        <v>0</v>
      </c>
      <c r="K1586" s="98">
        <v>0</v>
      </c>
      <c r="M1586" s="7">
        <f t="shared" si="265"/>
        <v>0</v>
      </c>
      <c r="N1586" s="7">
        <f t="shared" si="274"/>
        <v>0</v>
      </c>
      <c r="O1586" s="7">
        <f t="shared" si="273"/>
        <v>-10000</v>
      </c>
      <c r="P1586" s="99">
        <f t="shared" si="266"/>
        <v>-1.0964912280701754E-3</v>
      </c>
      <c r="Q1586" s="99">
        <f t="shared" si="275"/>
        <v>-8.6849747138825588E-3</v>
      </c>
      <c r="S1586" s="7">
        <f t="shared" si="267"/>
        <v>10021000</v>
      </c>
      <c r="T1586" s="7">
        <f t="shared" si="268"/>
        <v>3036666.6666666665</v>
      </c>
      <c r="U1586" s="7">
        <f t="shared" si="269"/>
        <v>11205000</v>
      </c>
      <c r="V1586" s="7">
        <f t="shared" si="270"/>
        <v>0</v>
      </c>
      <c r="W1586" s="7">
        <f t="shared" si="271"/>
        <v>0</v>
      </c>
      <c r="X1586" s="7">
        <f t="shared" si="272"/>
        <v>0</v>
      </c>
    </row>
    <row r="1587" spans="1:24">
      <c r="A1587">
        <v>1586</v>
      </c>
      <c r="B1587" s="96" t="s">
        <v>2017</v>
      </c>
      <c r="C1587" s="95">
        <v>42260</v>
      </c>
      <c r="D1587" s="82">
        <v>9115000</v>
      </c>
      <c r="E1587" s="82">
        <v>9105000</v>
      </c>
      <c r="F1587" s="82">
        <v>9130000</v>
      </c>
      <c r="G1587" s="82">
        <v>9115000</v>
      </c>
      <c r="I1587" s="82">
        <f>G1587*1.1</f>
        <v>10026500</v>
      </c>
      <c r="J1587" s="82">
        <f>G1587/3</f>
        <v>3038333.3333333335</v>
      </c>
      <c r="K1587" s="7">
        <f>G1855</f>
        <v>11047000</v>
      </c>
      <c r="L1587" s="7">
        <f>K1587-I1587</f>
        <v>1020500</v>
      </c>
      <c r="M1587" s="7">
        <f t="shared" si="265"/>
        <v>379791.66666666674</v>
      </c>
      <c r="N1587" s="7">
        <f t="shared" si="274"/>
        <v>1400291.6666666667</v>
      </c>
      <c r="O1587" s="7">
        <f t="shared" si="273"/>
        <v>5000</v>
      </c>
      <c r="P1587" s="99">
        <f t="shared" si="266"/>
        <v>5.4884742041712406E-4</v>
      </c>
      <c r="Q1587" s="99">
        <f t="shared" si="275"/>
        <v>-1.03249442028223E-2</v>
      </c>
      <c r="R1587">
        <v>1</v>
      </c>
      <c r="S1587" s="7">
        <f t="shared" si="267"/>
        <v>10026500</v>
      </c>
      <c r="T1587" s="7">
        <f t="shared" si="268"/>
        <v>3038333.3333333335</v>
      </c>
      <c r="U1587" s="7">
        <f t="shared" si="269"/>
        <v>11047000</v>
      </c>
      <c r="V1587" s="7">
        <f t="shared" si="270"/>
        <v>1020500</v>
      </c>
      <c r="W1587" s="7">
        <f t="shared" si="271"/>
        <v>379791.66666666674</v>
      </c>
      <c r="X1587" s="7">
        <f t="shared" si="272"/>
        <v>1400291.6666666667</v>
      </c>
    </row>
    <row r="1588" spans="1:24">
      <c r="A1588">
        <v>1587</v>
      </c>
      <c r="B1588" s="96" t="s">
        <v>2016</v>
      </c>
      <c r="C1588" s="95">
        <v>42261</v>
      </c>
      <c r="D1588" s="82">
        <v>9115000</v>
      </c>
      <c r="E1588" s="82">
        <v>9095000</v>
      </c>
      <c r="F1588" s="82">
        <v>9130000</v>
      </c>
      <c r="G1588" s="82">
        <v>9115000</v>
      </c>
      <c r="I1588" s="97">
        <v>0</v>
      </c>
      <c r="J1588" s="97">
        <v>0</v>
      </c>
      <c r="K1588" s="97">
        <v>0</v>
      </c>
      <c r="M1588" s="7">
        <f t="shared" si="265"/>
        <v>0</v>
      </c>
      <c r="N1588" s="7">
        <f t="shared" si="274"/>
        <v>0</v>
      </c>
      <c r="O1588" s="7">
        <f t="shared" si="273"/>
        <v>0</v>
      </c>
      <c r="P1588" s="99">
        <f t="shared" si="266"/>
        <v>0</v>
      </c>
      <c r="Q1588" s="99">
        <f t="shared" si="275"/>
        <v>-3.8010832028288594E-3</v>
      </c>
      <c r="S1588" s="7">
        <f t="shared" si="267"/>
        <v>10026500</v>
      </c>
      <c r="T1588" s="7">
        <f t="shared" si="268"/>
        <v>3038333.3333333335</v>
      </c>
      <c r="U1588" s="7">
        <f t="shared" si="269"/>
        <v>11060000</v>
      </c>
      <c r="V1588" s="7">
        <f t="shared" si="270"/>
        <v>0</v>
      </c>
      <c r="W1588" s="7">
        <f t="shared" si="271"/>
        <v>0</v>
      </c>
      <c r="X1588" s="7">
        <f t="shared" si="272"/>
        <v>0</v>
      </c>
    </row>
    <row r="1589" spans="1:24">
      <c r="A1589">
        <v>1588</v>
      </c>
      <c r="B1589" s="96" t="s">
        <v>2015</v>
      </c>
      <c r="C1589" s="95">
        <v>42262</v>
      </c>
      <c r="D1589" s="82">
        <v>9095000</v>
      </c>
      <c r="E1589" s="82">
        <v>9085000</v>
      </c>
      <c r="F1589" s="82">
        <v>9125000</v>
      </c>
      <c r="G1589" s="82">
        <v>9095000</v>
      </c>
      <c r="I1589" s="97">
        <v>0</v>
      </c>
      <c r="J1589" s="97">
        <v>0</v>
      </c>
      <c r="K1589" s="97">
        <v>0</v>
      </c>
      <c r="M1589" s="7">
        <f t="shared" si="265"/>
        <v>0</v>
      </c>
      <c r="N1589" s="7">
        <f t="shared" si="274"/>
        <v>0</v>
      </c>
      <c r="O1589" s="7">
        <f t="shared" si="273"/>
        <v>-20000</v>
      </c>
      <c r="P1589" s="99">
        <f t="shared" si="266"/>
        <v>-2.1941854086670325E-3</v>
      </c>
      <c r="Q1589" s="99">
        <f t="shared" si="275"/>
        <v>-8.7191159897141053E-3</v>
      </c>
      <c r="S1589" s="7">
        <f t="shared" si="267"/>
        <v>10004500</v>
      </c>
      <c r="T1589" s="7">
        <f t="shared" si="268"/>
        <v>3031666.6666666665</v>
      </c>
      <c r="U1589" s="7">
        <f t="shared" si="269"/>
        <v>11071000</v>
      </c>
      <c r="V1589" s="7">
        <f t="shared" si="270"/>
        <v>0</v>
      </c>
      <c r="W1589" s="7">
        <f t="shared" si="271"/>
        <v>0</v>
      </c>
      <c r="X1589" s="7">
        <f t="shared" si="272"/>
        <v>0</v>
      </c>
    </row>
    <row r="1590" spans="1:24">
      <c r="A1590">
        <v>1589</v>
      </c>
      <c r="B1590" s="96" t="s">
        <v>2014</v>
      </c>
      <c r="C1590" s="95">
        <v>42263</v>
      </c>
      <c r="D1590" s="82">
        <v>9115000</v>
      </c>
      <c r="E1590" s="82">
        <v>9070000</v>
      </c>
      <c r="F1590" s="82">
        <v>9115000</v>
      </c>
      <c r="G1590" s="82">
        <v>9115000</v>
      </c>
      <c r="I1590" s="97">
        <v>0</v>
      </c>
      <c r="J1590" s="97">
        <v>0</v>
      </c>
      <c r="K1590" s="97">
        <v>0</v>
      </c>
      <c r="M1590" s="7">
        <f t="shared" si="265"/>
        <v>0</v>
      </c>
      <c r="N1590" s="7">
        <f t="shared" si="274"/>
        <v>0</v>
      </c>
      <c r="O1590" s="7">
        <f t="shared" si="273"/>
        <v>20000</v>
      </c>
      <c r="P1590" s="99">
        <f t="shared" si="266"/>
        <v>2.1990104452996153E-3</v>
      </c>
      <c r="Q1590" s="99">
        <f t="shared" si="275"/>
        <v>-5.4755634973479676E-3</v>
      </c>
      <c r="S1590" s="7">
        <f t="shared" si="267"/>
        <v>10026500</v>
      </c>
      <c r="T1590" s="7">
        <f t="shared" si="268"/>
        <v>3038333.3333333335</v>
      </c>
      <c r="U1590" s="7">
        <f t="shared" si="269"/>
        <v>11141000</v>
      </c>
      <c r="V1590" s="7">
        <f t="shared" si="270"/>
        <v>0</v>
      </c>
      <c r="W1590" s="7">
        <f t="shared" si="271"/>
        <v>0</v>
      </c>
      <c r="X1590" s="7">
        <f t="shared" si="272"/>
        <v>0</v>
      </c>
    </row>
    <row r="1591" spans="1:24">
      <c r="A1591">
        <v>1590</v>
      </c>
      <c r="B1591" s="96" t="s">
        <v>2013</v>
      </c>
      <c r="C1591" s="95">
        <v>42264</v>
      </c>
      <c r="D1591" s="82">
        <v>9100000</v>
      </c>
      <c r="E1591" s="82">
        <v>9080000</v>
      </c>
      <c r="F1591" s="82">
        <v>9100000</v>
      </c>
      <c r="G1591" s="82">
        <v>9100000</v>
      </c>
      <c r="I1591" s="98">
        <v>0</v>
      </c>
      <c r="J1591" s="98">
        <v>0</v>
      </c>
      <c r="K1591" s="98">
        <v>0</v>
      </c>
      <c r="M1591" s="7">
        <f t="shared" si="265"/>
        <v>0</v>
      </c>
      <c r="N1591" s="7">
        <f t="shared" si="274"/>
        <v>0</v>
      </c>
      <c r="O1591" s="7">
        <f t="shared" si="273"/>
        <v>-15000</v>
      </c>
      <c r="P1591" s="99">
        <f t="shared" si="266"/>
        <v>-1.6456390565002743E-3</v>
      </c>
      <c r="Q1591" s="99">
        <f t="shared" si="275"/>
        <v>-5.4281877102046842E-4</v>
      </c>
      <c r="S1591" s="7">
        <f t="shared" si="267"/>
        <v>10010000</v>
      </c>
      <c r="T1591" s="7">
        <f t="shared" si="268"/>
        <v>3033333.3333333335</v>
      </c>
      <c r="U1591" s="7">
        <f t="shared" si="269"/>
        <v>11210000</v>
      </c>
      <c r="V1591" s="7">
        <f t="shared" si="270"/>
        <v>0</v>
      </c>
      <c r="W1591" s="7">
        <f t="shared" si="271"/>
        <v>0</v>
      </c>
      <c r="X1591" s="7">
        <f t="shared" si="272"/>
        <v>0</v>
      </c>
    </row>
    <row r="1592" spans="1:24">
      <c r="A1592">
        <v>1591</v>
      </c>
      <c r="B1592" s="96" t="s">
        <v>2012</v>
      </c>
      <c r="C1592" s="95">
        <v>42266</v>
      </c>
      <c r="D1592" s="82">
        <v>9180000</v>
      </c>
      <c r="E1592" s="82">
        <v>9160000</v>
      </c>
      <c r="F1592" s="82">
        <v>9185000</v>
      </c>
      <c r="G1592" s="82">
        <v>9180000</v>
      </c>
      <c r="I1592" s="82">
        <f>G1592*1.1</f>
        <v>10098000</v>
      </c>
      <c r="J1592" s="82">
        <f>G1592/3</f>
        <v>3060000</v>
      </c>
      <c r="K1592" s="7">
        <f>G1860</f>
        <v>11195000</v>
      </c>
      <c r="L1592" s="7">
        <f>K1592-I1592</f>
        <v>1097000</v>
      </c>
      <c r="M1592" s="7">
        <f t="shared" si="265"/>
        <v>382500</v>
      </c>
      <c r="N1592" s="7">
        <f t="shared" si="274"/>
        <v>1479500</v>
      </c>
      <c r="O1592" s="7">
        <f t="shared" si="273"/>
        <v>80000</v>
      </c>
      <c r="P1592" s="99">
        <f t="shared" si="266"/>
        <v>8.7912087912087912E-3</v>
      </c>
      <c r="Q1592" s="99">
        <f t="shared" si="275"/>
        <v>-1.0919665994505673E-3</v>
      </c>
      <c r="R1592">
        <v>1</v>
      </c>
      <c r="S1592" s="7">
        <f t="shared" si="267"/>
        <v>10098000</v>
      </c>
      <c r="T1592" s="7">
        <f t="shared" si="268"/>
        <v>3060000</v>
      </c>
      <c r="U1592" s="7">
        <f t="shared" si="269"/>
        <v>11195000</v>
      </c>
      <c r="V1592" s="7">
        <f t="shared" si="270"/>
        <v>1097000</v>
      </c>
      <c r="W1592" s="7">
        <f t="shared" si="271"/>
        <v>382500</v>
      </c>
      <c r="X1592" s="7">
        <f t="shared" si="272"/>
        <v>1479500</v>
      </c>
    </row>
    <row r="1593" spans="1:24">
      <c r="A1593">
        <v>1592</v>
      </c>
      <c r="B1593" s="96" t="s">
        <v>2011</v>
      </c>
      <c r="C1593" s="95">
        <v>42267</v>
      </c>
      <c r="D1593" s="82">
        <v>9165000</v>
      </c>
      <c r="E1593" s="82">
        <v>9165000</v>
      </c>
      <c r="F1593" s="82">
        <v>9190000</v>
      </c>
      <c r="G1593" s="82">
        <v>9165000</v>
      </c>
      <c r="I1593" s="97">
        <v>0</v>
      </c>
      <c r="J1593" s="97">
        <v>0</v>
      </c>
      <c r="K1593" s="97">
        <v>0</v>
      </c>
      <c r="M1593" s="7">
        <f t="shared" si="265"/>
        <v>0</v>
      </c>
      <c r="N1593" s="7">
        <f t="shared" si="274"/>
        <v>0</v>
      </c>
      <c r="O1593" s="7">
        <f t="shared" si="273"/>
        <v>-15000</v>
      </c>
      <c r="P1593" s="99">
        <f t="shared" si="266"/>
        <v>-1.6339869281045752E-3</v>
      </c>
      <c r="Q1593" s="99">
        <f t="shared" si="275"/>
        <v>7.1503947713410995E-3</v>
      </c>
      <c r="S1593" s="7">
        <f t="shared" si="267"/>
        <v>10081500</v>
      </c>
      <c r="T1593" s="7">
        <f t="shared" si="268"/>
        <v>3055000</v>
      </c>
      <c r="U1593" s="7">
        <f t="shared" si="269"/>
        <v>11089000</v>
      </c>
      <c r="V1593" s="7">
        <f t="shared" si="270"/>
        <v>0</v>
      </c>
      <c r="W1593" s="7">
        <f t="shared" si="271"/>
        <v>0</v>
      </c>
      <c r="X1593" s="7">
        <f t="shared" si="272"/>
        <v>0</v>
      </c>
    </row>
    <row r="1594" spans="1:24">
      <c r="A1594">
        <v>1593</v>
      </c>
      <c r="B1594" s="96" t="s">
        <v>2010</v>
      </c>
      <c r="C1594" s="95">
        <v>42268</v>
      </c>
      <c r="D1594" s="82">
        <v>9155000</v>
      </c>
      <c r="E1594" s="82">
        <v>9150000</v>
      </c>
      <c r="F1594" s="82">
        <v>9170000</v>
      </c>
      <c r="G1594" s="82">
        <v>9155000</v>
      </c>
      <c r="I1594" s="97">
        <v>0</v>
      </c>
      <c r="J1594" s="97">
        <v>0</v>
      </c>
      <c r="K1594" s="97">
        <v>0</v>
      </c>
      <c r="M1594" s="7">
        <f t="shared" si="265"/>
        <v>0</v>
      </c>
      <c r="N1594" s="7">
        <f t="shared" si="274"/>
        <v>0</v>
      </c>
      <c r="O1594" s="7">
        <f t="shared" si="273"/>
        <v>-10000</v>
      </c>
      <c r="P1594" s="99">
        <f t="shared" si="266"/>
        <v>-1.0911074740861974E-3</v>
      </c>
      <c r="Q1594" s="99">
        <f t="shared" si="275"/>
        <v>5.5164078432365241E-3</v>
      </c>
      <c r="S1594" s="7">
        <f t="shared" si="267"/>
        <v>10070500</v>
      </c>
      <c r="T1594" s="7">
        <f t="shared" si="268"/>
        <v>3051666.6666666665</v>
      </c>
      <c r="U1594" s="7">
        <f t="shared" si="269"/>
        <v>11086000</v>
      </c>
      <c r="V1594" s="7">
        <f t="shared" si="270"/>
        <v>0</v>
      </c>
      <c r="W1594" s="7">
        <f t="shared" si="271"/>
        <v>0</v>
      </c>
      <c r="X1594" s="7">
        <f t="shared" si="272"/>
        <v>0</v>
      </c>
    </row>
    <row r="1595" spans="1:24">
      <c r="A1595">
        <v>1594</v>
      </c>
      <c r="B1595" s="96" t="s">
        <v>2009</v>
      </c>
      <c r="C1595" s="95">
        <v>42270</v>
      </c>
      <c r="D1595" s="82">
        <v>9100000</v>
      </c>
      <c r="E1595" s="82">
        <v>9075000</v>
      </c>
      <c r="F1595" s="82">
        <v>9115000</v>
      </c>
      <c r="G1595" s="82">
        <v>9100000</v>
      </c>
      <c r="I1595" s="97">
        <v>0</v>
      </c>
      <c r="J1595" s="97">
        <v>0</v>
      </c>
      <c r="K1595" s="97">
        <v>0</v>
      </c>
      <c r="M1595" s="7">
        <f t="shared" si="265"/>
        <v>0</v>
      </c>
      <c r="N1595" s="7">
        <f t="shared" si="274"/>
        <v>0</v>
      </c>
      <c r="O1595" s="7">
        <f t="shared" si="273"/>
        <v>-55000</v>
      </c>
      <c r="P1595" s="99">
        <f t="shared" si="266"/>
        <v>-6.0076460950300378E-3</v>
      </c>
      <c r="Q1595" s="99">
        <f t="shared" si="275"/>
        <v>6.6194857778173587E-3</v>
      </c>
      <c r="S1595" s="7">
        <f t="shared" si="267"/>
        <v>10010000</v>
      </c>
      <c r="T1595" s="7">
        <f t="shared" si="268"/>
        <v>3033333.3333333335</v>
      </c>
      <c r="U1595" s="7">
        <f t="shared" si="269"/>
        <v>11126000</v>
      </c>
      <c r="V1595" s="7">
        <f t="shared" si="270"/>
        <v>0</v>
      </c>
      <c r="W1595" s="7">
        <f t="shared" si="271"/>
        <v>0</v>
      </c>
      <c r="X1595" s="7">
        <f t="shared" si="272"/>
        <v>0</v>
      </c>
    </row>
    <row r="1596" spans="1:24">
      <c r="A1596">
        <v>1595</v>
      </c>
      <c r="B1596" s="96" t="s">
        <v>2008</v>
      </c>
      <c r="C1596" s="95">
        <v>42269</v>
      </c>
      <c r="D1596" s="82">
        <v>9080000</v>
      </c>
      <c r="E1596" s="82">
        <v>9080000</v>
      </c>
      <c r="F1596" s="82">
        <v>9180000</v>
      </c>
      <c r="G1596" s="82">
        <v>9080000</v>
      </c>
      <c r="I1596" s="98">
        <v>0</v>
      </c>
      <c r="J1596" s="98">
        <v>0</v>
      </c>
      <c r="K1596" s="98">
        <v>0</v>
      </c>
      <c r="M1596" s="7">
        <f t="shared" si="265"/>
        <v>0</v>
      </c>
      <c r="N1596" s="7">
        <f t="shared" si="274"/>
        <v>0</v>
      </c>
      <c r="O1596" s="7">
        <f t="shared" si="273"/>
        <v>-20000</v>
      </c>
      <c r="P1596" s="99">
        <f t="shared" si="266"/>
        <v>-2.1978021978021978E-3</v>
      </c>
      <c r="Q1596" s="99">
        <f t="shared" si="275"/>
        <v>-1.5871707625122935E-3</v>
      </c>
      <c r="S1596" s="7">
        <f t="shared" si="267"/>
        <v>9988000</v>
      </c>
      <c r="T1596" s="7">
        <f t="shared" si="268"/>
        <v>3026666.6666666665</v>
      </c>
      <c r="U1596" s="7">
        <f t="shared" si="269"/>
        <v>11188000</v>
      </c>
      <c r="V1596" s="7">
        <f t="shared" si="270"/>
        <v>0</v>
      </c>
      <c r="W1596" s="7">
        <f t="shared" si="271"/>
        <v>0</v>
      </c>
      <c r="X1596" s="7">
        <f t="shared" si="272"/>
        <v>0</v>
      </c>
    </row>
    <row r="1597" spans="1:24">
      <c r="A1597">
        <v>1596</v>
      </c>
      <c r="B1597" s="96" t="s">
        <v>2007</v>
      </c>
      <c r="C1597" s="95">
        <v>42271</v>
      </c>
      <c r="D1597" s="82">
        <v>9200000</v>
      </c>
      <c r="E1597" s="82">
        <v>9100000</v>
      </c>
      <c r="F1597" s="82">
        <v>9205000</v>
      </c>
      <c r="G1597" s="82">
        <v>9200000</v>
      </c>
      <c r="I1597" s="82">
        <f>G1597*1.1</f>
        <v>10120000</v>
      </c>
      <c r="J1597" s="82">
        <f>G1597/3</f>
        <v>3066666.6666666665</v>
      </c>
      <c r="K1597" s="7">
        <f>G1865</f>
        <v>11184000</v>
      </c>
      <c r="L1597" s="7">
        <f>K1597-I1597</f>
        <v>1064000</v>
      </c>
      <c r="M1597" s="7">
        <f t="shared" si="265"/>
        <v>383333.33333333326</v>
      </c>
      <c r="N1597" s="7">
        <f t="shared" si="274"/>
        <v>1447333.3333333333</v>
      </c>
      <c r="O1597" s="7">
        <f t="shared" si="273"/>
        <v>120000</v>
      </c>
      <c r="P1597" s="99">
        <f t="shared" si="266"/>
        <v>1.3215859030837005E-2</v>
      </c>
      <c r="Q1597" s="99">
        <f t="shared" si="275"/>
        <v>-2.1393339038142173E-3</v>
      </c>
      <c r="R1597">
        <v>1</v>
      </c>
      <c r="S1597" s="7">
        <f t="shared" si="267"/>
        <v>10120000</v>
      </c>
      <c r="T1597" s="7">
        <f t="shared" si="268"/>
        <v>3066666.6666666665</v>
      </c>
      <c r="U1597" s="7">
        <f t="shared" si="269"/>
        <v>11184000</v>
      </c>
      <c r="V1597" s="7">
        <f t="shared" si="270"/>
        <v>1064000</v>
      </c>
      <c r="W1597" s="7">
        <f t="shared" si="271"/>
        <v>383333.33333333326</v>
      </c>
      <c r="X1597" s="7">
        <f t="shared" si="272"/>
        <v>1447333.3333333333</v>
      </c>
    </row>
    <row r="1598" spans="1:24">
      <c r="A1598">
        <v>1597</v>
      </c>
      <c r="B1598" s="96" t="s">
        <v>2006</v>
      </c>
      <c r="C1598" s="95">
        <v>42273</v>
      </c>
      <c r="D1598" s="82">
        <v>9220000</v>
      </c>
      <c r="E1598" s="82">
        <v>9160000</v>
      </c>
      <c r="F1598" s="82">
        <v>9220000</v>
      </c>
      <c r="G1598" s="82">
        <v>9220000</v>
      </c>
      <c r="I1598" s="97">
        <v>0</v>
      </c>
      <c r="J1598" s="97">
        <v>0</v>
      </c>
      <c r="K1598" s="97">
        <v>0</v>
      </c>
      <c r="M1598" s="7">
        <f t="shared" si="265"/>
        <v>0</v>
      </c>
      <c r="N1598" s="7">
        <f t="shared" si="274"/>
        <v>0</v>
      </c>
      <c r="O1598" s="7">
        <f t="shared" si="273"/>
        <v>20000</v>
      </c>
      <c r="P1598" s="99">
        <f t="shared" si="266"/>
        <v>2.1739130434782609E-3</v>
      </c>
      <c r="Q1598" s="99">
        <f t="shared" si="275"/>
        <v>2.2853163358139954E-3</v>
      </c>
      <c r="S1598" s="7">
        <f t="shared" si="267"/>
        <v>10142000</v>
      </c>
      <c r="T1598" s="7">
        <f t="shared" si="268"/>
        <v>3073333.3333333335</v>
      </c>
      <c r="U1598" s="7">
        <f t="shared" si="269"/>
        <v>11205000</v>
      </c>
      <c r="V1598" s="7">
        <f t="shared" si="270"/>
        <v>0</v>
      </c>
      <c r="W1598" s="7">
        <f t="shared" si="271"/>
        <v>0</v>
      </c>
      <c r="X1598" s="7">
        <f t="shared" si="272"/>
        <v>0</v>
      </c>
    </row>
    <row r="1599" spans="1:24">
      <c r="A1599">
        <v>1598</v>
      </c>
      <c r="B1599" s="96" t="s">
        <v>2005</v>
      </c>
      <c r="C1599" s="95">
        <v>42274</v>
      </c>
      <c r="D1599" s="82">
        <v>9220000</v>
      </c>
      <c r="E1599" s="82">
        <v>9210000</v>
      </c>
      <c r="F1599" s="82">
        <v>9235000</v>
      </c>
      <c r="G1599" s="82">
        <v>9220000</v>
      </c>
      <c r="I1599" s="97">
        <v>0</v>
      </c>
      <c r="J1599" s="97">
        <v>0</v>
      </c>
      <c r="K1599" s="97">
        <v>0</v>
      </c>
      <c r="M1599" s="7">
        <f t="shared" si="265"/>
        <v>0</v>
      </c>
      <c r="N1599" s="7">
        <f t="shared" si="274"/>
        <v>0</v>
      </c>
      <c r="O1599" s="7">
        <f t="shared" si="273"/>
        <v>0</v>
      </c>
      <c r="P1599" s="99">
        <f t="shared" si="266"/>
        <v>0</v>
      </c>
      <c r="Q1599" s="99">
        <f t="shared" si="275"/>
        <v>6.0932163073968322E-3</v>
      </c>
      <c r="S1599" s="7">
        <f t="shared" si="267"/>
        <v>10142000</v>
      </c>
      <c r="T1599" s="7">
        <f t="shared" si="268"/>
        <v>3073333.3333333335</v>
      </c>
      <c r="U1599" s="7">
        <f t="shared" si="269"/>
        <v>11140000</v>
      </c>
      <c r="V1599" s="7">
        <f t="shared" si="270"/>
        <v>0</v>
      </c>
      <c r="W1599" s="7">
        <f t="shared" si="271"/>
        <v>0</v>
      </c>
      <c r="X1599" s="7">
        <f t="shared" si="272"/>
        <v>0</v>
      </c>
    </row>
    <row r="1600" spans="1:24">
      <c r="A1600">
        <v>1599</v>
      </c>
      <c r="B1600" s="96" t="s">
        <v>2004</v>
      </c>
      <c r="C1600" s="95">
        <v>42275</v>
      </c>
      <c r="D1600" s="82">
        <v>9185000</v>
      </c>
      <c r="E1600" s="82">
        <v>9170000</v>
      </c>
      <c r="F1600" s="82">
        <v>9210000</v>
      </c>
      <c r="G1600" s="82">
        <v>9185000</v>
      </c>
      <c r="I1600" s="97">
        <v>0</v>
      </c>
      <c r="J1600" s="97">
        <v>0</v>
      </c>
      <c r="K1600" s="97">
        <v>0</v>
      </c>
      <c r="M1600" s="7">
        <f t="shared" si="265"/>
        <v>0</v>
      </c>
      <c r="N1600" s="7">
        <f t="shared" si="274"/>
        <v>0</v>
      </c>
      <c r="O1600" s="7">
        <f t="shared" si="273"/>
        <v>-35000</v>
      </c>
      <c r="P1600" s="99">
        <f t="shared" si="266"/>
        <v>-3.7960954446854662E-3</v>
      </c>
      <c r="Q1600" s="99">
        <f t="shared" si="275"/>
        <v>7.1843237814830305E-3</v>
      </c>
      <c r="S1600" s="7">
        <f t="shared" si="267"/>
        <v>10103500</v>
      </c>
      <c r="T1600" s="7">
        <f t="shared" si="268"/>
        <v>3061666.6666666665</v>
      </c>
      <c r="U1600" s="7">
        <f t="shared" si="269"/>
        <v>11147000</v>
      </c>
      <c r="V1600" s="7">
        <f t="shared" si="270"/>
        <v>0</v>
      </c>
      <c r="W1600" s="7">
        <f t="shared" si="271"/>
        <v>0</v>
      </c>
      <c r="X1600" s="7">
        <f t="shared" si="272"/>
        <v>0</v>
      </c>
    </row>
    <row r="1601" spans="1:24">
      <c r="A1601">
        <v>1600</v>
      </c>
      <c r="B1601" s="96" t="s">
        <v>2003</v>
      </c>
      <c r="C1601" s="95">
        <v>42276</v>
      </c>
      <c r="D1601" s="82">
        <v>9220000</v>
      </c>
      <c r="E1601" s="82">
        <v>9160000</v>
      </c>
      <c r="F1601" s="82">
        <v>9235000</v>
      </c>
      <c r="G1601" s="82">
        <v>9220000</v>
      </c>
      <c r="I1601" s="98">
        <v>0</v>
      </c>
      <c r="J1601" s="98">
        <v>0</v>
      </c>
      <c r="K1601" s="98">
        <v>0</v>
      </c>
      <c r="M1601" s="7">
        <f t="shared" si="265"/>
        <v>0</v>
      </c>
      <c r="N1601" s="7">
        <f t="shared" si="274"/>
        <v>0</v>
      </c>
      <c r="O1601" s="7">
        <f t="shared" si="273"/>
        <v>35000</v>
      </c>
      <c r="P1601" s="99">
        <f t="shared" si="266"/>
        <v>3.8105606967882419E-3</v>
      </c>
      <c r="Q1601" s="99">
        <f t="shared" si="275"/>
        <v>9.3958744318276E-3</v>
      </c>
      <c r="S1601" s="7">
        <f t="shared" si="267"/>
        <v>10142000</v>
      </c>
      <c r="T1601" s="7">
        <f t="shared" si="268"/>
        <v>3073333.3333333335</v>
      </c>
      <c r="U1601" s="7">
        <f t="shared" si="269"/>
        <v>11134000</v>
      </c>
      <c r="V1601" s="7">
        <f t="shared" si="270"/>
        <v>0</v>
      </c>
      <c r="W1601" s="7">
        <f t="shared" si="271"/>
        <v>0</v>
      </c>
      <c r="X1601" s="7">
        <f t="shared" si="272"/>
        <v>0</v>
      </c>
    </row>
    <row r="1602" spans="1:24">
      <c r="A1602">
        <v>1601</v>
      </c>
      <c r="B1602" s="96" t="s">
        <v>2002</v>
      </c>
      <c r="C1602" s="95">
        <v>42277</v>
      </c>
      <c r="D1602" s="82">
        <v>9160000</v>
      </c>
      <c r="E1602" s="82">
        <v>9160000</v>
      </c>
      <c r="F1602" s="82">
        <v>9220000</v>
      </c>
      <c r="G1602" s="82">
        <v>9160000</v>
      </c>
      <c r="I1602" s="82">
        <f>G1602*1.1</f>
        <v>10076000</v>
      </c>
      <c r="J1602" s="82">
        <f>G1602/3</f>
        <v>3053333.3333333335</v>
      </c>
      <c r="K1602" s="7">
        <f>G1870</f>
        <v>11163000</v>
      </c>
      <c r="L1602" s="7">
        <f>K1602-I1602</f>
        <v>1087000</v>
      </c>
      <c r="M1602" s="7">
        <f t="shared" ref="M1602:M1665" si="276">J1602*$AI$6/200</f>
        <v>381666.66666666674</v>
      </c>
      <c r="N1602" s="7">
        <f t="shared" si="274"/>
        <v>1468666.6666666667</v>
      </c>
      <c r="O1602" s="7">
        <f t="shared" si="273"/>
        <v>-60000</v>
      </c>
      <c r="P1602" s="99">
        <f t="shared" si="266"/>
        <v>-6.5075921908893707E-3</v>
      </c>
      <c r="Q1602" s="99">
        <f t="shared" si="275"/>
        <v>1.540423732641804E-2</v>
      </c>
      <c r="R1602">
        <v>1</v>
      </c>
      <c r="S1602" s="7">
        <f t="shared" si="267"/>
        <v>10076000</v>
      </c>
      <c r="T1602" s="7">
        <f t="shared" si="268"/>
        <v>3053333.3333333335</v>
      </c>
      <c r="U1602" s="7">
        <f t="shared" si="269"/>
        <v>11163000</v>
      </c>
      <c r="V1602" s="7">
        <f t="shared" si="270"/>
        <v>1087000</v>
      </c>
      <c r="W1602" s="7">
        <f t="shared" si="271"/>
        <v>381666.66666666674</v>
      </c>
      <c r="X1602" s="7">
        <f t="shared" si="272"/>
        <v>1468666.6666666667</v>
      </c>
    </row>
    <row r="1603" spans="1:24">
      <c r="A1603">
        <v>1602</v>
      </c>
      <c r="B1603" s="96" t="s">
        <v>2001</v>
      </c>
      <c r="C1603" s="95">
        <v>42278</v>
      </c>
      <c r="D1603" s="82">
        <v>9145000</v>
      </c>
      <c r="E1603" s="82">
        <v>9140000</v>
      </c>
      <c r="F1603" s="82">
        <v>9155000</v>
      </c>
      <c r="G1603" s="82">
        <v>9145000</v>
      </c>
      <c r="I1603" s="97">
        <v>0</v>
      </c>
      <c r="J1603" s="97">
        <v>0</v>
      </c>
      <c r="K1603" s="97">
        <v>0</v>
      </c>
      <c r="M1603" s="7">
        <f t="shared" si="276"/>
        <v>0</v>
      </c>
      <c r="N1603" s="7">
        <f t="shared" si="274"/>
        <v>0</v>
      </c>
      <c r="O1603" s="7">
        <f t="shared" si="273"/>
        <v>-15000</v>
      </c>
      <c r="P1603" s="99">
        <f t="shared" ref="P1603:P1666" si="277">O1603/G1602</f>
        <v>-1.6375545851528383E-3</v>
      </c>
      <c r="Q1603" s="99">
        <f t="shared" si="275"/>
        <v>-4.3192138953083341E-3</v>
      </c>
      <c r="S1603" s="7">
        <f t="shared" ref="S1603:S1666" si="278">G1603*1.1</f>
        <v>10059500</v>
      </c>
      <c r="T1603" s="7">
        <f t="shared" ref="T1603:T1666" si="279">G1603/3</f>
        <v>3048333.3333333335</v>
      </c>
      <c r="U1603" s="7">
        <f t="shared" ref="U1603:U1666" si="280">G1871</f>
        <v>11097000</v>
      </c>
      <c r="V1603" s="7">
        <f t="shared" ref="V1603:V1666" si="281">(U1603-S1603)*R1603</f>
        <v>0</v>
      </c>
      <c r="W1603" s="7">
        <f t="shared" ref="W1603:W1666" si="282">(T1603*$AI$6/200)*R1603</f>
        <v>0</v>
      </c>
      <c r="X1603" s="7">
        <f t="shared" ref="X1603:X1666" si="283">V1603+W1603</f>
        <v>0</v>
      </c>
    </row>
    <row r="1604" spans="1:24">
      <c r="A1604">
        <v>1603</v>
      </c>
      <c r="B1604" s="96" t="s">
        <v>2000</v>
      </c>
      <c r="C1604" s="95">
        <v>42280</v>
      </c>
      <c r="D1604" s="82">
        <v>9220000</v>
      </c>
      <c r="E1604" s="82">
        <v>9220000</v>
      </c>
      <c r="F1604" s="82">
        <v>9260000</v>
      </c>
      <c r="G1604" s="82">
        <v>9220000</v>
      </c>
      <c r="I1604" s="97">
        <v>0</v>
      </c>
      <c r="J1604" s="97">
        <v>0</v>
      </c>
      <c r="K1604" s="97">
        <v>0</v>
      </c>
      <c r="M1604" s="7">
        <f t="shared" si="276"/>
        <v>0</v>
      </c>
      <c r="N1604" s="7">
        <f t="shared" si="274"/>
        <v>0</v>
      </c>
      <c r="O1604" s="7">
        <f t="shared" ref="O1604:O1667" si="284">G1604-G1603</f>
        <v>75000</v>
      </c>
      <c r="P1604" s="99">
        <f t="shared" si="277"/>
        <v>8.2012028430836527E-3</v>
      </c>
      <c r="Q1604" s="99">
        <f t="shared" si="275"/>
        <v>-8.1306815239394342E-3</v>
      </c>
      <c r="S1604" s="7">
        <f t="shared" si="278"/>
        <v>10142000</v>
      </c>
      <c r="T1604" s="7">
        <f t="shared" si="279"/>
        <v>3073333.3333333335</v>
      </c>
      <c r="U1604" s="7">
        <f t="shared" si="280"/>
        <v>11090000</v>
      </c>
      <c r="V1604" s="7">
        <f t="shared" si="281"/>
        <v>0</v>
      </c>
      <c r="W1604" s="7">
        <f t="shared" si="282"/>
        <v>0</v>
      </c>
      <c r="X1604" s="7">
        <f t="shared" si="283"/>
        <v>0</v>
      </c>
    </row>
    <row r="1605" spans="1:24">
      <c r="A1605">
        <v>1604</v>
      </c>
      <c r="B1605" s="96" t="s">
        <v>1999</v>
      </c>
      <c r="C1605" s="95">
        <v>42281</v>
      </c>
      <c r="D1605" s="82">
        <v>9215000</v>
      </c>
      <c r="E1605" s="82">
        <v>9200000</v>
      </c>
      <c r="F1605" s="82">
        <v>9220000</v>
      </c>
      <c r="G1605" s="82">
        <v>9215000</v>
      </c>
      <c r="I1605" s="97">
        <v>0</v>
      </c>
      <c r="J1605" s="97">
        <v>0</v>
      </c>
      <c r="K1605" s="97">
        <v>0</v>
      </c>
      <c r="M1605" s="7">
        <f t="shared" si="276"/>
        <v>0</v>
      </c>
      <c r="N1605" s="7">
        <f t="shared" si="274"/>
        <v>0</v>
      </c>
      <c r="O1605" s="7">
        <f t="shared" si="284"/>
        <v>-5000</v>
      </c>
      <c r="P1605" s="99">
        <f t="shared" si="277"/>
        <v>-5.4229934924078093E-4</v>
      </c>
      <c r="Q1605" s="99">
        <f t="shared" si="275"/>
        <v>7.0521319144218469E-5</v>
      </c>
      <c r="S1605" s="7">
        <f t="shared" si="278"/>
        <v>10136500</v>
      </c>
      <c r="T1605" s="7">
        <f t="shared" si="279"/>
        <v>3071666.6666666665</v>
      </c>
      <c r="U1605" s="7">
        <f t="shared" si="280"/>
        <v>11115000</v>
      </c>
      <c r="V1605" s="7">
        <f t="shared" si="281"/>
        <v>0</v>
      </c>
      <c r="W1605" s="7">
        <f t="shared" si="282"/>
        <v>0</v>
      </c>
      <c r="X1605" s="7">
        <f t="shared" si="283"/>
        <v>0</v>
      </c>
    </row>
    <row r="1606" spans="1:24">
      <c r="A1606">
        <v>1605</v>
      </c>
      <c r="B1606" s="96" t="s">
        <v>1998</v>
      </c>
      <c r="C1606" s="95">
        <v>42282</v>
      </c>
      <c r="D1606" s="82">
        <v>9230000</v>
      </c>
      <c r="E1606" s="82">
        <v>9205000</v>
      </c>
      <c r="F1606" s="82">
        <v>9235000</v>
      </c>
      <c r="G1606" s="82">
        <v>9230000</v>
      </c>
      <c r="I1606" s="98">
        <v>0</v>
      </c>
      <c r="J1606" s="98">
        <v>0</v>
      </c>
      <c r="K1606" s="98">
        <v>0</v>
      </c>
      <c r="M1606" s="7">
        <f t="shared" si="276"/>
        <v>0</v>
      </c>
      <c r="N1606" s="7">
        <f t="shared" si="274"/>
        <v>0</v>
      </c>
      <c r="O1606" s="7">
        <f t="shared" si="284"/>
        <v>15000</v>
      </c>
      <c r="P1606" s="99">
        <f t="shared" si="277"/>
        <v>1.6277807921866521E-3</v>
      </c>
      <c r="Q1606" s="99">
        <f t="shared" si="275"/>
        <v>3.3243174145889043E-3</v>
      </c>
      <c r="S1606" s="7">
        <f t="shared" si="278"/>
        <v>10153000</v>
      </c>
      <c r="T1606" s="7">
        <f t="shared" si="279"/>
        <v>3076666.6666666665</v>
      </c>
      <c r="U1606" s="7">
        <f t="shared" si="280"/>
        <v>11114000</v>
      </c>
      <c r="V1606" s="7">
        <f t="shared" si="281"/>
        <v>0</v>
      </c>
      <c r="W1606" s="7">
        <f t="shared" si="282"/>
        <v>0</v>
      </c>
      <c r="X1606" s="7">
        <f t="shared" si="283"/>
        <v>0</v>
      </c>
    </row>
    <row r="1607" spans="1:24">
      <c r="A1607">
        <v>1606</v>
      </c>
      <c r="B1607" s="96" t="s">
        <v>1997</v>
      </c>
      <c r="C1607" s="95">
        <v>42283</v>
      </c>
      <c r="D1607" s="82">
        <v>9285000</v>
      </c>
      <c r="E1607" s="82">
        <v>9235000</v>
      </c>
      <c r="F1607" s="82">
        <v>9290000</v>
      </c>
      <c r="G1607" s="82">
        <v>9285000</v>
      </c>
      <c r="I1607" s="82">
        <f>G1607*1.1</f>
        <v>10213500</v>
      </c>
      <c r="J1607" s="82">
        <f>G1607/3</f>
        <v>3095000</v>
      </c>
      <c r="K1607" s="7">
        <f>G1875</f>
        <v>11150000</v>
      </c>
      <c r="L1607" s="7">
        <f>K1607-I1607</f>
        <v>936500</v>
      </c>
      <c r="M1607" s="7">
        <f t="shared" si="276"/>
        <v>386875</v>
      </c>
      <c r="N1607" s="7">
        <f t="shared" si="274"/>
        <v>1323375</v>
      </c>
      <c r="O1607" s="7">
        <f t="shared" si="284"/>
        <v>55000</v>
      </c>
      <c r="P1607" s="99">
        <f t="shared" si="277"/>
        <v>5.9588299024918743E-3</v>
      </c>
      <c r="Q1607" s="99">
        <f t="shared" si="275"/>
        <v>1.1415375099873152E-3</v>
      </c>
      <c r="R1607">
        <v>1</v>
      </c>
      <c r="S1607" s="7">
        <f t="shared" si="278"/>
        <v>10213500</v>
      </c>
      <c r="T1607" s="7">
        <f t="shared" si="279"/>
        <v>3095000</v>
      </c>
      <c r="U1607" s="7">
        <f t="shared" si="280"/>
        <v>11150000</v>
      </c>
      <c r="V1607" s="7">
        <f t="shared" si="281"/>
        <v>936500</v>
      </c>
      <c r="W1607" s="7">
        <f t="shared" si="282"/>
        <v>386875</v>
      </c>
      <c r="X1607" s="7">
        <f t="shared" si="283"/>
        <v>1323375</v>
      </c>
    </row>
    <row r="1608" spans="1:24">
      <c r="A1608">
        <v>1607</v>
      </c>
      <c r="B1608" s="96" t="s">
        <v>1996</v>
      </c>
      <c r="C1608" s="95">
        <v>42284</v>
      </c>
      <c r="D1608" s="82">
        <v>9345000</v>
      </c>
      <c r="E1608" s="82">
        <v>9305000</v>
      </c>
      <c r="F1608" s="82">
        <v>9365000</v>
      </c>
      <c r="G1608" s="82">
        <v>9345000</v>
      </c>
      <c r="I1608" s="97">
        <v>0</v>
      </c>
      <c r="J1608" s="97">
        <v>0</v>
      </c>
      <c r="K1608" s="97">
        <v>0</v>
      </c>
      <c r="M1608" s="7">
        <f t="shared" si="276"/>
        <v>0</v>
      </c>
      <c r="N1608" s="7">
        <f t="shared" ref="N1608:N1671" si="285">L1608+M1608</f>
        <v>0</v>
      </c>
      <c r="O1608" s="7">
        <f t="shared" si="284"/>
        <v>60000</v>
      </c>
      <c r="P1608" s="99">
        <f t="shared" si="277"/>
        <v>6.462035541195477E-3</v>
      </c>
      <c r="Q1608" s="99">
        <f t="shared" ref="Q1608:Q1671" si="286">SUM(P1603:P1607)</f>
        <v>1.3607959603368559E-2</v>
      </c>
      <c r="S1608" s="7">
        <f t="shared" si="278"/>
        <v>10279500</v>
      </c>
      <c r="T1608" s="7">
        <f t="shared" si="279"/>
        <v>3115000</v>
      </c>
      <c r="U1608" s="7">
        <f t="shared" si="280"/>
        <v>11127000</v>
      </c>
      <c r="V1608" s="7">
        <f t="shared" si="281"/>
        <v>0</v>
      </c>
      <c r="W1608" s="7">
        <f t="shared" si="282"/>
        <v>0</v>
      </c>
      <c r="X1608" s="7">
        <f t="shared" si="283"/>
        <v>0</v>
      </c>
    </row>
    <row r="1609" spans="1:24">
      <c r="A1609">
        <v>1608</v>
      </c>
      <c r="B1609" s="96" t="s">
        <v>1995</v>
      </c>
      <c r="C1609" s="95">
        <v>42285</v>
      </c>
      <c r="D1609" s="82">
        <v>9340000</v>
      </c>
      <c r="E1609" s="82">
        <v>9325000</v>
      </c>
      <c r="F1609" s="82">
        <v>9350000</v>
      </c>
      <c r="G1609" s="82">
        <v>9340000</v>
      </c>
      <c r="I1609" s="97">
        <v>0</v>
      </c>
      <c r="J1609" s="97">
        <v>0</v>
      </c>
      <c r="K1609" s="97">
        <v>0</v>
      </c>
      <c r="M1609" s="7">
        <f t="shared" si="276"/>
        <v>0</v>
      </c>
      <c r="N1609" s="7">
        <f t="shared" si="285"/>
        <v>0</v>
      </c>
      <c r="O1609" s="7">
        <f t="shared" si="284"/>
        <v>-5000</v>
      </c>
      <c r="P1609" s="99">
        <f t="shared" si="277"/>
        <v>-5.3504547886570354E-4</v>
      </c>
      <c r="Q1609" s="99">
        <f t="shared" si="286"/>
        <v>2.1707549729716877E-2</v>
      </c>
      <c r="S1609" s="7">
        <f t="shared" si="278"/>
        <v>10274000</v>
      </c>
      <c r="T1609" s="7">
        <f t="shared" si="279"/>
        <v>3113333.3333333335</v>
      </c>
      <c r="U1609" s="7">
        <f t="shared" si="280"/>
        <v>11094000</v>
      </c>
      <c r="V1609" s="7">
        <f t="shared" si="281"/>
        <v>0</v>
      </c>
      <c r="W1609" s="7">
        <f t="shared" si="282"/>
        <v>0</v>
      </c>
      <c r="X1609" s="7">
        <f t="shared" si="283"/>
        <v>0</v>
      </c>
    </row>
    <row r="1610" spans="1:24">
      <c r="A1610">
        <v>1609</v>
      </c>
      <c r="B1610" s="96" t="s">
        <v>1994</v>
      </c>
      <c r="C1610" s="95">
        <v>42287</v>
      </c>
      <c r="D1610" s="82">
        <v>9390000</v>
      </c>
      <c r="E1610" s="82">
        <v>9385000</v>
      </c>
      <c r="F1610" s="82">
        <v>9425000</v>
      </c>
      <c r="G1610" s="82">
        <v>9390000</v>
      </c>
      <c r="I1610" s="97">
        <v>0</v>
      </c>
      <c r="J1610" s="97">
        <v>0</v>
      </c>
      <c r="K1610" s="97">
        <v>0</v>
      </c>
      <c r="M1610" s="7">
        <f t="shared" si="276"/>
        <v>0</v>
      </c>
      <c r="N1610" s="7">
        <f t="shared" si="285"/>
        <v>0</v>
      </c>
      <c r="O1610" s="7">
        <f t="shared" si="284"/>
        <v>50000</v>
      </c>
      <c r="P1610" s="99">
        <f t="shared" si="277"/>
        <v>5.3533190578158455E-3</v>
      </c>
      <c r="Q1610" s="99">
        <f t="shared" si="286"/>
        <v>1.2971301407767519E-2</v>
      </c>
      <c r="S1610" s="7">
        <f t="shared" si="278"/>
        <v>10329000</v>
      </c>
      <c r="T1610" s="7">
        <f t="shared" si="279"/>
        <v>3130000</v>
      </c>
      <c r="U1610" s="7">
        <f t="shared" si="280"/>
        <v>11115000</v>
      </c>
      <c r="V1610" s="7">
        <f t="shared" si="281"/>
        <v>0</v>
      </c>
      <c r="W1610" s="7">
        <f t="shared" si="282"/>
        <v>0</v>
      </c>
      <c r="X1610" s="7">
        <f t="shared" si="283"/>
        <v>0</v>
      </c>
    </row>
    <row r="1611" spans="1:24">
      <c r="A1611">
        <v>1610</v>
      </c>
      <c r="B1611" s="96" t="s">
        <v>1993</v>
      </c>
      <c r="C1611" s="95">
        <v>42288</v>
      </c>
      <c r="D1611" s="82">
        <v>9425000</v>
      </c>
      <c r="E1611" s="82">
        <v>9385000</v>
      </c>
      <c r="F1611" s="82">
        <v>9430000</v>
      </c>
      <c r="G1611" s="82">
        <v>9425000</v>
      </c>
      <c r="I1611" s="98">
        <v>0</v>
      </c>
      <c r="J1611" s="98">
        <v>0</v>
      </c>
      <c r="K1611" s="98">
        <v>0</v>
      </c>
      <c r="M1611" s="7">
        <f t="shared" si="276"/>
        <v>0</v>
      </c>
      <c r="N1611" s="7">
        <f t="shared" si="285"/>
        <v>0</v>
      </c>
      <c r="O1611" s="7">
        <f t="shared" si="284"/>
        <v>35000</v>
      </c>
      <c r="P1611" s="99">
        <f t="shared" si="277"/>
        <v>3.7273695420660278E-3</v>
      </c>
      <c r="Q1611" s="99">
        <f t="shared" si="286"/>
        <v>1.8866919814824145E-2</v>
      </c>
      <c r="S1611" s="7">
        <f t="shared" si="278"/>
        <v>10367500</v>
      </c>
      <c r="T1611" s="7">
        <f t="shared" si="279"/>
        <v>3141666.6666666665</v>
      </c>
      <c r="U1611" s="7">
        <f t="shared" si="280"/>
        <v>11198000</v>
      </c>
      <c r="V1611" s="7">
        <f t="shared" si="281"/>
        <v>0</v>
      </c>
      <c r="W1611" s="7">
        <f t="shared" si="282"/>
        <v>0</v>
      </c>
      <c r="X1611" s="7">
        <f t="shared" si="283"/>
        <v>0</v>
      </c>
    </row>
    <row r="1612" spans="1:24">
      <c r="A1612">
        <v>1611</v>
      </c>
      <c r="B1612" s="96" t="s">
        <v>1992</v>
      </c>
      <c r="C1612" s="95">
        <v>42289</v>
      </c>
      <c r="D1612" s="82">
        <v>9415000</v>
      </c>
      <c r="E1612" s="82">
        <v>9405000</v>
      </c>
      <c r="F1612" s="82">
        <v>9480000</v>
      </c>
      <c r="G1612" s="82">
        <v>9415000</v>
      </c>
      <c r="I1612" s="82">
        <f>G1612*1.1</f>
        <v>10356500</v>
      </c>
      <c r="J1612" s="82">
        <f>G1612/3</f>
        <v>3138333.3333333335</v>
      </c>
      <c r="K1612" s="7">
        <f>G1880</f>
        <v>11197000</v>
      </c>
      <c r="L1612" s="7">
        <f>K1612-I1612</f>
        <v>840500</v>
      </c>
      <c r="M1612" s="7">
        <f t="shared" si="276"/>
        <v>392291.66666666674</v>
      </c>
      <c r="N1612" s="7">
        <f t="shared" si="285"/>
        <v>1232791.6666666667</v>
      </c>
      <c r="O1612" s="7">
        <f t="shared" si="284"/>
        <v>-10000</v>
      </c>
      <c r="P1612" s="99">
        <f t="shared" si="277"/>
        <v>-1.0610079575596816E-3</v>
      </c>
      <c r="Q1612" s="99">
        <f t="shared" si="286"/>
        <v>2.0966508564703522E-2</v>
      </c>
      <c r="R1612">
        <v>1</v>
      </c>
      <c r="S1612" s="7">
        <f t="shared" si="278"/>
        <v>10356500</v>
      </c>
      <c r="T1612" s="7">
        <f t="shared" si="279"/>
        <v>3138333.3333333335</v>
      </c>
      <c r="U1612" s="7">
        <f t="shared" si="280"/>
        <v>11197000</v>
      </c>
      <c r="V1612" s="7">
        <f t="shared" si="281"/>
        <v>840500</v>
      </c>
      <c r="W1612" s="7">
        <f t="shared" si="282"/>
        <v>392291.66666666674</v>
      </c>
      <c r="X1612" s="7">
        <f t="shared" si="283"/>
        <v>1232791.6666666667</v>
      </c>
    </row>
    <row r="1613" spans="1:24">
      <c r="A1613">
        <v>1612</v>
      </c>
      <c r="B1613" s="96" t="s">
        <v>1991</v>
      </c>
      <c r="C1613" s="95">
        <v>42290</v>
      </c>
      <c r="D1613" s="82">
        <v>9400000</v>
      </c>
      <c r="E1613" s="82">
        <v>9350000</v>
      </c>
      <c r="F1613" s="82">
        <v>9405000</v>
      </c>
      <c r="G1613" s="82">
        <v>9400000</v>
      </c>
      <c r="I1613" s="97">
        <v>0</v>
      </c>
      <c r="J1613" s="97">
        <v>0</v>
      </c>
      <c r="K1613" s="97">
        <v>0</v>
      </c>
      <c r="M1613" s="7">
        <f t="shared" si="276"/>
        <v>0</v>
      </c>
      <c r="N1613" s="7">
        <f t="shared" si="285"/>
        <v>0</v>
      </c>
      <c r="O1613" s="7">
        <f t="shared" si="284"/>
        <v>-15000</v>
      </c>
      <c r="P1613" s="99">
        <f t="shared" si="277"/>
        <v>-1.5932023366967605E-3</v>
      </c>
      <c r="Q1613" s="99">
        <f t="shared" si="286"/>
        <v>1.3946670704651965E-2</v>
      </c>
      <c r="S1613" s="7">
        <f t="shared" si="278"/>
        <v>10340000</v>
      </c>
      <c r="T1613" s="7">
        <f t="shared" si="279"/>
        <v>3133333.3333333335</v>
      </c>
      <c r="U1613" s="7">
        <f t="shared" si="280"/>
        <v>11164000</v>
      </c>
      <c r="V1613" s="7">
        <f t="shared" si="281"/>
        <v>0</v>
      </c>
      <c r="W1613" s="7">
        <f t="shared" si="282"/>
        <v>0</v>
      </c>
      <c r="X1613" s="7">
        <f t="shared" si="283"/>
        <v>0</v>
      </c>
    </row>
    <row r="1614" spans="1:24">
      <c r="A1614">
        <v>1613</v>
      </c>
      <c r="B1614" s="96" t="s">
        <v>1990</v>
      </c>
      <c r="C1614" s="95">
        <v>42291</v>
      </c>
      <c r="D1614" s="82">
        <v>9500000</v>
      </c>
      <c r="E1614" s="82">
        <v>9445000</v>
      </c>
      <c r="F1614" s="82">
        <v>9520000</v>
      </c>
      <c r="G1614" s="82">
        <v>9500000</v>
      </c>
      <c r="I1614" s="97">
        <v>0</v>
      </c>
      <c r="J1614" s="97">
        <v>0</v>
      </c>
      <c r="K1614" s="97">
        <v>0</v>
      </c>
      <c r="M1614" s="7">
        <f t="shared" si="276"/>
        <v>0</v>
      </c>
      <c r="N1614" s="7">
        <f t="shared" si="285"/>
        <v>0</v>
      </c>
      <c r="O1614" s="7">
        <f t="shared" si="284"/>
        <v>100000</v>
      </c>
      <c r="P1614" s="99">
        <f t="shared" si="277"/>
        <v>1.0638297872340425E-2</v>
      </c>
      <c r="Q1614" s="99">
        <f t="shared" si="286"/>
        <v>5.8914328267597269E-3</v>
      </c>
      <c r="S1614" s="7">
        <f t="shared" si="278"/>
        <v>10450000</v>
      </c>
      <c r="T1614" s="7">
        <f t="shared" si="279"/>
        <v>3166666.6666666665</v>
      </c>
      <c r="U1614" s="7">
        <f t="shared" si="280"/>
        <v>11230000</v>
      </c>
      <c r="V1614" s="7">
        <f t="shared" si="281"/>
        <v>0</v>
      </c>
      <c r="W1614" s="7">
        <f t="shared" si="282"/>
        <v>0</v>
      </c>
      <c r="X1614" s="7">
        <f t="shared" si="283"/>
        <v>0</v>
      </c>
    </row>
    <row r="1615" spans="1:24">
      <c r="A1615">
        <v>1614</v>
      </c>
      <c r="B1615" s="96" t="s">
        <v>1989</v>
      </c>
      <c r="C1615" s="95">
        <v>42292</v>
      </c>
      <c r="D1615" s="82">
        <v>9565000</v>
      </c>
      <c r="E1615" s="82">
        <v>9535000</v>
      </c>
      <c r="F1615" s="82">
        <v>9580000</v>
      </c>
      <c r="G1615" s="82">
        <v>9565000</v>
      </c>
      <c r="I1615" s="97">
        <v>0</v>
      </c>
      <c r="J1615" s="97">
        <v>0</v>
      </c>
      <c r="K1615" s="97">
        <v>0</v>
      </c>
      <c r="M1615" s="7">
        <f t="shared" si="276"/>
        <v>0</v>
      </c>
      <c r="N1615" s="7">
        <f t="shared" si="285"/>
        <v>0</v>
      </c>
      <c r="O1615" s="7">
        <f t="shared" si="284"/>
        <v>65000</v>
      </c>
      <c r="P1615" s="99">
        <f t="shared" si="277"/>
        <v>6.842105263157895E-3</v>
      </c>
      <c r="Q1615" s="99">
        <f t="shared" si="286"/>
        <v>1.7064776177965854E-2</v>
      </c>
      <c r="S1615" s="7">
        <f t="shared" si="278"/>
        <v>10521500</v>
      </c>
      <c r="T1615" s="7">
        <f t="shared" si="279"/>
        <v>3188333.3333333335</v>
      </c>
      <c r="U1615" s="7">
        <f t="shared" si="280"/>
        <v>11216000</v>
      </c>
      <c r="V1615" s="7">
        <f t="shared" si="281"/>
        <v>0</v>
      </c>
      <c r="W1615" s="7">
        <f t="shared" si="282"/>
        <v>0</v>
      </c>
      <c r="X1615" s="7">
        <f t="shared" si="283"/>
        <v>0</v>
      </c>
    </row>
    <row r="1616" spans="1:24">
      <c r="A1616">
        <v>1615</v>
      </c>
      <c r="B1616" s="96" t="s">
        <v>1988</v>
      </c>
      <c r="C1616" s="95">
        <v>42294</v>
      </c>
      <c r="D1616" s="82">
        <v>9490000</v>
      </c>
      <c r="E1616" s="82">
        <v>9480000</v>
      </c>
      <c r="F1616" s="82">
        <v>9530000</v>
      </c>
      <c r="G1616" s="82">
        <v>9490000</v>
      </c>
      <c r="I1616" s="98">
        <v>0</v>
      </c>
      <c r="J1616" s="98">
        <v>0</v>
      </c>
      <c r="K1616" s="98">
        <v>0</v>
      </c>
      <c r="M1616" s="7">
        <f t="shared" si="276"/>
        <v>0</v>
      </c>
      <c r="N1616" s="7">
        <f t="shared" si="285"/>
        <v>0</v>
      </c>
      <c r="O1616" s="7">
        <f t="shared" si="284"/>
        <v>-75000</v>
      </c>
      <c r="P1616" s="99">
        <f t="shared" si="277"/>
        <v>-7.8410872974385773E-3</v>
      </c>
      <c r="Q1616" s="99">
        <f t="shared" si="286"/>
        <v>1.8553562383307905E-2</v>
      </c>
      <c r="S1616" s="7">
        <f t="shared" si="278"/>
        <v>10439000</v>
      </c>
      <c r="T1616" s="7">
        <f t="shared" si="279"/>
        <v>3163333.3333333335</v>
      </c>
      <c r="U1616" s="7">
        <f t="shared" si="280"/>
        <v>11219000</v>
      </c>
      <c r="V1616" s="7">
        <f t="shared" si="281"/>
        <v>0</v>
      </c>
      <c r="W1616" s="7">
        <f t="shared" si="282"/>
        <v>0</v>
      </c>
      <c r="X1616" s="7">
        <f t="shared" si="283"/>
        <v>0</v>
      </c>
    </row>
    <row r="1617" spans="1:24">
      <c r="A1617">
        <v>1616</v>
      </c>
      <c r="B1617" s="96" t="s">
        <v>1987</v>
      </c>
      <c r="C1617" s="95">
        <v>42295</v>
      </c>
      <c r="D1617" s="82">
        <v>9485000</v>
      </c>
      <c r="E1617" s="82">
        <v>9470000</v>
      </c>
      <c r="F1617" s="82">
        <v>9510000</v>
      </c>
      <c r="G1617" s="82">
        <v>9485000</v>
      </c>
      <c r="I1617" s="82">
        <f>G1617*1.1</f>
        <v>10433500</v>
      </c>
      <c r="J1617" s="82">
        <f>G1617/3</f>
        <v>3161666.6666666665</v>
      </c>
      <c r="K1617" s="7">
        <f>G1885</f>
        <v>11148000</v>
      </c>
      <c r="L1617" s="7">
        <f>K1617-I1617</f>
        <v>714500</v>
      </c>
      <c r="M1617" s="7">
        <f t="shared" si="276"/>
        <v>395208.33333333326</v>
      </c>
      <c r="N1617" s="7">
        <f t="shared" si="285"/>
        <v>1109708.3333333333</v>
      </c>
      <c r="O1617" s="7">
        <f t="shared" si="284"/>
        <v>-5000</v>
      </c>
      <c r="P1617" s="99">
        <f t="shared" si="277"/>
        <v>-5.2687038988408848E-4</v>
      </c>
      <c r="Q1617" s="99">
        <f t="shared" si="286"/>
        <v>6.9851055438033029E-3</v>
      </c>
      <c r="R1617">
        <v>1</v>
      </c>
      <c r="S1617" s="7">
        <f t="shared" si="278"/>
        <v>10433500</v>
      </c>
      <c r="T1617" s="7">
        <f t="shared" si="279"/>
        <v>3161666.6666666665</v>
      </c>
      <c r="U1617" s="7">
        <f t="shared" si="280"/>
        <v>11148000</v>
      </c>
      <c r="V1617" s="7">
        <f t="shared" si="281"/>
        <v>714500</v>
      </c>
      <c r="W1617" s="7">
        <f t="shared" si="282"/>
        <v>395208.33333333326</v>
      </c>
      <c r="X1617" s="7">
        <f t="shared" si="283"/>
        <v>1109708.3333333333</v>
      </c>
    </row>
    <row r="1618" spans="1:24">
      <c r="A1618">
        <v>1617</v>
      </c>
      <c r="B1618" s="96" t="s">
        <v>1986</v>
      </c>
      <c r="C1618" s="95">
        <v>42296</v>
      </c>
      <c r="D1618" s="82">
        <v>9395000</v>
      </c>
      <c r="E1618" s="82">
        <v>9375000</v>
      </c>
      <c r="F1618" s="82">
        <v>9470000</v>
      </c>
      <c r="G1618" s="82">
        <v>9395000</v>
      </c>
      <c r="I1618" s="97">
        <v>0</v>
      </c>
      <c r="J1618" s="97">
        <v>0</v>
      </c>
      <c r="K1618" s="97">
        <v>0</v>
      </c>
      <c r="M1618" s="7">
        <f t="shared" si="276"/>
        <v>0</v>
      </c>
      <c r="N1618" s="7">
        <f t="shared" si="285"/>
        <v>0</v>
      </c>
      <c r="O1618" s="7">
        <f t="shared" si="284"/>
        <v>-90000</v>
      </c>
      <c r="P1618" s="99">
        <f t="shared" si="277"/>
        <v>-9.4886663152345813E-3</v>
      </c>
      <c r="Q1618" s="99">
        <f t="shared" si="286"/>
        <v>7.5192431114788948E-3</v>
      </c>
      <c r="S1618" s="7">
        <f t="shared" si="278"/>
        <v>10334500</v>
      </c>
      <c r="T1618" s="7">
        <f t="shared" si="279"/>
        <v>3131666.6666666665</v>
      </c>
      <c r="U1618" s="7">
        <f t="shared" si="280"/>
        <v>11170000</v>
      </c>
      <c r="V1618" s="7">
        <f t="shared" si="281"/>
        <v>0</v>
      </c>
      <c r="W1618" s="7">
        <f t="shared" si="282"/>
        <v>0</v>
      </c>
      <c r="X1618" s="7">
        <f t="shared" si="283"/>
        <v>0</v>
      </c>
    </row>
    <row r="1619" spans="1:24">
      <c r="A1619">
        <v>1618</v>
      </c>
      <c r="B1619" s="96" t="s">
        <v>1985</v>
      </c>
      <c r="C1619" s="95">
        <v>42297</v>
      </c>
      <c r="D1619" s="82">
        <v>9435000</v>
      </c>
      <c r="E1619" s="82">
        <v>9345000</v>
      </c>
      <c r="F1619" s="82">
        <v>9445000</v>
      </c>
      <c r="G1619" s="82">
        <v>9435000</v>
      </c>
      <c r="I1619" s="97">
        <v>0</v>
      </c>
      <c r="J1619" s="97">
        <v>0</v>
      </c>
      <c r="K1619" s="97">
        <v>0</v>
      </c>
      <c r="M1619" s="7">
        <f t="shared" si="276"/>
        <v>0</v>
      </c>
      <c r="N1619" s="7">
        <f t="shared" si="285"/>
        <v>0</v>
      </c>
      <c r="O1619" s="7">
        <f t="shared" si="284"/>
        <v>40000</v>
      </c>
      <c r="P1619" s="99">
        <f t="shared" si="277"/>
        <v>4.2575838211814793E-3</v>
      </c>
      <c r="Q1619" s="99">
        <f t="shared" si="286"/>
        <v>-3.7622086705892815E-4</v>
      </c>
      <c r="S1619" s="7">
        <f t="shared" si="278"/>
        <v>10378500</v>
      </c>
      <c r="T1619" s="7">
        <f t="shared" si="279"/>
        <v>3145000</v>
      </c>
      <c r="U1619" s="7">
        <f t="shared" si="280"/>
        <v>11155000</v>
      </c>
      <c r="V1619" s="7">
        <f t="shared" si="281"/>
        <v>0</v>
      </c>
      <c r="W1619" s="7">
        <f t="shared" si="282"/>
        <v>0</v>
      </c>
      <c r="X1619" s="7">
        <f t="shared" si="283"/>
        <v>0</v>
      </c>
    </row>
    <row r="1620" spans="1:24">
      <c r="A1620">
        <v>1619</v>
      </c>
      <c r="B1620" s="96" t="s">
        <v>1984</v>
      </c>
      <c r="C1620" s="95">
        <v>42298</v>
      </c>
      <c r="D1620" s="82">
        <v>9410000</v>
      </c>
      <c r="E1620" s="82">
        <v>9405000</v>
      </c>
      <c r="F1620" s="82">
        <v>9450000</v>
      </c>
      <c r="G1620" s="82">
        <v>9410000</v>
      </c>
      <c r="I1620" s="97">
        <v>0</v>
      </c>
      <c r="J1620" s="97">
        <v>0</v>
      </c>
      <c r="K1620" s="97">
        <v>0</v>
      </c>
      <c r="M1620" s="7">
        <f t="shared" si="276"/>
        <v>0</v>
      </c>
      <c r="N1620" s="7">
        <f t="shared" si="285"/>
        <v>0</v>
      </c>
      <c r="O1620" s="7">
        <f t="shared" si="284"/>
        <v>-25000</v>
      </c>
      <c r="P1620" s="99">
        <f t="shared" si="277"/>
        <v>-2.6497085320614732E-3</v>
      </c>
      <c r="Q1620" s="99">
        <f t="shared" si="286"/>
        <v>-6.7569349182178724E-3</v>
      </c>
      <c r="S1620" s="7">
        <f t="shared" si="278"/>
        <v>10351000</v>
      </c>
      <c r="T1620" s="7">
        <f t="shared" si="279"/>
        <v>3136666.6666666665</v>
      </c>
      <c r="U1620" s="7">
        <f t="shared" si="280"/>
        <v>11161000</v>
      </c>
      <c r="V1620" s="7">
        <f t="shared" si="281"/>
        <v>0</v>
      </c>
      <c r="W1620" s="7">
        <f t="shared" si="282"/>
        <v>0</v>
      </c>
      <c r="X1620" s="7">
        <f t="shared" si="283"/>
        <v>0</v>
      </c>
    </row>
    <row r="1621" spans="1:24">
      <c r="A1621">
        <v>1620</v>
      </c>
      <c r="B1621" s="96" t="s">
        <v>1983</v>
      </c>
      <c r="C1621" s="95">
        <v>42299</v>
      </c>
      <c r="D1621" s="82">
        <v>9415000</v>
      </c>
      <c r="E1621" s="82">
        <v>9400000</v>
      </c>
      <c r="F1621" s="82">
        <v>9425000</v>
      </c>
      <c r="G1621" s="82">
        <v>9415000</v>
      </c>
      <c r="I1621" s="98">
        <v>0</v>
      </c>
      <c r="J1621" s="98">
        <v>0</v>
      </c>
      <c r="K1621" s="98">
        <v>0</v>
      </c>
      <c r="M1621" s="7">
        <f t="shared" si="276"/>
        <v>0</v>
      </c>
      <c r="N1621" s="7">
        <f t="shared" si="285"/>
        <v>0</v>
      </c>
      <c r="O1621" s="7">
        <f t="shared" si="284"/>
        <v>5000</v>
      </c>
      <c r="P1621" s="99">
        <f t="shared" si="277"/>
        <v>5.3134962805526033E-4</v>
      </c>
      <c r="Q1621" s="99">
        <f t="shared" si="286"/>
        <v>-1.624874871343724E-2</v>
      </c>
      <c r="S1621" s="7">
        <f t="shared" si="278"/>
        <v>10356500</v>
      </c>
      <c r="T1621" s="7">
        <f t="shared" si="279"/>
        <v>3138333.3333333335</v>
      </c>
      <c r="U1621" s="7">
        <f t="shared" si="280"/>
        <v>11155000</v>
      </c>
      <c r="V1621" s="7">
        <f t="shared" si="281"/>
        <v>0</v>
      </c>
      <c r="W1621" s="7">
        <f t="shared" si="282"/>
        <v>0</v>
      </c>
      <c r="X1621" s="7">
        <f t="shared" si="283"/>
        <v>0</v>
      </c>
    </row>
    <row r="1622" spans="1:24">
      <c r="A1622">
        <v>1621</v>
      </c>
      <c r="B1622" s="96" t="s">
        <v>1982</v>
      </c>
      <c r="C1622" s="95">
        <v>42302</v>
      </c>
      <c r="D1622" s="82">
        <v>9415000</v>
      </c>
      <c r="E1622" s="82">
        <v>9390000</v>
      </c>
      <c r="F1622" s="82">
        <v>9415000</v>
      </c>
      <c r="G1622" s="82">
        <v>9415000</v>
      </c>
      <c r="I1622" s="82">
        <f>G1622*1.1</f>
        <v>10356500</v>
      </c>
      <c r="J1622" s="82">
        <f>G1622/3</f>
        <v>3138333.3333333335</v>
      </c>
      <c r="K1622" s="7">
        <f>G1890</f>
        <v>11155000</v>
      </c>
      <c r="L1622" s="7">
        <f>K1622-I1622</f>
        <v>798500</v>
      </c>
      <c r="M1622" s="7">
        <f t="shared" si="276"/>
        <v>392291.66666666674</v>
      </c>
      <c r="N1622" s="7">
        <f t="shared" si="285"/>
        <v>1190791.6666666667</v>
      </c>
      <c r="O1622" s="7">
        <f t="shared" si="284"/>
        <v>0</v>
      </c>
      <c r="P1622" s="99">
        <f t="shared" si="277"/>
        <v>0</v>
      </c>
      <c r="Q1622" s="99">
        <f t="shared" si="286"/>
        <v>-7.8763117879434037E-3</v>
      </c>
      <c r="R1622">
        <v>1</v>
      </c>
      <c r="S1622" s="7">
        <f t="shared" si="278"/>
        <v>10356500</v>
      </c>
      <c r="T1622" s="7">
        <f t="shared" si="279"/>
        <v>3138333.3333333335</v>
      </c>
      <c r="U1622" s="7">
        <f t="shared" si="280"/>
        <v>11155000</v>
      </c>
      <c r="V1622" s="7">
        <f t="shared" si="281"/>
        <v>798500</v>
      </c>
      <c r="W1622" s="7">
        <f t="shared" si="282"/>
        <v>392291.66666666674</v>
      </c>
      <c r="X1622" s="7">
        <f t="shared" si="283"/>
        <v>1190791.6666666667</v>
      </c>
    </row>
    <row r="1623" spans="1:24">
      <c r="A1623">
        <v>1622</v>
      </c>
      <c r="B1623" s="96" t="s">
        <v>1981</v>
      </c>
      <c r="C1623" s="95">
        <v>42303</v>
      </c>
      <c r="D1623" s="82">
        <v>9430000</v>
      </c>
      <c r="E1623" s="82">
        <v>9405000</v>
      </c>
      <c r="F1623" s="82">
        <v>9430000</v>
      </c>
      <c r="G1623" s="82">
        <v>9430000</v>
      </c>
      <c r="I1623" s="97">
        <v>0</v>
      </c>
      <c r="J1623" s="97">
        <v>0</v>
      </c>
      <c r="K1623" s="97">
        <v>0</v>
      </c>
      <c r="M1623" s="7">
        <f t="shared" si="276"/>
        <v>0</v>
      </c>
      <c r="N1623" s="7">
        <f t="shared" si="285"/>
        <v>0</v>
      </c>
      <c r="O1623" s="7">
        <f t="shared" si="284"/>
        <v>15000</v>
      </c>
      <c r="P1623" s="99">
        <f t="shared" si="277"/>
        <v>1.5932023366967605E-3</v>
      </c>
      <c r="Q1623" s="99">
        <f t="shared" si="286"/>
        <v>-7.3494413980593155E-3</v>
      </c>
      <c r="S1623" s="7">
        <f t="shared" si="278"/>
        <v>10373000</v>
      </c>
      <c r="T1623" s="7">
        <f t="shared" si="279"/>
        <v>3143333.3333333335</v>
      </c>
      <c r="U1623" s="7">
        <f t="shared" si="280"/>
        <v>11126000</v>
      </c>
      <c r="V1623" s="7">
        <f t="shared" si="281"/>
        <v>0</v>
      </c>
      <c r="W1623" s="7">
        <f t="shared" si="282"/>
        <v>0</v>
      </c>
      <c r="X1623" s="7">
        <f t="shared" si="283"/>
        <v>0</v>
      </c>
    </row>
    <row r="1624" spans="1:24">
      <c r="A1624">
        <v>1623</v>
      </c>
      <c r="B1624" s="96" t="s">
        <v>1980</v>
      </c>
      <c r="C1624" s="95">
        <v>42304</v>
      </c>
      <c r="D1624" s="82">
        <v>9465000</v>
      </c>
      <c r="E1624" s="82">
        <v>9425000</v>
      </c>
      <c r="F1624" s="82">
        <v>9470000</v>
      </c>
      <c r="G1624" s="82">
        <v>9465000</v>
      </c>
      <c r="I1624" s="97">
        <v>0</v>
      </c>
      <c r="J1624" s="97">
        <v>0</v>
      </c>
      <c r="K1624" s="97">
        <v>0</v>
      </c>
      <c r="M1624" s="7">
        <f t="shared" si="276"/>
        <v>0</v>
      </c>
      <c r="N1624" s="7">
        <f t="shared" si="285"/>
        <v>0</v>
      </c>
      <c r="O1624" s="7">
        <f t="shared" si="284"/>
        <v>35000</v>
      </c>
      <c r="P1624" s="99">
        <f t="shared" si="277"/>
        <v>3.711558854718982E-3</v>
      </c>
      <c r="Q1624" s="99">
        <f t="shared" si="286"/>
        <v>3.7324272538720271E-3</v>
      </c>
      <c r="S1624" s="7">
        <f t="shared" si="278"/>
        <v>10411500</v>
      </c>
      <c r="T1624" s="7">
        <f t="shared" si="279"/>
        <v>3155000</v>
      </c>
      <c r="U1624" s="7">
        <f t="shared" si="280"/>
        <v>11136000</v>
      </c>
      <c r="V1624" s="7">
        <f t="shared" si="281"/>
        <v>0</v>
      </c>
      <c r="W1624" s="7">
        <f t="shared" si="282"/>
        <v>0</v>
      </c>
      <c r="X1624" s="7">
        <f t="shared" si="283"/>
        <v>0</v>
      </c>
    </row>
    <row r="1625" spans="1:24">
      <c r="A1625">
        <v>1624</v>
      </c>
      <c r="B1625" s="96" t="s">
        <v>1979</v>
      </c>
      <c r="C1625" s="95">
        <v>42305</v>
      </c>
      <c r="D1625" s="82">
        <v>9535000</v>
      </c>
      <c r="E1625" s="82">
        <v>9480000</v>
      </c>
      <c r="F1625" s="82">
        <v>9545000</v>
      </c>
      <c r="G1625" s="82">
        <v>9535000</v>
      </c>
      <c r="I1625" s="97">
        <v>0</v>
      </c>
      <c r="J1625" s="97">
        <v>0</v>
      </c>
      <c r="K1625" s="97">
        <v>0</v>
      </c>
      <c r="M1625" s="7">
        <f t="shared" si="276"/>
        <v>0</v>
      </c>
      <c r="N1625" s="7">
        <f t="shared" si="285"/>
        <v>0</v>
      </c>
      <c r="O1625" s="7">
        <f t="shared" si="284"/>
        <v>70000</v>
      </c>
      <c r="P1625" s="99">
        <f t="shared" si="277"/>
        <v>7.3956682514527208E-3</v>
      </c>
      <c r="Q1625" s="99">
        <f t="shared" si="286"/>
        <v>3.1864022874095298E-3</v>
      </c>
      <c r="S1625" s="7">
        <f t="shared" si="278"/>
        <v>10488500</v>
      </c>
      <c r="T1625" s="7">
        <f t="shared" si="279"/>
        <v>3178333.3333333335</v>
      </c>
      <c r="U1625" s="7">
        <f t="shared" si="280"/>
        <v>11130000</v>
      </c>
      <c r="V1625" s="7">
        <f t="shared" si="281"/>
        <v>0</v>
      </c>
      <c r="W1625" s="7">
        <f t="shared" si="282"/>
        <v>0</v>
      </c>
      <c r="X1625" s="7">
        <f t="shared" si="283"/>
        <v>0</v>
      </c>
    </row>
    <row r="1626" spans="1:24">
      <c r="A1626">
        <v>1625</v>
      </c>
      <c r="B1626" s="96" t="s">
        <v>1978</v>
      </c>
      <c r="C1626" s="95">
        <v>42306</v>
      </c>
      <c r="D1626" s="82">
        <v>9420000</v>
      </c>
      <c r="E1626" s="82">
        <v>9410000</v>
      </c>
      <c r="F1626" s="82">
        <v>9445000</v>
      </c>
      <c r="G1626" s="82">
        <v>9420000</v>
      </c>
      <c r="I1626" s="98">
        <v>0</v>
      </c>
      <c r="J1626" s="98">
        <v>0</v>
      </c>
      <c r="K1626" s="98">
        <v>0</v>
      </c>
      <c r="M1626" s="7">
        <f t="shared" si="276"/>
        <v>0</v>
      </c>
      <c r="N1626" s="7">
        <f t="shared" si="285"/>
        <v>0</v>
      </c>
      <c r="O1626" s="7">
        <f t="shared" si="284"/>
        <v>-115000</v>
      </c>
      <c r="P1626" s="99">
        <f t="shared" si="277"/>
        <v>-1.2060828526481384E-2</v>
      </c>
      <c r="Q1626" s="99">
        <f t="shared" si="286"/>
        <v>1.3231779070923724E-2</v>
      </c>
      <c r="S1626" s="7">
        <f t="shared" si="278"/>
        <v>10362000</v>
      </c>
      <c r="T1626" s="7">
        <f t="shared" si="279"/>
        <v>3140000</v>
      </c>
      <c r="U1626" s="7">
        <f t="shared" si="280"/>
        <v>11136000</v>
      </c>
      <c r="V1626" s="7">
        <f t="shared" si="281"/>
        <v>0</v>
      </c>
      <c r="W1626" s="7">
        <f t="shared" si="282"/>
        <v>0</v>
      </c>
      <c r="X1626" s="7">
        <f t="shared" si="283"/>
        <v>0</v>
      </c>
    </row>
    <row r="1627" spans="1:24">
      <c r="A1627">
        <v>1626</v>
      </c>
      <c r="B1627" s="96" t="s">
        <v>1977</v>
      </c>
      <c r="C1627" s="95">
        <v>42308</v>
      </c>
      <c r="D1627" s="82">
        <v>9375000</v>
      </c>
      <c r="E1627" s="82">
        <v>9320000</v>
      </c>
      <c r="F1627" s="82">
        <v>9375000</v>
      </c>
      <c r="G1627" s="82">
        <v>9375000</v>
      </c>
      <c r="I1627" s="82">
        <f>G1627*1.1</f>
        <v>10312500</v>
      </c>
      <c r="J1627" s="82">
        <f>G1627/3</f>
        <v>3125000</v>
      </c>
      <c r="K1627" s="7">
        <f>G1895</f>
        <v>11202000</v>
      </c>
      <c r="L1627" s="7">
        <f>K1627-I1627</f>
        <v>889500</v>
      </c>
      <c r="M1627" s="7">
        <f t="shared" si="276"/>
        <v>390625</v>
      </c>
      <c r="N1627" s="7">
        <f t="shared" si="285"/>
        <v>1280125</v>
      </c>
      <c r="O1627" s="7">
        <f t="shared" si="284"/>
        <v>-45000</v>
      </c>
      <c r="P1627" s="99">
        <f t="shared" si="277"/>
        <v>-4.7770700636942673E-3</v>
      </c>
      <c r="Q1627" s="99">
        <f t="shared" si="286"/>
        <v>6.3960091638707965E-4</v>
      </c>
      <c r="R1627">
        <v>1</v>
      </c>
      <c r="S1627" s="7">
        <f t="shared" si="278"/>
        <v>10312500</v>
      </c>
      <c r="T1627" s="7">
        <f t="shared" si="279"/>
        <v>3125000</v>
      </c>
      <c r="U1627" s="7">
        <f t="shared" si="280"/>
        <v>11202000</v>
      </c>
      <c r="V1627" s="7">
        <f t="shared" si="281"/>
        <v>889500</v>
      </c>
      <c r="W1627" s="7">
        <f t="shared" si="282"/>
        <v>390625</v>
      </c>
      <c r="X1627" s="7">
        <f t="shared" si="283"/>
        <v>1280125</v>
      </c>
    </row>
    <row r="1628" spans="1:24">
      <c r="A1628">
        <v>1627</v>
      </c>
      <c r="B1628" s="96" t="s">
        <v>1976</v>
      </c>
      <c r="C1628" s="95">
        <v>42309</v>
      </c>
      <c r="D1628" s="82">
        <v>9365000</v>
      </c>
      <c r="E1628" s="82">
        <v>9360000</v>
      </c>
      <c r="F1628" s="82">
        <v>9385000</v>
      </c>
      <c r="G1628" s="82">
        <v>9365000</v>
      </c>
      <c r="I1628" s="97">
        <v>0</v>
      </c>
      <c r="J1628" s="97">
        <v>0</v>
      </c>
      <c r="K1628" s="97">
        <v>0</v>
      </c>
      <c r="M1628" s="7">
        <f t="shared" si="276"/>
        <v>0</v>
      </c>
      <c r="N1628" s="7">
        <f t="shared" si="285"/>
        <v>0</v>
      </c>
      <c r="O1628" s="7">
        <f t="shared" si="284"/>
        <v>-10000</v>
      </c>
      <c r="P1628" s="99">
        <f t="shared" si="277"/>
        <v>-1.0666666666666667E-3</v>
      </c>
      <c r="Q1628" s="99">
        <f t="shared" si="286"/>
        <v>-4.1374691473071877E-3</v>
      </c>
      <c r="S1628" s="7">
        <f t="shared" si="278"/>
        <v>10301500</v>
      </c>
      <c r="T1628" s="7">
        <f t="shared" si="279"/>
        <v>3121666.6666666665</v>
      </c>
      <c r="U1628" s="7">
        <f t="shared" si="280"/>
        <v>11177000</v>
      </c>
      <c r="V1628" s="7">
        <f t="shared" si="281"/>
        <v>0</v>
      </c>
      <c r="W1628" s="7">
        <f t="shared" si="282"/>
        <v>0</v>
      </c>
      <c r="X1628" s="7">
        <f t="shared" si="283"/>
        <v>0</v>
      </c>
    </row>
    <row r="1629" spans="1:24">
      <c r="A1629">
        <v>1628</v>
      </c>
      <c r="B1629" s="96" t="s">
        <v>1975</v>
      </c>
      <c r="C1629" s="95">
        <v>42310</v>
      </c>
      <c r="D1629" s="82">
        <v>9340000</v>
      </c>
      <c r="E1629" s="82">
        <v>9330000</v>
      </c>
      <c r="F1629" s="82">
        <v>9370000</v>
      </c>
      <c r="G1629" s="82">
        <v>9340000</v>
      </c>
      <c r="I1629" s="97">
        <v>0</v>
      </c>
      <c r="J1629" s="97">
        <v>0</v>
      </c>
      <c r="K1629" s="97">
        <v>0</v>
      </c>
      <c r="M1629" s="7">
        <f t="shared" si="276"/>
        <v>0</v>
      </c>
      <c r="N1629" s="7">
        <f t="shared" si="285"/>
        <v>0</v>
      </c>
      <c r="O1629" s="7">
        <f t="shared" si="284"/>
        <v>-25000</v>
      </c>
      <c r="P1629" s="99">
        <f t="shared" si="277"/>
        <v>-2.6695141484249867E-3</v>
      </c>
      <c r="Q1629" s="99">
        <f t="shared" si="286"/>
        <v>-6.7973381506706149E-3</v>
      </c>
      <c r="S1629" s="7">
        <f t="shared" si="278"/>
        <v>10274000</v>
      </c>
      <c r="T1629" s="7">
        <f t="shared" si="279"/>
        <v>3113333.3333333335</v>
      </c>
      <c r="U1629" s="7">
        <f t="shared" si="280"/>
        <v>11177000</v>
      </c>
      <c r="V1629" s="7">
        <f t="shared" si="281"/>
        <v>0</v>
      </c>
      <c r="W1629" s="7">
        <f t="shared" si="282"/>
        <v>0</v>
      </c>
      <c r="X1629" s="7">
        <f t="shared" si="283"/>
        <v>0</v>
      </c>
    </row>
    <row r="1630" spans="1:24">
      <c r="A1630">
        <v>1629</v>
      </c>
      <c r="B1630" s="96" t="s">
        <v>1974</v>
      </c>
      <c r="C1630" s="95">
        <v>42311</v>
      </c>
      <c r="D1630" s="82">
        <v>9300000</v>
      </c>
      <c r="E1630" s="82">
        <v>9300000</v>
      </c>
      <c r="F1630" s="82">
        <v>9345000</v>
      </c>
      <c r="G1630" s="82">
        <v>9300000</v>
      </c>
      <c r="I1630" s="97">
        <v>0</v>
      </c>
      <c r="J1630" s="97">
        <v>0</v>
      </c>
      <c r="K1630" s="97">
        <v>0</v>
      </c>
      <c r="M1630" s="7">
        <f t="shared" si="276"/>
        <v>0</v>
      </c>
      <c r="N1630" s="7">
        <f t="shared" si="285"/>
        <v>0</v>
      </c>
      <c r="O1630" s="7">
        <f t="shared" si="284"/>
        <v>-40000</v>
      </c>
      <c r="P1630" s="99">
        <f t="shared" si="277"/>
        <v>-4.2826552462526769E-3</v>
      </c>
      <c r="Q1630" s="99">
        <f t="shared" si="286"/>
        <v>-1.3178411153814585E-2</v>
      </c>
      <c r="S1630" s="7">
        <f t="shared" si="278"/>
        <v>10230000</v>
      </c>
      <c r="T1630" s="7">
        <f t="shared" si="279"/>
        <v>3100000</v>
      </c>
      <c r="U1630" s="7">
        <f t="shared" si="280"/>
        <v>11192000</v>
      </c>
      <c r="V1630" s="7">
        <f t="shared" si="281"/>
        <v>0</v>
      </c>
      <c r="W1630" s="7">
        <f t="shared" si="282"/>
        <v>0</v>
      </c>
      <c r="X1630" s="7">
        <f t="shared" si="283"/>
        <v>0</v>
      </c>
    </row>
    <row r="1631" spans="1:24">
      <c r="A1631">
        <v>1630</v>
      </c>
      <c r="B1631" s="96" t="s">
        <v>1973</v>
      </c>
      <c r="C1631" s="95">
        <v>42312</v>
      </c>
      <c r="D1631" s="82">
        <v>9220000</v>
      </c>
      <c r="E1631" s="82">
        <v>9220000</v>
      </c>
      <c r="F1631" s="82">
        <v>9285000</v>
      </c>
      <c r="G1631" s="82">
        <v>9220000</v>
      </c>
      <c r="I1631" s="98">
        <v>0</v>
      </c>
      <c r="J1631" s="98">
        <v>0</v>
      </c>
      <c r="K1631" s="98">
        <v>0</v>
      </c>
      <c r="M1631" s="7">
        <f t="shared" si="276"/>
        <v>0</v>
      </c>
      <c r="N1631" s="7">
        <f t="shared" si="285"/>
        <v>0</v>
      </c>
      <c r="O1631" s="7">
        <f t="shared" si="284"/>
        <v>-80000</v>
      </c>
      <c r="P1631" s="99">
        <f t="shared" si="277"/>
        <v>-8.6021505376344086E-3</v>
      </c>
      <c r="Q1631" s="99">
        <f t="shared" si="286"/>
        <v>-2.4856734651519982E-2</v>
      </c>
      <c r="S1631" s="7">
        <f t="shared" si="278"/>
        <v>10142000</v>
      </c>
      <c r="T1631" s="7">
        <f t="shared" si="279"/>
        <v>3073333.3333333335</v>
      </c>
      <c r="U1631" s="7">
        <f t="shared" si="280"/>
        <v>11187000</v>
      </c>
      <c r="V1631" s="7">
        <f t="shared" si="281"/>
        <v>0</v>
      </c>
      <c r="W1631" s="7">
        <f t="shared" si="282"/>
        <v>0</v>
      </c>
      <c r="X1631" s="7">
        <f t="shared" si="283"/>
        <v>0</v>
      </c>
    </row>
    <row r="1632" spans="1:24">
      <c r="A1632">
        <v>1631</v>
      </c>
      <c r="B1632" s="96" t="s">
        <v>1972</v>
      </c>
      <c r="C1632" s="95">
        <v>42313</v>
      </c>
      <c r="D1632" s="82">
        <v>9180000</v>
      </c>
      <c r="E1632" s="82">
        <v>9170000</v>
      </c>
      <c r="F1632" s="82">
        <v>9200000</v>
      </c>
      <c r="G1632" s="82">
        <v>9180000</v>
      </c>
      <c r="I1632" s="82">
        <f>G1632*1.1</f>
        <v>10098000</v>
      </c>
      <c r="J1632" s="82">
        <f>G1632/3</f>
        <v>3060000</v>
      </c>
      <c r="K1632" s="7">
        <f>G1900</f>
        <v>11166000</v>
      </c>
      <c r="L1632" s="7">
        <f>K1632-I1632</f>
        <v>1068000</v>
      </c>
      <c r="M1632" s="7">
        <f t="shared" si="276"/>
        <v>382500</v>
      </c>
      <c r="N1632" s="7">
        <f t="shared" si="285"/>
        <v>1450500</v>
      </c>
      <c r="O1632" s="7">
        <f t="shared" si="284"/>
        <v>-40000</v>
      </c>
      <c r="P1632" s="99">
        <f t="shared" si="277"/>
        <v>-4.3383947939262474E-3</v>
      </c>
      <c r="Q1632" s="99">
        <f t="shared" si="286"/>
        <v>-2.1398056662673005E-2</v>
      </c>
      <c r="R1632">
        <v>1</v>
      </c>
      <c r="S1632" s="7">
        <f t="shared" si="278"/>
        <v>10098000</v>
      </c>
      <c r="T1632" s="7">
        <f t="shared" si="279"/>
        <v>3060000</v>
      </c>
      <c r="U1632" s="7">
        <f t="shared" si="280"/>
        <v>11166000</v>
      </c>
      <c r="V1632" s="7">
        <f t="shared" si="281"/>
        <v>1068000</v>
      </c>
      <c r="W1632" s="7">
        <f t="shared" si="282"/>
        <v>382500</v>
      </c>
      <c r="X1632" s="7">
        <f t="shared" si="283"/>
        <v>1450500</v>
      </c>
    </row>
    <row r="1633" spans="1:24">
      <c r="A1633">
        <v>1632</v>
      </c>
      <c r="B1633" s="96" t="s">
        <v>1971</v>
      </c>
      <c r="C1633" s="95">
        <v>42315</v>
      </c>
      <c r="D1633" s="82">
        <v>9085000</v>
      </c>
      <c r="E1633" s="82">
        <v>9065000</v>
      </c>
      <c r="F1633" s="82">
        <v>9095000</v>
      </c>
      <c r="G1633" s="82">
        <v>9085000</v>
      </c>
      <c r="I1633" s="97">
        <v>0</v>
      </c>
      <c r="J1633" s="97">
        <v>0</v>
      </c>
      <c r="K1633" s="97">
        <v>0</v>
      </c>
      <c r="M1633" s="7">
        <f t="shared" si="276"/>
        <v>0</v>
      </c>
      <c r="N1633" s="7">
        <f t="shared" si="285"/>
        <v>0</v>
      </c>
      <c r="O1633" s="7">
        <f t="shared" si="284"/>
        <v>-95000</v>
      </c>
      <c r="P1633" s="99">
        <f t="shared" si="277"/>
        <v>-1.0348583877995643E-2</v>
      </c>
      <c r="Q1633" s="99">
        <f t="shared" si="286"/>
        <v>-2.0959381392904985E-2</v>
      </c>
      <c r="S1633" s="7">
        <f t="shared" si="278"/>
        <v>9993500</v>
      </c>
      <c r="T1633" s="7">
        <f t="shared" si="279"/>
        <v>3028333.3333333335</v>
      </c>
      <c r="U1633" s="7">
        <f t="shared" si="280"/>
        <v>11145000</v>
      </c>
      <c r="V1633" s="7">
        <f t="shared" si="281"/>
        <v>0</v>
      </c>
      <c r="W1633" s="7">
        <f t="shared" si="282"/>
        <v>0</v>
      </c>
      <c r="X1633" s="7">
        <f t="shared" si="283"/>
        <v>0</v>
      </c>
    </row>
    <row r="1634" spans="1:24">
      <c r="A1634">
        <v>1633</v>
      </c>
      <c r="B1634" s="96" t="s">
        <v>1970</v>
      </c>
      <c r="C1634" s="95">
        <v>42316</v>
      </c>
      <c r="D1634" s="82">
        <v>9100000</v>
      </c>
      <c r="E1634" s="82">
        <v>9085000</v>
      </c>
      <c r="F1634" s="82">
        <v>9115000</v>
      </c>
      <c r="G1634" s="82">
        <v>9100000</v>
      </c>
      <c r="I1634" s="97">
        <v>0</v>
      </c>
      <c r="J1634" s="97">
        <v>0</v>
      </c>
      <c r="K1634" s="97">
        <v>0</v>
      </c>
      <c r="M1634" s="7">
        <f t="shared" si="276"/>
        <v>0</v>
      </c>
      <c r="N1634" s="7">
        <f t="shared" si="285"/>
        <v>0</v>
      </c>
      <c r="O1634" s="7">
        <f t="shared" si="284"/>
        <v>15000</v>
      </c>
      <c r="P1634" s="99">
        <f t="shared" si="277"/>
        <v>1.6510731975784259E-3</v>
      </c>
      <c r="Q1634" s="99">
        <f t="shared" si="286"/>
        <v>-3.0241298604233961E-2</v>
      </c>
      <c r="S1634" s="7">
        <f t="shared" si="278"/>
        <v>10010000</v>
      </c>
      <c r="T1634" s="7">
        <f t="shared" si="279"/>
        <v>3033333.3333333335</v>
      </c>
      <c r="U1634" s="7">
        <f t="shared" si="280"/>
        <v>11151000</v>
      </c>
      <c r="V1634" s="7">
        <f t="shared" si="281"/>
        <v>0</v>
      </c>
      <c r="W1634" s="7">
        <f t="shared" si="282"/>
        <v>0</v>
      </c>
      <c r="X1634" s="7">
        <f t="shared" si="283"/>
        <v>0</v>
      </c>
    </row>
    <row r="1635" spans="1:24">
      <c r="A1635">
        <v>1634</v>
      </c>
      <c r="B1635" s="96" t="s">
        <v>1969</v>
      </c>
      <c r="C1635" s="95">
        <v>42317</v>
      </c>
      <c r="D1635" s="82">
        <v>9155000</v>
      </c>
      <c r="E1635" s="82">
        <v>9115000</v>
      </c>
      <c r="F1635" s="82">
        <v>9165000</v>
      </c>
      <c r="G1635" s="82">
        <v>9155000</v>
      </c>
      <c r="I1635" s="97">
        <v>0</v>
      </c>
      <c r="J1635" s="97">
        <v>0</v>
      </c>
      <c r="K1635" s="97">
        <v>0</v>
      </c>
      <c r="M1635" s="7">
        <f t="shared" si="276"/>
        <v>0</v>
      </c>
      <c r="N1635" s="7">
        <f t="shared" si="285"/>
        <v>0</v>
      </c>
      <c r="O1635" s="7">
        <f t="shared" si="284"/>
        <v>55000</v>
      </c>
      <c r="P1635" s="99">
        <f t="shared" si="277"/>
        <v>6.0439560439560442E-3</v>
      </c>
      <c r="Q1635" s="99">
        <f t="shared" si="286"/>
        <v>-2.5920711258230551E-2</v>
      </c>
      <c r="S1635" s="7">
        <f t="shared" si="278"/>
        <v>10070500</v>
      </c>
      <c r="T1635" s="7">
        <f t="shared" si="279"/>
        <v>3051666.6666666665</v>
      </c>
      <c r="U1635" s="7">
        <f t="shared" si="280"/>
        <v>11156000</v>
      </c>
      <c r="V1635" s="7">
        <f t="shared" si="281"/>
        <v>0</v>
      </c>
      <c r="W1635" s="7">
        <f t="shared" si="282"/>
        <v>0</v>
      </c>
      <c r="X1635" s="7">
        <f t="shared" si="283"/>
        <v>0</v>
      </c>
    </row>
    <row r="1636" spans="1:24">
      <c r="A1636">
        <v>1635</v>
      </c>
      <c r="B1636" s="96" t="s">
        <v>1968</v>
      </c>
      <c r="C1636" s="95">
        <v>42318</v>
      </c>
      <c r="D1636" s="82">
        <v>9150000</v>
      </c>
      <c r="E1636" s="82">
        <v>9115000</v>
      </c>
      <c r="F1636" s="82">
        <v>9225000</v>
      </c>
      <c r="G1636" s="82">
        <v>9150000</v>
      </c>
      <c r="I1636" s="98">
        <v>0</v>
      </c>
      <c r="J1636" s="98">
        <v>0</v>
      </c>
      <c r="K1636" s="98">
        <v>0</v>
      </c>
      <c r="M1636" s="7">
        <f t="shared" si="276"/>
        <v>0</v>
      </c>
      <c r="N1636" s="7">
        <f t="shared" si="285"/>
        <v>0</v>
      </c>
      <c r="O1636" s="7">
        <f t="shared" si="284"/>
        <v>-5000</v>
      </c>
      <c r="P1636" s="99">
        <f t="shared" si="277"/>
        <v>-5.461496450027307E-4</v>
      </c>
      <c r="Q1636" s="99">
        <f t="shared" si="286"/>
        <v>-1.559409996802183E-2</v>
      </c>
      <c r="S1636" s="7">
        <f t="shared" si="278"/>
        <v>10065000</v>
      </c>
      <c r="T1636" s="7">
        <f t="shared" si="279"/>
        <v>3050000</v>
      </c>
      <c r="U1636" s="7">
        <f t="shared" si="280"/>
        <v>11168000</v>
      </c>
      <c r="V1636" s="7">
        <f t="shared" si="281"/>
        <v>0</v>
      </c>
      <c r="W1636" s="7">
        <f t="shared" si="282"/>
        <v>0</v>
      </c>
      <c r="X1636" s="7">
        <f t="shared" si="283"/>
        <v>0</v>
      </c>
    </row>
    <row r="1637" spans="1:24">
      <c r="A1637">
        <v>1636</v>
      </c>
      <c r="B1637" s="96" t="s">
        <v>1967</v>
      </c>
      <c r="C1637" s="95">
        <v>42319</v>
      </c>
      <c r="D1637" s="82">
        <v>9150000</v>
      </c>
      <c r="E1637" s="82">
        <v>9120000</v>
      </c>
      <c r="F1637" s="82">
        <v>9155000</v>
      </c>
      <c r="G1637" s="82">
        <v>9150000</v>
      </c>
      <c r="I1637" s="82">
        <f>G1637*1.1</f>
        <v>10065000</v>
      </c>
      <c r="J1637" s="82">
        <f>G1637/3</f>
        <v>3050000</v>
      </c>
      <c r="K1637" s="7">
        <f>G1905</f>
        <v>11160000</v>
      </c>
      <c r="L1637" s="7">
        <f>K1637-I1637</f>
        <v>1095000</v>
      </c>
      <c r="M1637" s="7">
        <f t="shared" si="276"/>
        <v>381250</v>
      </c>
      <c r="N1637" s="7">
        <f t="shared" si="285"/>
        <v>1476250</v>
      </c>
      <c r="O1637" s="7">
        <f t="shared" si="284"/>
        <v>0</v>
      </c>
      <c r="P1637" s="99">
        <f t="shared" si="277"/>
        <v>0</v>
      </c>
      <c r="Q1637" s="99">
        <f t="shared" si="286"/>
        <v>-7.5380990753901511E-3</v>
      </c>
      <c r="R1637">
        <v>1</v>
      </c>
      <c r="S1637" s="7">
        <f t="shared" si="278"/>
        <v>10065000</v>
      </c>
      <c r="T1637" s="7">
        <f t="shared" si="279"/>
        <v>3050000</v>
      </c>
      <c r="U1637" s="7">
        <f t="shared" si="280"/>
        <v>11160000</v>
      </c>
      <c r="V1637" s="7">
        <f t="shared" si="281"/>
        <v>1095000</v>
      </c>
      <c r="W1637" s="7">
        <f t="shared" si="282"/>
        <v>381250</v>
      </c>
      <c r="X1637" s="7">
        <f t="shared" si="283"/>
        <v>1476250</v>
      </c>
    </row>
    <row r="1638" spans="1:24">
      <c r="A1638">
        <v>1637</v>
      </c>
      <c r="B1638" s="96" t="s">
        <v>1966</v>
      </c>
      <c r="C1638" s="95">
        <v>42320</v>
      </c>
      <c r="D1638" s="82">
        <v>9145000</v>
      </c>
      <c r="E1638" s="82">
        <v>9105000</v>
      </c>
      <c r="F1638" s="82">
        <v>9155000</v>
      </c>
      <c r="G1638" s="82">
        <v>9145000</v>
      </c>
      <c r="I1638" s="97">
        <v>0</v>
      </c>
      <c r="J1638" s="97">
        <v>0</v>
      </c>
      <c r="K1638" s="97">
        <v>0</v>
      </c>
      <c r="M1638" s="7">
        <f t="shared" si="276"/>
        <v>0</v>
      </c>
      <c r="N1638" s="7">
        <f t="shared" si="285"/>
        <v>0</v>
      </c>
      <c r="O1638" s="7">
        <f t="shared" si="284"/>
        <v>-5000</v>
      </c>
      <c r="P1638" s="99">
        <f t="shared" si="277"/>
        <v>-5.4644808743169399E-4</v>
      </c>
      <c r="Q1638" s="99">
        <f t="shared" si="286"/>
        <v>-3.1997042814639041E-3</v>
      </c>
      <c r="S1638" s="7">
        <f t="shared" si="278"/>
        <v>10059500</v>
      </c>
      <c r="T1638" s="7">
        <f t="shared" si="279"/>
        <v>3048333.3333333335</v>
      </c>
      <c r="U1638" s="7">
        <f t="shared" si="280"/>
        <v>10907000</v>
      </c>
      <c r="V1638" s="7">
        <f t="shared" si="281"/>
        <v>0</v>
      </c>
      <c r="W1638" s="7">
        <f t="shared" si="282"/>
        <v>0</v>
      </c>
      <c r="X1638" s="7">
        <f t="shared" si="283"/>
        <v>0</v>
      </c>
    </row>
    <row r="1639" spans="1:24">
      <c r="A1639">
        <v>1638</v>
      </c>
      <c r="B1639" s="96" t="s">
        <v>1965</v>
      </c>
      <c r="C1639" s="95">
        <v>42322</v>
      </c>
      <c r="D1639" s="82">
        <v>9200000</v>
      </c>
      <c r="E1639" s="82">
        <v>9160000</v>
      </c>
      <c r="F1639" s="82">
        <v>9210000</v>
      </c>
      <c r="G1639" s="82">
        <v>9200000</v>
      </c>
      <c r="I1639" s="97">
        <v>0</v>
      </c>
      <c r="J1639" s="97">
        <v>0</v>
      </c>
      <c r="K1639" s="97">
        <v>0</v>
      </c>
      <c r="M1639" s="7">
        <f t="shared" si="276"/>
        <v>0</v>
      </c>
      <c r="N1639" s="7">
        <f t="shared" si="285"/>
        <v>0</v>
      </c>
      <c r="O1639" s="7">
        <f t="shared" si="284"/>
        <v>55000</v>
      </c>
      <c r="P1639" s="99">
        <f t="shared" si="277"/>
        <v>6.0142154182613447E-3</v>
      </c>
      <c r="Q1639" s="99">
        <f t="shared" si="286"/>
        <v>6.6024315091000457E-3</v>
      </c>
      <c r="S1639" s="7">
        <f t="shared" si="278"/>
        <v>10120000</v>
      </c>
      <c r="T1639" s="7">
        <f t="shared" si="279"/>
        <v>3066666.6666666665</v>
      </c>
      <c r="U1639" s="7">
        <f t="shared" si="280"/>
        <v>10875000</v>
      </c>
      <c r="V1639" s="7">
        <f t="shared" si="281"/>
        <v>0</v>
      </c>
      <c r="W1639" s="7">
        <f t="shared" si="282"/>
        <v>0</v>
      </c>
      <c r="X1639" s="7">
        <f t="shared" si="283"/>
        <v>0</v>
      </c>
    </row>
    <row r="1640" spans="1:24">
      <c r="A1640">
        <v>1639</v>
      </c>
      <c r="B1640" s="96" t="s">
        <v>1964</v>
      </c>
      <c r="C1640" s="95">
        <v>42323</v>
      </c>
      <c r="D1640" s="82">
        <v>9180000</v>
      </c>
      <c r="E1640" s="82">
        <v>9170000</v>
      </c>
      <c r="F1640" s="82">
        <v>9200000</v>
      </c>
      <c r="G1640" s="82">
        <v>9180000</v>
      </c>
      <c r="I1640" s="97">
        <v>0</v>
      </c>
      <c r="J1640" s="97">
        <v>0</v>
      </c>
      <c r="K1640" s="97">
        <v>0</v>
      </c>
      <c r="M1640" s="7">
        <f t="shared" si="276"/>
        <v>0</v>
      </c>
      <c r="N1640" s="7">
        <f t="shared" si="285"/>
        <v>0</v>
      </c>
      <c r="O1640" s="7">
        <f t="shared" si="284"/>
        <v>-20000</v>
      </c>
      <c r="P1640" s="99">
        <f t="shared" si="277"/>
        <v>-2.1739130434782609E-3</v>
      </c>
      <c r="Q1640" s="99">
        <f t="shared" si="286"/>
        <v>1.0965573729782963E-2</v>
      </c>
      <c r="S1640" s="7">
        <f t="shared" si="278"/>
        <v>10098000</v>
      </c>
      <c r="T1640" s="7">
        <f t="shared" si="279"/>
        <v>3060000</v>
      </c>
      <c r="U1640" s="7">
        <f t="shared" si="280"/>
        <v>10833000</v>
      </c>
      <c r="V1640" s="7">
        <f t="shared" si="281"/>
        <v>0</v>
      </c>
      <c r="W1640" s="7">
        <f t="shared" si="282"/>
        <v>0</v>
      </c>
      <c r="X1640" s="7">
        <f t="shared" si="283"/>
        <v>0</v>
      </c>
    </row>
    <row r="1641" spans="1:24">
      <c r="A1641">
        <v>1640</v>
      </c>
      <c r="B1641" s="96" t="s">
        <v>1963</v>
      </c>
      <c r="C1641" s="95">
        <v>42324</v>
      </c>
      <c r="D1641" s="82">
        <v>9160000</v>
      </c>
      <c r="E1641" s="82">
        <v>9155000</v>
      </c>
      <c r="F1641" s="82">
        <v>9240000</v>
      </c>
      <c r="G1641" s="82">
        <v>9160000</v>
      </c>
      <c r="I1641" s="98">
        <v>0</v>
      </c>
      <c r="J1641" s="98">
        <v>0</v>
      </c>
      <c r="K1641" s="98">
        <v>0</v>
      </c>
      <c r="M1641" s="7">
        <f t="shared" si="276"/>
        <v>0</v>
      </c>
      <c r="N1641" s="7">
        <f t="shared" si="285"/>
        <v>0</v>
      </c>
      <c r="O1641" s="7">
        <f t="shared" si="284"/>
        <v>-20000</v>
      </c>
      <c r="P1641" s="99">
        <f t="shared" si="277"/>
        <v>-2.1786492374727671E-3</v>
      </c>
      <c r="Q1641" s="99">
        <f t="shared" si="286"/>
        <v>2.7477046423486592E-3</v>
      </c>
      <c r="S1641" s="7">
        <f t="shared" si="278"/>
        <v>10076000</v>
      </c>
      <c r="T1641" s="7">
        <f t="shared" si="279"/>
        <v>3053333.3333333335</v>
      </c>
      <c r="U1641" s="7">
        <f t="shared" si="280"/>
        <v>10828000</v>
      </c>
      <c r="V1641" s="7">
        <f t="shared" si="281"/>
        <v>0</v>
      </c>
      <c r="W1641" s="7">
        <f t="shared" si="282"/>
        <v>0</v>
      </c>
      <c r="X1641" s="7">
        <f t="shared" si="283"/>
        <v>0</v>
      </c>
    </row>
    <row r="1642" spans="1:24">
      <c r="A1642">
        <v>1641</v>
      </c>
      <c r="B1642" s="96" t="s">
        <v>1962</v>
      </c>
      <c r="C1642" s="95">
        <v>42325</v>
      </c>
      <c r="D1642" s="82">
        <v>9080000</v>
      </c>
      <c r="E1642" s="82">
        <v>9080000</v>
      </c>
      <c r="F1642" s="82">
        <v>9130000</v>
      </c>
      <c r="G1642" s="82">
        <v>9080000</v>
      </c>
      <c r="I1642" s="82">
        <f>G1642*1.1</f>
        <v>9988000</v>
      </c>
      <c r="J1642" s="82">
        <f>G1642/3</f>
        <v>3026666.6666666665</v>
      </c>
      <c r="K1642" s="7">
        <f>G1910</f>
        <v>10835000</v>
      </c>
      <c r="L1642" s="7">
        <f>K1642-I1642</f>
        <v>847000</v>
      </c>
      <c r="M1642" s="7">
        <f t="shared" si="276"/>
        <v>378333.33333333326</v>
      </c>
      <c r="N1642" s="7">
        <f t="shared" si="285"/>
        <v>1225333.3333333333</v>
      </c>
      <c r="O1642" s="7">
        <f t="shared" si="284"/>
        <v>-80000</v>
      </c>
      <c r="P1642" s="99">
        <f t="shared" si="277"/>
        <v>-8.7336244541484712E-3</v>
      </c>
      <c r="Q1642" s="99">
        <f t="shared" si="286"/>
        <v>1.1152050498786223E-3</v>
      </c>
      <c r="R1642">
        <v>1</v>
      </c>
      <c r="S1642" s="7">
        <f t="shared" si="278"/>
        <v>9988000</v>
      </c>
      <c r="T1642" s="7">
        <f t="shared" si="279"/>
        <v>3026666.6666666665</v>
      </c>
      <c r="U1642" s="7">
        <f t="shared" si="280"/>
        <v>10835000</v>
      </c>
      <c r="V1642" s="7">
        <f t="shared" si="281"/>
        <v>847000</v>
      </c>
      <c r="W1642" s="7">
        <f t="shared" si="282"/>
        <v>378333.33333333326</v>
      </c>
      <c r="X1642" s="7">
        <f t="shared" si="283"/>
        <v>1225333.3333333333</v>
      </c>
    </row>
    <row r="1643" spans="1:24">
      <c r="A1643">
        <v>1642</v>
      </c>
      <c r="B1643" s="96" t="s">
        <v>1961</v>
      </c>
      <c r="C1643" s="95">
        <v>42326</v>
      </c>
      <c r="D1643" s="82">
        <v>9065000</v>
      </c>
      <c r="E1643" s="82">
        <v>9060000</v>
      </c>
      <c r="F1643" s="82">
        <v>9080000</v>
      </c>
      <c r="G1643" s="82">
        <v>9065000</v>
      </c>
      <c r="I1643" s="97">
        <v>0</v>
      </c>
      <c r="J1643" s="97">
        <v>0</v>
      </c>
      <c r="K1643" s="97">
        <v>0</v>
      </c>
      <c r="M1643" s="7">
        <f t="shared" si="276"/>
        <v>0</v>
      </c>
      <c r="N1643" s="7">
        <f t="shared" si="285"/>
        <v>0</v>
      </c>
      <c r="O1643" s="7">
        <f t="shared" si="284"/>
        <v>-15000</v>
      </c>
      <c r="P1643" s="99">
        <f t="shared" si="277"/>
        <v>-1.6519823788546256E-3</v>
      </c>
      <c r="Q1643" s="99">
        <f t="shared" si="286"/>
        <v>-7.6184194042698489E-3</v>
      </c>
      <c r="S1643" s="7">
        <f t="shared" si="278"/>
        <v>9971500</v>
      </c>
      <c r="T1643" s="7">
        <f t="shared" si="279"/>
        <v>3021666.6666666665</v>
      </c>
      <c r="U1643" s="7">
        <f t="shared" si="280"/>
        <v>10848000</v>
      </c>
      <c r="V1643" s="7">
        <f t="shared" si="281"/>
        <v>0</v>
      </c>
      <c r="W1643" s="7">
        <f t="shared" si="282"/>
        <v>0</v>
      </c>
      <c r="X1643" s="7">
        <f t="shared" si="283"/>
        <v>0</v>
      </c>
    </row>
    <row r="1644" spans="1:24">
      <c r="A1644">
        <v>1643</v>
      </c>
      <c r="B1644" s="96" t="s">
        <v>1960</v>
      </c>
      <c r="C1644" s="95">
        <v>42327</v>
      </c>
      <c r="D1644" s="82">
        <v>9135000</v>
      </c>
      <c r="E1644" s="82">
        <v>9085000</v>
      </c>
      <c r="F1644" s="82">
        <v>9135000</v>
      </c>
      <c r="G1644" s="82">
        <v>9135000</v>
      </c>
      <c r="I1644" s="97">
        <v>0</v>
      </c>
      <c r="J1644" s="97">
        <v>0</v>
      </c>
      <c r="K1644" s="97">
        <v>0</v>
      </c>
      <c r="M1644" s="7">
        <f t="shared" si="276"/>
        <v>0</v>
      </c>
      <c r="N1644" s="7">
        <f t="shared" si="285"/>
        <v>0</v>
      </c>
      <c r="O1644" s="7">
        <f t="shared" si="284"/>
        <v>70000</v>
      </c>
      <c r="P1644" s="99">
        <f t="shared" si="277"/>
        <v>7.7220077220077222E-3</v>
      </c>
      <c r="Q1644" s="99">
        <f t="shared" si="286"/>
        <v>-8.7239536956927807E-3</v>
      </c>
      <c r="S1644" s="7">
        <f t="shared" si="278"/>
        <v>10048500</v>
      </c>
      <c r="T1644" s="7">
        <f t="shared" si="279"/>
        <v>3045000</v>
      </c>
      <c r="U1644" s="7">
        <f t="shared" si="280"/>
        <v>10851000</v>
      </c>
      <c r="V1644" s="7">
        <f t="shared" si="281"/>
        <v>0</v>
      </c>
      <c r="W1644" s="7">
        <f t="shared" si="282"/>
        <v>0</v>
      </c>
      <c r="X1644" s="7">
        <f t="shared" si="283"/>
        <v>0</v>
      </c>
    </row>
    <row r="1645" spans="1:24">
      <c r="A1645">
        <v>1644</v>
      </c>
      <c r="B1645" s="96" t="s">
        <v>1959</v>
      </c>
      <c r="C1645" s="95">
        <v>42329</v>
      </c>
      <c r="D1645" s="82">
        <v>9070000</v>
      </c>
      <c r="E1645" s="82">
        <v>9040000</v>
      </c>
      <c r="F1645" s="82">
        <v>9075000</v>
      </c>
      <c r="G1645" s="82">
        <v>9070000</v>
      </c>
      <c r="I1645" s="97">
        <v>0</v>
      </c>
      <c r="J1645" s="97">
        <v>0</v>
      </c>
      <c r="K1645" s="97">
        <v>0</v>
      </c>
      <c r="M1645" s="7">
        <f t="shared" si="276"/>
        <v>0</v>
      </c>
      <c r="N1645" s="7">
        <f t="shared" si="285"/>
        <v>0</v>
      </c>
      <c r="O1645" s="7">
        <f t="shared" si="284"/>
        <v>-65000</v>
      </c>
      <c r="P1645" s="99">
        <f t="shared" si="277"/>
        <v>-7.1154898741105635E-3</v>
      </c>
      <c r="Q1645" s="99">
        <f t="shared" si="286"/>
        <v>-7.0161613919464023E-3</v>
      </c>
      <c r="S1645" s="7">
        <f t="shared" si="278"/>
        <v>9977000</v>
      </c>
      <c r="T1645" s="7">
        <f t="shared" si="279"/>
        <v>3023333.3333333335</v>
      </c>
      <c r="U1645" s="7">
        <f t="shared" si="280"/>
        <v>10835000</v>
      </c>
      <c r="V1645" s="7">
        <f t="shared" si="281"/>
        <v>0</v>
      </c>
      <c r="W1645" s="7">
        <f t="shared" si="282"/>
        <v>0</v>
      </c>
      <c r="X1645" s="7">
        <f t="shared" si="283"/>
        <v>0</v>
      </c>
    </row>
    <row r="1646" spans="1:24">
      <c r="A1646">
        <v>1645</v>
      </c>
      <c r="B1646" s="96" t="s">
        <v>1958</v>
      </c>
      <c r="C1646" s="95">
        <v>42330</v>
      </c>
      <c r="D1646" s="82">
        <v>9080000</v>
      </c>
      <c r="E1646" s="82">
        <v>9060000</v>
      </c>
      <c r="F1646" s="82">
        <v>9085000</v>
      </c>
      <c r="G1646" s="82">
        <v>9080000</v>
      </c>
      <c r="I1646" s="98">
        <v>0</v>
      </c>
      <c r="J1646" s="98">
        <v>0</v>
      </c>
      <c r="K1646" s="98">
        <v>0</v>
      </c>
      <c r="M1646" s="7">
        <f t="shared" si="276"/>
        <v>0</v>
      </c>
      <c r="N1646" s="7">
        <f t="shared" si="285"/>
        <v>0</v>
      </c>
      <c r="O1646" s="7">
        <f t="shared" si="284"/>
        <v>10000</v>
      </c>
      <c r="P1646" s="99">
        <f t="shared" si="277"/>
        <v>1.1025358324145535E-3</v>
      </c>
      <c r="Q1646" s="99">
        <f t="shared" si="286"/>
        <v>-1.1957738222578704E-2</v>
      </c>
      <c r="S1646" s="7">
        <f t="shared" si="278"/>
        <v>9988000</v>
      </c>
      <c r="T1646" s="7">
        <f t="shared" si="279"/>
        <v>3026666.6666666665</v>
      </c>
      <c r="U1646" s="7">
        <f t="shared" si="280"/>
        <v>10852000</v>
      </c>
      <c r="V1646" s="7">
        <f t="shared" si="281"/>
        <v>0</v>
      </c>
      <c r="W1646" s="7">
        <f t="shared" si="282"/>
        <v>0</v>
      </c>
      <c r="X1646" s="7">
        <f t="shared" si="283"/>
        <v>0</v>
      </c>
    </row>
    <row r="1647" spans="1:24">
      <c r="A1647">
        <v>1646</v>
      </c>
      <c r="B1647" s="96" t="s">
        <v>1957</v>
      </c>
      <c r="C1647" s="95">
        <v>42331</v>
      </c>
      <c r="D1647" s="82">
        <v>9035000</v>
      </c>
      <c r="E1647" s="82">
        <v>9020000</v>
      </c>
      <c r="F1647" s="82">
        <v>9055000</v>
      </c>
      <c r="G1647" s="82">
        <v>9035000</v>
      </c>
      <c r="I1647" s="82">
        <f>G1647*1.1</f>
        <v>9938500</v>
      </c>
      <c r="J1647" s="82">
        <f>G1647/3</f>
        <v>3011666.6666666665</v>
      </c>
      <c r="K1647" s="7">
        <f>G1915</f>
        <v>10838000</v>
      </c>
      <c r="L1647" s="7">
        <f>K1647-I1647</f>
        <v>899500</v>
      </c>
      <c r="M1647" s="7">
        <f t="shared" si="276"/>
        <v>376458.33333333326</v>
      </c>
      <c r="N1647" s="7">
        <f t="shared" si="285"/>
        <v>1275958.3333333333</v>
      </c>
      <c r="O1647" s="7">
        <f t="shared" si="284"/>
        <v>-45000</v>
      </c>
      <c r="P1647" s="99">
        <f t="shared" si="277"/>
        <v>-4.955947136563877E-3</v>
      </c>
      <c r="Q1647" s="99">
        <f t="shared" si="286"/>
        <v>-8.6765531526913856E-3</v>
      </c>
      <c r="R1647">
        <v>1</v>
      </c>
      <c r="S1647" s="7">
        <f t="shared" si="278"/>
        <v>9938500</v>
      </c>
      <c r="T1647" s="7">
        <f t="shared" si="279"/>
        <v>3011666.6666666665</v>
      </c>
      <c r="U1647" s="7">
        <f t="shared" si="280"/>
        <v>10838000</v>
      </c>
      <c r="V1647" s="7">
        <f t="shared" si="281"/>
        <v>899500</v>
      </c>
      <c r="W1647" s="7">
        <f t="shared" si="282"/>
        <v>376458.33333333326</v>
      </c>
      <c r="X1647" s="7">
        <f t="shared" si="283"/>
        <v>1275958.3333333333</v>
      </c>
    </row>
    <row r="1648" spans="1:24">
      <c r="A1648">
        <v>1647</v>
      </c>
      <c r="B1648" s="96" t="s">
        <v>1956</v>
      </c>
      <c r="C1648" s="95">
        <v>42332</v>
      </c>
      <c r="D1648" s="82">
        <v>9080000</v>
      </c>
      <c r="E1648" s="82">
        <v>9040000</v>
      </c>
      <c r="F1648" s="82">
        <v>9100000</v>
      </c>
      <c r="G1648" s="82">
        <v>9080000</v>
      </c>
      <c r="I1648" s="97">
        <v>0</v>
      </c>
      <c r="J1648" s="97">
        <v>0</v>
      </c>
      <c r="K1648" s="97">
        <v>0</v>
      </c>
      <c r="M1648" s="7">
        <f t="shared" si="276"/>
        <v>0</v>
      </c>
      <c r="N1648" s="7">
        <f t="shared" si="285"/>
        <v>0</v>
      </c>
      <c r="O1648" s="7">
        <f t="shared" si="284"/>
        <v>45000</v>
      </c>
      <c r="P1648" s="99">
        <f t="shared" si="277"/>
        <v>4.9806308799114551E-3</v>
      </c>
      <c r="Q1648" s="99">
        <f t="shared" si="286"/>
        <v>-4.8988758351067897E-3</v>
      </c>
      <c r="S1648" s="7">
        <f t="shared" si="278"/>
        <v>9988000</v>
      </c>
      <c r="T1648" s="7">
        <f t="shared" si="279"/>
        <v>3026666.6666666665</v>
      </c>
      <c r="U1648" s="7">
        <f t="shared" si="280"/>
        <v>10839000</v>
      </c>
      <c r="V1648" s="7">
        <f t="shared" si="281"/>
        <v>0</v>
      </c>
      <c r="W1648" s="7">
        <f t="shared" si="282"/>
        <v>0</v>
      </c>
      <c r="X1648" s="7">
        <f t="shared" si="283"/>
        <v>0</v>
      </c>
    </row>
    <row r="1649" spans="1:24">
      <c r="A1649">
        <v>1648</v>
      </c>
      <c r="B1649" s="96" t="s">
        <v>1955</v>
      </c>
      <c r="C1649" s="95">
        <v>42333</v>
      </c>
      <c r="D1649" s="82">
        <v>9105000</v>
      </c>
      <c r="E1649" s="82">
        <v>9080000</v>
      </c>
      <c r="F1649" s="82">
        <v>9130000</v>
      </c>
      <c r="G1649" s="82">
        <v>9105000</v>
      </c>
      <c r="I1649" s="97">
        <v>0</v>
      </c>
      <c r="J1649" s="97">
        <v>0</v>
      </c>
      <c r="K1649" s="97">
        <v>0</v>
      </c>
      <c r="M1649" s="7">
        <f t="shared" si="276"/>
        <v>0</v>
      </c>
      <c r="N1649" s="7">
        <f t="shared" si="285"/>
        <v>0</v>
      </c>
      <c r="O1649" s="7">
        <f t="shared" si="284"/>
        <v>25000</v>
      </c>
      <c r="P1649" s="99">
        <f t="shared" si="277"/>
        <v>2.7533039647577094E-3</v>
      </c>
      <c r="Q1649" s="99">
        <f t="shared" si="286"/>
        <v>1.7337374236592903E-3</v>
      </c>
      <c r="S1649" s="7">
        <f t="shared" si="278"/>
        <v>10015500</v>
      </c>
      <c r="T1649" s="7">
        <f t="shared" si="279"/>
        <v>3035000</v>
      </c>
      <c r="U1649" s="7">
        <f t="shared" si="280"/>
        <v>10883000</v>
      </c>
      <c r="V1649" s="7">
        <f t="shared" si="281"/>
        <v>0</v>
      </c>
      <c r="W1649" s="7">
        <f t="shared" si="282"/>
        <v>0</v>
      </c>
      <c r="X1649" s="7">
        <f t="shared" si="283"/>
        <v>0</v>
      </c>
    </row>
    <row r="1650" spans="1:24">
      <c r="A1650">
        <v>1649</v>
      </c>
      <c r="B1650" s="96" t="s">
        <v>1954</v>
      </c>
      <c r="C1650" s="95">
        <v>42334</v>
      </c>
      <c r="D1650" s="82">
        <v>9115000</v>
      </c>
      <c r="E1650" s="82">
        <v>9095000</v>
      </c>
      <c r="F1650" s="82">
        <v>9120000</v>
      </c>
      <c r="G1650" s="82">
        <v>9115000</v>
      </c>
      <c r="I1650" s="97">
        <v>0</v>
      </c>
      <c r="J1650" s="97">
        <v>0</v>
      </c>
      <c r="K1650" s="97">
        <v>0</v>
      </c>
      <c r="M1650" s="7">
        <f t="shared" si="276"/>
        <v>0</v>
      </c>
      <c r="N1650" s="7">
        <f t="shared" si="285"/>
        <v>0</v>
      </c>
      <c r="O1650" s="7">
        <f t="shared" si="284"/>
        <v>10000</v>
      </c>
      <c r="P1650" s="99">
        <f t="shared" si="277"/>
        <v>1.0982976386600769E-3</v>
      </c>
      <c r="Q1650" s="99">
        <f t="shared" si="286"/>
        <v>-3.2349663335907229E-3</v>
      </c>
      <c r="S1650" s="7">
        <f t="shared" si="278"/>
        <v>10026500</v>
      </c>
      <c r="T1650" s="7">
        <f t="shared" si="279"/>
        <v>3038333.3333333335</v>
      </c>
      <c r="U1650" s="7">
        <f t="shared" si="280"/>
        <v>10927000</v>
      </c>
      <c r="V1650" s="7">
        <f t="shared" si="281"/>
        <v>0</v>
      </c>
      <c r="W1650" s="7">
        <f t="shared" si="282"/>
        <v>0</v>
      </c>
      <c r="X1650" s="7">
        <f t="shared" si="283"/>
        <v>0</v>
      </c>
    </row>
    <row r="1651" spans="1:24">
      <c r="A1651">
        <v>1650</v>
      </c>
      <c r="B1651" s="96" t="s">
        <v>1953</v>
      </c>
      <c r="C1651" s="95">
        <v>42336</v>
      </c>
      <c r="D1651" s="82">
        <v>9060000</v>
      </c>
      <c r="E1651" s="82">
        <v>9050000</v>
      </c>
      <c r="F1651" s="82">
        <v>9085000</v>
      </c>
      <c r="G1651" s="82">
        <v>9060000</v>
      </c>
      <c r="I1651" s="98">
        <v>0</v>
      </c>
      <c r="J1651" s="98">
        <v>0</v>
      </c>
      <c r="K1651" s="98">
        <v>0</v>
      </c>
      <c r="M1651" s="7">
        <f t="shared" si="276"/>
        <v>0</v>
      </c>
      <c r="N1651" s="7">
        <f t="shared" si="285"/>
        <v>0</v>
      </c>
      <c r="O1651" s="7">
        <f t="shared" si="284"/>
        <v>-55000</v>
      </c>
      <c r="P1651" s="99">
        <f t="shared" si="277"/>
        <v>-6.034009873834339E-3</v>
      </c>
      <c r="Q1651" s="99">
        <f t="shared" si="286"/>
        <v>4.9788211791799179E-3</v>
      </c>
      <c r="S1651" s="7">
        <f t="shared" si="278"/>
        <v>9966000</v>
      </c>
      <c r="T1651" s="7">
        <f t="shared" si="279"/>
        <v>3020000</v>
      </c>
      <c r="U1651" s="7">
        <f t="shared" si="280"/>
        <v>10923000</v>
      </c>
      <c r="V1651" s="7">
        <f t="shared" si="281"/>
        <v>0</v>
      </c>
      <c r="W1651" s="7">
        <f t="shared" si="282"/>
        <v>0</v>
      </c>
      <c r="X1651" s="7">
        <f t="shared" si="283"/>
        <v>0</v>
      </c>
    </row>
    <row r="1652" spans="1:24">
      <c r="A1652">
        <v>1651</v>
      </c>
      <c r="B1652" s="96" t="s">
        <v>1952</v>
      </c>
      <c r="C1652" s="95">
        <v>42337</v>
      </c>
      <c r="D1652" s="82">
        <v>9085000</v>
      </c>
      <c r="E1652" s="82">
        <v>9070000</v>
      </c>
      <c r="F1652" s="82">
        <v>9095000</v>
      </c>
      <c r="G1652" s="82">
        <v>9085000</v>
      </c>
      <c r="I1652" s="82">
        <f>G1652*1.1</f>
        <v>9993500</v>
      </c>
      <c r="J1652" s="82">
        <f>G1652/3</f>
        <v>3028333.3333333335</v>
      </c>
      <c r="K1652" s="7">
        <f>G1920</f>
        <v>10944000</v>
      </c>
      <c r="L1652" s="7">
        <f>K1652-I1652</f>
        <v>950500</v>
      </c>
      <c r="M1652" s="7">
        <f t="shared" si="276"/>
        <v>378541.66666666674</v>
      </c>
      <c r="N1652" s="7">
        <f t="shared" si="285"/>
        <v>1329041.6666666667</v>
      </c>
      <c r="O1652" s="7">
        <f t="shared" si="284"/>
        <v>25000</v>
      </c>
      <c r="P1652" s="99">
        <f t="shared" si="277"/>
        <v>2.7593818984547464E-3</v>
      </c>
      <c r="Q1652" s="99">
        <f t="shared" si="286"/>
        <v>-2.1577245270689746E-3</v>
      </c>
      <c r="R1652">
        <v>1</v>
      </c>
      <c r="S1652" s="7">
        <f t="shared" si="278"/>
        <v>9993500</v>
      </c>
      <c r="T1652" s="7">
        <f t="shared" si="279"/>
        <v>3028333.3333333335</v>
      </c>
      <c r="U1652" s="7">
        <f t="shared" si="280"/>
        <v>10944000</v>
      </c>
      <c r="V1652" s="7">
        <f t="shared" si="281"/>
        <v>950500</v>
      </c>
      <c r="W1652" s="7">
        <f t="shared" si="282"/>
        <v>378541.66666666674</v>
      </c>
      <c r="X1652" s="7">
        <f t="shared" si="283"/>
        <v>1329041.6666666667</v>
      </c>
    </row>
    <row r="1653" spans="1:24">
      <c r="A1653">
        <v>1652</v>
      </c>
      <c r="B1653" s="96" t="s">
        <v>1951</v>
      </c>
      <c r="C1653" s="95">
        <v>42338</v>
      </c>
      <c r="D1653" s="82">
        <v>9110000</v>
      </c>
      <c r="E1653" s="82">
        <v>9050000</v>
      </c>
      <c r="F1653" s="82">
        <v>9120000</v>
      </c>
      <c r="G1653" s="82">
        <v>9110000</v>
      </c>
      <c r="I1653" s="97">
        <v>0</v>
      </c>
      <c r="J1653" s="97">
        <v>0</v>
      </c>
      <c r="K1653" s="97">
        <v>0</v>
      </c>
      <c r="M1653" s="7">
        <f t="shared" si="276"/>
        <v>0</v>
      </c>
      <c r="N1653" s="7">
        <f t="shared" si="285"/>
        <v>0</v>
      </c>
      <c r="O1653" s="7">
        <f t="shared" si="284"/>
        <v>25000</v>
      </c>
      <c r="P1653" s="99">
        <f t="shared" si="277"/>
        <v>2.7517886626307101E-3</v>
      </c>
      <c r="Q1653" s="99">
        <f t="shared" si="286"/>
        <v>5.5576045079496475E-3</v>
      </c>
      <c r="S1653" s="7">
        <f t="shared" si="278"/>
        <v>10021000</v>
      </c>
      <c r="T1653" s="7">
        <f t="shared" si="279"/>
        <v>3036666.6666666665</v>
      </c>
      <c r="U1653" s="7">
        <f t="shared" si="280"/>
        <v>10964000</v>
      </c>
      <c r="V1653" s="7">
        <f t="shared" si="281"/>
        <v>0</v>
      </c>
      <c r="W1653" s="7">
        <f t="shared" si="282"/>
        <v>0</v>
      </c>
      <c r="X1653" s="7">
        <f t="shared" si="283"/>
        <v>0</v>
      </c>
    </row>
    <row r="1654" spans="1:24">
      <c r="A1654">
        <v>1653</v>
      </c>
      <c r="B1654" s="96" t="s">
        <v>1950</v>
      </c>
      <c r="C1654" s="95">
        <v>42339</v>
      </c>
      <c r="D1654" s="82">
        <v>9145000</v>
      </c>
      <c r="E1654" s="82">
        <v>9125000</v>
      </c>
      <c r="F1654" s="82">
        <v>9160000</v>
      </c>
      <c r="G1654" s="82">
        <v>9145000</v>
      </c>
      <c r="I1654" s="97">
        <v>0</v>
      </c>
      <c r="J1654" s="97">
        <v>0</v>
      </c>
      <c r="K1654" s="97">
        <v>0</v>
      </c>
      <c r="M1654" s="7">
        <f t="shared" si="276"/>
        <v>0</v>
      </c>
      <c r="N1654" s="7">
        <f t="shared" si="285"/>
        <v>0</v>
      </c>
      <c r="O1654" s="7">
        <f t="shared" si="284"/>
        <v>35000</v>
      </c>
      <c r="P1654" s="99">
        <f t="shared" si="277"/>
        <v>3.8419319429198683E-3</v>
      </c>
      <c r="Q1654" s="99">
        <f t="shared" si="286"/>
        <v>3.3287622906689037E-3</v>
      </c>
      <c r="S1654" s="7">
        <f t="shared" si="278"/>
        <v>10059500</v>
      </c>
      <c r="T1654" s="7">
        <f t="shared" si="279"/>
        <v>3048333.3333333335</v>
      </c>
      <c r="U1654" s="7">
        <f t="shared" si="280"/>
        <v>10974000</v>
      </c>
      <c r="V1654" s="7">
        <f t="shared" si="281"/>
        <v>0</v>
      </c>
      <c r="W1654" s="7">
        <f t="shared" si="282"/>
        <v>0</v>
      </c>
      <c r="X1654" s="7">
        <f t="shared" si="283"/>
        <v>0</v>
      </c>
    </row>
    <row r="1655" spans="1:24">
      <c r="A1655">
        <v>1654</v>
      </c>
      <c r="B1655" s="96" t="s">
        <v>1949</v>
      </c>
      <c r="C1655" s="95">
        <v>42341</v>
      </c>
      <c r="D1655" s="82">
        <v>9105000</v>
      </c>
      <c r="E1655" s="82">
        <v>9080000</v>
      </c>
      <c r="F1655" s="82">
        <v>9115000</v>
      </c>
      <c r="G1655" s="82">
        <v>9105000</v>
      </c>
      <c r="I1655" s="97">
        <v>0</v>
      </c>
      <c r="J1655" s="97">
        <v>0</v>
      </c>
      <c r="K1655" s="97">
        <v>0</v>
      </c>
      <c r="M1655" s="7">
        <f t="shared" si="276"/>
        <v>0</v>
      </c>
      <c r="N1655" s="7">
        <f t="shared" si="285"/>
        <v>0</v>
      </c>
      <c r="O1655" s="7">
        <f t="shared" si="284"/>
        <v>-40000</v>
      </c>
      <c r="P1655" s="99">
        <f t="shared" si="277"/>
        <v>-4.3739748496446143E-3</v>
      </c>
      <c r="Q1655" s="99">
        <f t="shared" si="286"/>
        <v>4.4173902688310627E-3</v>
      </c>
      <c r="S1655" s="7">
        <f t="shared" si="278"/>
        <v>10015500</v>
      </c>
      <c r="T1655" s="7">
        <f t="shared" si="279"/>
        <v>3035000</v>
      </c>
      <c r="U1655" s="7">
        <f t="shared" si="280"/>
        <v>11029000</v>
      </c>
      <c r="V1655" s="7">
        <f t="shared" si="281"/>
        <v>0</v>
      </c>
      <c r="W1655" s="7">
        <f t="shared" si="282"/>
        <v>0</v>
      </c>
      <c r="X1655" s="7">
        <f t="shared" si="283"/>
        <v>0</v>
      </c>
    </row>
    <row r="1656" spans="1:24">
      <c r="A1656">
        <v>1655</v>
      </c>
      <c r="B1656" s="96" t="s">
        <v>1948</v>
      </c>
      <c r="C1656" s="95">
        <v>42343</v>
      </c>
      <c r="D1656" s="82">
        <v>9195000</v>
      </c>
      <c r="E1656" s="82">
        <v>9195000</v>
      </c>
      <c r="F1656" s="82">
        <v>9230000</v>
      </c>
      <c r="G1656" s="82">
        <v>9195000</v>
      </c>
      <c r="I1656" s="98">
        <v>0</v>
      </c>
      <c r="J1656" s="98">
        <v>0</v>
      </c>
      <c r="K1656" s="98">
        <v>0</v>
      </c>
      <c r="M1656" s="7">
        <f t="shared" si="276"/>
        <v>0</v>
      </c>
      <c r="N1656" s="7">
        <f t="shared" si="285"/>
        <v>0</v>
      </c>
      <c r="O1656" s="7">
        <f t="shared" si="284"/>
        <v>90000</v>
      </c>
      <c r="P1656" s="99">
        <f t="shared" si="277"/>
        <v>9.8846787479406912E-3</v>
      </c>
      <c r="Q1656" s="99">
        <f t="shared" si="286"/>
        <v>-1.0548822194736285E-3</v>
      </c>
      <c r="S1656" s="7">
        <f t="shared" si="278"/>
        <v>10114500</v>
      </c>
      <c r="T1656" s="7">
        <f t="shared" si="279"/>
        <v>3065000</v>
      </c>
      <c r="U1656" s="7">
        <f t="shared" si="280"/>
        <v>11107000</v>
      </c>
      <c r="V1656" s="7">
        <f t="shared" si="281"/>
        <v>0</v>
      </c>
      <c r="W1656" s="7">
        <f t="shared" si="282"/>
        <v>0</v>
      </c>
      <c r="X1656" s="7">
        <f t="shared" si="283"/>
        <v>0</v>
      </c>
    </row>
    <row r="1657" spans="1:24">
      <c r="A1657">
        <v>1656</v>
      </c>
      <c r="B1657" s="96" t="s">
        <v>1947</v>
      </c>
      <c r="C1657" s="95">
        <v>42344</v>
      </c>
      <c r="D1657" s="82">
        <v>9210000</v>
      </c>
      <c r="E1657" s="82">
        <v>9175000</v>
      </c>
      <c r="F1657" s="82">
        <v>9225000</v>
      </c>
      <c r="G1657" s="82">
        <v>9210000</v>
      </c>
      <c r="I1657" s="82">
        <f>G1657*1.1</f>
        <v>10131000</v>
      </c>
      <c r="J1657" s="82">
        <f>G1657/3</f>
        <v>3070000</v>
      </c>
      <c r="K1657" s="7">
        <f>G1925</f>
        <v>11088000</v>
      </c>
      <c r="L1657" s="7">
        <f>K1657-I1657</f>
        <v>957000</v>
      </c>
      <c r="M1657" s="7">
        <f t="shared" si="276"/>
        <v>383750</v>
      </c>
      <c r="N1657" s="7">
        <f t="shared" si="285"/>
        <v>1340750</v>
      </c>
      <c r="O1657" s="7">
        <f t="shared" si="284"/>
        <v>15000</v>
      </c>
      <c r="P1657" s="99">
        <f t="shared" si="277"/>
        <v>1.6313213703099511E-3</v>
      </c>
      <c r="Q1657" s="99">
        <f t="shared" si="286"/>
        <v>1.4863806402301403E-2</v>
      </c>
      <c r="R1657">
        <v>1</v>
      </c>
      <c r="S1657" s="7">
        <f t="shared" si="278"/>
        <v>10131000</v>
      </c>
      <c r="T1657" s="7">
        <f t="shared" si="279"/>
        <v>3070000</v>
      </c>
      <c r="U1657" s="7">
        <f t="shared" si="280"/>
        <v>11088000</v>
      </c>
      <c r="V1657" s="7">
        <f t="shared" si="281"/>
        <v>957000</v>
      </c>
      <c r="W1657" s="7">
        <f t="shared" si="282"/>
        <v>383750</v>
      </c>
      <c r="X1657" s="7">
        <f t="shared" si="283"/>
        <v>1340750</v>
      </c>
    </row>
    <row r="1658" spans="1:24">
      <c r="A1658">
        <v>1657</v>
      </c>
      <c r="B1658" s="96" t="s">
        <v>1946</v>
      </c>
      <c r="C1658" s="95">
        <v>42345</v>
      </c>
      <c r="D1658" s="82">
        <v>9215000</v>
      </c>
      <c r="E1658" s="82">
        <v>9210000</v>
      </c>
      <c r="F1658" s="82">
        <v>9245000</v>
      </c>
      <c r="G1658" s="82">
        <v>9215000</v>
      </c>
      <c r="I1658" s="97">
        <v>0</v>
      </c>
      <c r="J1658" s="97">
        <v>0</v>
      </c>
      <c r="K1658" s="97">
        <v>0</v>
      </c>
      <c r="M1658" s="7">
        <f t="shared" si="276"/>
        <v>0</v>
      </c>
      <c r="N1658" s="7">
        <f t="shared" si="285"/>
        <v>0</v>
      </c>
      <c r="O1658" s="7">
        <f t="shared" si="284"/>
        <v>5000</v>
      </c>
      <c r="P1658" s="99">
        <f t="shared" si="277"/>
        <v>5.428881650380022E-4</v>
      </c>
      <c r="Q1658" s="99">
        <f t="shared" si="286"/>
        <v>1.3735745874156605E-2</v>
      </c>
      <c r="S1658" s="7">
        <f t="shared" si="278"/>
        <v>10136500</v>
      </c>
      <c r="T1658" s="7">
        <f t="shared" si="279"/>
        <v>3071666.6666666665</v>
      </c>
      <c r="U1658" s="7">
        <f t="shared" si="280"/>
        <v>11096000</v>
      </c>
      <c r="V1658" s="7">
        <f t="shared" si="281"/>
        <v>0</v>
      </c>
      <c r="W1658" s="7">
        <f t="shared" si="282"/>
        <v>0</v>
      </c>
      <c r="X1658" s="7">
        <f t="shared" si="283"/>
        <v>0</v>
      </c>
    </row>
    <row r="1659" spans="1:24">
      <c r="A1659">
        <v>1658</v>
      </c>
      <c r="B1659" s="96" t="s">
        <v>1945</v>
      </c>
      <c r="C1659" s="95">
        <v>42346</v>
      </c>
      <c r="D1659" s="82">
        <v>9200000</v>
      </c>
      <c r="E1659" s="82">
        <v>9120000</v>
      </c>
      <c r="F1659" s="82">
        <v>9205000</v>
      </c>
      <c r="G1659" s="82">
        <v>9200000</v>
      </c>
      <c r="I1659" s="97">
        <v>0</v>
      </c>
      <c r="J1659" s="97">
        <v>0</v>
      </c>
      <c r="K1659" s="97">
        <v>0</v>
      </c>
      <c r="M1659" s="7">
        <f t="shared" si="276"/>
        <v>0</v>
      </c>
      <c r="N1659" s="7">
        <f t="shared" si="285"/>
        <v>0</v>
      </c>
      <c r="O1659" s="7">
        <f t="shared" si="284"/>
        <v>-15000</v>
      </c>
      <c r="P1659" s="99">
        <f t="shared" si="277"/>
        <v>-1.6277807921866521E-3</v>
      </c>
      <c r="Q1659" s="99">
        <f t="shared" si="286"/>
        <v>1.1526845376563899E-2</v>
      </c>
      <c r="S1659" s="7">
        <f t="shared" si="278"/>
        <v>10120000</v>
      </c>
      <c r="T1659" s="7">
        <f t="shared" si="279"/>
        <v>3066666.6666666665</v>
      </c>
      <c r="U1659" s="7">
        <f t="shared" si="280"/>
        <v>11101000</v>
      </c>
      <c r="V1659" s="7">
        <f t="shared" si="281"/>
        <v>0</v>
      </c>
      <c r="W1659" s="7">
        <f t="shared" si="282"/>
        <v>0</v>
      </c>
      <c r="X1659" s="7">
        <f t="shared" si="283"/>
        <v>0</v>
      </c>
    </row>
    <row r="1660" spans="1:24">
      <c r="A1660">
        <v>1659</v>
      </c>
      <c r="B1660" s="96" t="s">
        <v>1944</v>
      </c>
      <c r="C1660" s="95">
        <v>42347</v>
      </c>
      <c r="D1660" s="82">
        <v>9200000</v>
      </c>
      <c r="E1660" s="82">
        <v>9190000</v>
      </c>
      <c r="F1660" s="82">
        <v>9225000</v>
      </c>
      <c r="G1660" s="82">
        <v>9200000</v>
      </c>
      <c r="I1660" s="97">
        <v>0</v>
      </c>
      <c r="J1660" s="97">
        <v>0</v>
      </c>
      <c r="K1660" s="97">
        <v>0</v>
      </c>
      <c r="M1660" s="7">
        <f t="shared" si="276"/>
        <v>0</v>
      </c>
      <c r="N1660" s="7">
        <f t="shared" si="285"/>
        <v>0</v>
      </c>
      <c r="O1660" s="7">
        <f t="shared" si="284"/>
        <v>0</v>
      </c>
      <c r="P1660" s="99">
        <f t="shared" si="277"/>
        <v>0</v>
      </c>
      <c r="Q1660" s="99">
        <f t="shared" si="286"/>
        <v>6.0571326414573783E-3</v>
      </c>
      <c r="S1660" s="7">
        <f t="shared" si="278"/>
        <v>10120000</v>
      </c>
      <c r="T1660" s="7">
        <f t="shared" si="279"/>
        <v>3066666.6666666665</v>
      </c>
      <c r="U1660" s="7">
        <f t="shared" si="280"/>
        <v>11183000</v>
      </c>
      <c r="V1660" s="7">
        <f t="shared" si="281"/>
        <v>0</v>
      </c>
      <c r="W1660" s="7">
        <f t="shared" si="282"/>
        <v>0</v>
      </c>
      <c r="X1660" s="7">
        <f t="shared" si="283"/>
        <v>0</v>
      </c>
    </row>
    <row r="1661" spans="1:24">
      <c r="A1661">
        <v>1660</v>
      </c>
      <c r="B1661" s="96" t="s">
        <v>1943</v>
      </c>
      <c r="C1661" s="95">
        <v>42348</v>
      </c>
      <c r="D1661" s="82">
        <v>9195000</v>
      </c>
      <c r="E1661" s="82">
        <v>9125000</v>
      </c>
      <c r="F1661" s="82">
        <v>9205000</v>
      </c>
      <c r="G1661" s="82">
        <v>9195000</v>
      </c>
      <c r="I1661" s="98">
        <v>0</v>
      </c>
      <c r="J1661" s="98">
        <v>0</v>
      </c>
      <c r="K1661" s="98">
        <v>0</v>
      </c>
      <c r="M1661" s="7">
        <f t="shared" si="276"/>
        <v>0</v>
      </c>
      <c r="N1661" s="7">
        <f t="shared" si="285"/>
        <v>0</v>
      </c>
      <c r="O1661" s="7">
        <f t="shared" si="284"/>
        <v>-5000</v>
      </c>
      <c r="P1661" s="99">
        <f t="shared" si="277"/>
        <v>-5.4347826086956522E-4</v>
      </c>
      <c r="Q1661" s="99">
        <f t="shared" si="286"/>
        <v>1.0431107491101993E-2</v>
      </c>
      <c r="S1661" s="7">
        <f t="shared" si="278"/>
        <v>10114500</v>
      </c>
      <c r="T1661" s="7">
        <f t="shared" si="279"/>
        <v>3065000</v>
      </c>
      <c r="U1661" s="7">
        <f t="shared" si="280"/>
        <v>11117000</v>
      </c>
      <c r="V1661" s="7">
        <f t="shared" si="281"/>
        <v>0</v>
      </c>
      <c r="W1661" s="7">
        <f t="shared" si="282"/>
        <v>0</v>
      </c>
      <c r="X1661" s="7">
        <f t="shared" si="283"/>
        <v>0</v>
      </c>
    </row>
    <row r="1662" spans="1:24">
      <c r="A1662">
        <v>1661</v>
      </c>
      <c r="B1662" s="96" t="s">
        <v>1942</v>
      </c>
      <c r="C1662" s="95">
        <v>42351</v>
      </c>
      <c r="D1662" s="82">
        <v>9210000</v>
      </c>
      <c r="E1662" s="82">
        <v>9195000</v>
      </c>
      <c r="F1662" s="82">
        <v>9215000</v>
      </c>
      <c r="G1662" s="82">
        <v>9210000</v>
      </c>
      <c r="I1662" s="82">
        <f>G1662*1.1</f>
        <v>10131000</v>
      </c>
      <c r="J1662" s="82">
        <f>G1662/3</f>
        <v>3070000</v>
      </c>
      <c r="K1662" s="7">
        <f>G1930</f>
        <v>11179000</v>
      </c>
      <c r="L1662" s="7">
        <f>K1662-I1662</f>
        <v>1048000</v>
      </c>
      <c r="M1662" s="7">
        <f t="shared" si="276"/>
        <v>383750</v>
      </c>
      <c r="N1662" s="7">
        <f t="shared" si="285"/>
        <v>1431750</v>
      </c>
      <c r="O1662" s="7">
        <f t="shared" si="284"/>
        <v>15000</v>
      </c>
      <c r="P1662" s="99">
        <f t="shared" si="277"/>
        <v>1.6313213703099511E-3</v>
      </c>
      <c r="Q1662" s="99">
        <f t="shared" si="286"/>
        <v>2.9504822917359981E-6</v>
      </c>
      <c r="R1662">
        <v>1</v>
      </c>
      <c r="S1662" s="7">
        <f t="shared" si="278"/>
        <v>10131000</v>
      </c>
      <c r="T1662" s="7">
        <f t="shared" si="279"/>
        <v>3070000</v>
      </c>
      <c r="U1662" s="7">
        <f t="shared" si="280"/>
        <v>11179000</v>
      </c>
      <c r="V1662" s="7">
        <f t="shared" si="281"/>
        <v>1048000</v>
      </c>
      <c r="W1662" s="7">
        <f t="shared" si="282"/>
        <v>383750</v>
      </c>
      <c r="X1662" s="7">
        <f t="shared" si="283"/>
        <v>1431750</v>
      </c>
    </row>
    <row r="1663" spans="1:24">
      <c r="A1663">
        <v>1662</v>
      </c>
      <c r="B1663" s="96" t="s">
        <v>1941</v>
      </c>
      <c r="C1663" s="95">
        <v>42352</v>
      </c>
      <c r="D1663" s="82">
        <v>9165000</v>
      </c>
      <c r="E1663" s="82">
        <v>9155000</v>
      </c>
      <c r="F1663" s="82">
        <v>9205000</v>
      </c>
      <c r="G1663" s="82">
        <v>9165000</v>
      </c>
      <c r="I1663" s="97">
        <v>0</v>
      </c>
      <c r="J1663" s="97">
        <v>0</v>
      </c>
      <c r="K1663" s="97">
        <v>0</v>
      </c>
      <c r="M1663" s="7">
        <f t="shared" si="276"/>
        <v>0</v>
      </c>
      <c r="N1663" s="7">
        <f t="shared" si="285"/>
        <v>0</v>
      </c>
      <c r="O1663" s="7">
        <f t="shared" si="284"/>
        <v>-45000</v>
      </c>
      <c r="P1663" s="99">
        <f t="shared" si="277"/>
        <v>-4.8859934853420191E-3</v>
      </c>
      <c r="Q1663" s="99">
        <f t="shared" si="286"/>
        <v>2.9504822917361066E-6</v>
      </c>
      <c r="S1663" s="7">
        <f t="shared" si="278"/>
        <v>10081500</v>
      </c>
      <c r="T1663" s="7">
        <f t="shared" si="279"/>
        <v>3055000</v>
      </c>
      <c r="U1663" s="7">
        <f t="shared" si="280"/>
        <v>11271000</v>
      </c>
      <c r="V1663" s="7">
        <f t="shared" si="281"/>
        <v>0</v>
      </c>
      <c r="W1663" s="7">
        <f t="shared" si="282"/>
        <v>0</v>
      </c>
      <c r="X1663" s="7">
        <f t="shared" si="283"/>
        <v>0</v>
      </c>
    </row>
    <row r="1664" spans="1:24">
      <c r="A1664">
        <v>1663</v>
      </c>
      <c r="B1664" s="96" t="s">
        <v>1940</v>
      </c>
      <c r="C1664" s="95">
        <v>42353</v>
      </c>
      <c r="D1664" s="82">
        <v>9080000</v>
      </c>
      <c r="E1664" s="82">
        <v>9075000</v>
      </c>
      <c r="F1664" s="82">
        <v>9140000</v>
      </c>
      <c r="G1664" s="82">
        <v>9080000</v>
      </c>
      <c r="I1664" s="97">
        <v>0</v>
      </c>
      <c r="J1664" s="97">
        <v>0</v>
      </c>
      <c r="K1664" s="97">
        <v>0</v>
      </c>
      <c r="M1664" s="7">
        <f t="shared" si="276"/>
        <v>0</v>
      </c>
      <c r="N1664" s="7">
        <f t="shared" si="285"/>
        <v>0</v>
      </c>
      <c r="O1664" s="7">
        <f t="shared" si="284"/>
        <v>-85000</v>
      </c>
      <c r="P1664" s="99">
        <f t="shared" si="277"/>
        <v>-9.2744135297326783E-3</v>
      </c>
      <c r="Q1664" s="99">
        <f t="shared" si="286"/>
        <v>-5.4259311680882856E-3</v>
      </c>
      <c r="S1664" s="7">
        <f t="shared" si="278"/>
        <v>9988000</v>
      </c>
      <c r="T1664" s="7">
        <f t="shared" si="279"/>
        <v>3026666.6666666665</v>
      </c>
      <c r="U1664" s="7">
        <f t="shared" si="280"/>
        <v>11229000</v>
      </c>
      <c r="V1664" s="7">
        <f t="shared" si="281"/>
        <v>0</v>
      </c>
      <c r="W1664" s="7">
        <f t="shared" si="282"/>
        <v>0</v>
      </c>
      <c r="X1664" s="7">
        <f t="shared" si="283"/>
        <v>0</v>
      </c>
    </row>
    <row r="1665" spans="1:24">
      <c r="A1665">
        <v>1664</v>
      </c>
      <c r="B1665" s="96" t="s">
        <v>1939</v>
      </c>
      <c r="C1665" s="95">
        <v>42354</v>
      </c>
      <c r="D1665" s="82">
        <v>9145000</v>
      </c>
      <c r="E1665" s="82">
        <v>9110000</v>
      </c>
      <c r="F1665" s="82">
        <v>9155000</v>
      </c>
      <c r="G1665" s="82">
        <v>9145000</v>
      </c>
      <c r="I1665" s="97">
        <v>0</v>
      </c>
      <c r="J1665" s="97">
        <v>0</v>
      </c>
      <c r="K1665" s="97">
        <v>0</v>
      </c>
      <c r="M1665" s="7">
        <f t="shared" si="276"/>
        <v>0</v>
      </c>
      <c r="N1665" s="7">
        <f t="shared" si="285"/>
        <v>0</v>
      </c>
      <c r="O1665" s="7">
        <f t="shared" si="284"/>
        <v>65000</v>
      </c>
      <c r="P1665" s="99">
        <f t="shared" si="277"/>
        <v>7.1585903083700442E-3</v>
      </c>
      <c r="Q1665" s="99">
        <f t="shared" si="286"/>
        <v>-1.3072563905634311E-2</v>
      </c>
      <c r="S1665" s="7">
        <f t="shared" si="278"/>
        <v>10059500</v>
      </c>
      <c r="T1665" s="7">
        <f t="shared" si="279"/>
        <v>3048333.3333333335</v>
      </c>
      <c r="U1665" s="7">
        <f t="shared" si="280"/>
        <v>11245000</v>
      </c>
      <c r="V1665" s="7">
        <f t="shared" si="281"/>
        <v>0</v>
      </c>
      <c r="W1665" s="7">
        <f t="shared" si="282"/>
        <v>0</v>
      </c>
      <c r="X1665" s="7">
        <f t="shared" si="283"/>
        <v>0</v>
      </c>
    </row>
    <row r="1666" spans="1:24">
      <c r="A1666">
        <v>1665</v>
      </c>
      <c r="B1666" s="96" t="s">
        <v>1938</v>
      </c>
      <c r="C1666" s="95">
        <v>42355</v>
      </c>
      <c r="D1666" s="82">
        <v>9110000</v>
      </c>
      <c r="E1666" s="82">
        <v>9100000</v>
      </c>
      <c r="F1666" s="82">
        <v>9155000</v>
      </c>
      <c r="G1666" s="82">
        <v>9110000</v>
      </c>
      <c r="I1666" s="98">
        <v>0</v>
      </c>
      <c r="J1666" s="98">
        <v>0</v>
      </c>
      <c r="K1666" s="98">
        <v>0</v>
      </c>
      <c r="M1666" s="7">
        <f t="shared" ref="M1666:M1729" si="287">J1666*$AI$6/200</f>
        <v>0</v>
      </c>
      <c r="N1666" s="7">
        <f t="shared" si="285"/>
        <v>0</v>
      </c>
      <c r="O1666" s="7">
        <f t="shared" si="284"/>
        <v>-35000</v>
      </c>
      <c r="P1666" s="99">
        <f t="shared" si="277"/>
        <v>-3.8272279934390375E-3</v>
      </c>
      <c r="Q1666" s="99">
        <f t="shared" si="286"/>
        <v>-5.913973597264267E-3</v>
      </c>
      <c r="S1666" s="7">
        <f t="shared" si="278"/>
        <v>10021000</v>
      </c>
      <c r="T1666" s="7">
        <f t="shared" si="279"/>
        <v>3036666.6666666665</v>
      </c>
      <c r="U1666" s="7">
        <f t="shared" si="280"/>
        <v>11269000</v>
      </c>
      <c r="V1666" s="7">
        <f t="shared" si="281"/>
        <v>0</v>
      </c>
      <c r="W1666" s="7">
        <f t="shared" si="282"/>
        <v>0</v>
      </c>
      <c r="X1666" s="7">
        <f t="shared" si="283"/>
        <v>0</v>
      </c>
    </row>
    <row r="1667" spans="1:24">
      <c r="A1667">
        <v>1666</v>
      </c>
      <c r="B1667" s="96" t="s">
        <v>1937</v>
      </c>
      <c r="C1667" s="95">
        <v>42357</v>
      </c>
      <c r="D1667" s="82">
        <v>9170000</v>
      </c>
      <c r="E1667" s="82">
        <v>9135000</v>
      </c>
      <c r="F1667" s="82">
        <v>9175000</v>
      </c>
      <c r="G1667" s="82">
        <v>9170000</v>
      </c>
      <c r="I1667" s="82">
        <f>G1667*1.1</f>
        <v>10087000</v>
      </c>
      <c r="J1667" s="82">
        <f>G1667/3</f>
        <v>3056666.6666666665</v>
      </c>
      <c r="K1667" s="7">
        <f>G1935</f>
        <v>11160000</v>
      </c>
      <c r="L1667" s="7">
        <f>K1667-I1667</f>
        <v>1073000</v>
      </c>
      <c r="M1667" s="7">
        <f t="shared" si="287"/>
        <v>382083.33333333326</v>
      </c>
      <c r="N1667" s="7">
        <f t="shared" si="285"/>
        <v>1455083.3333333333</v>
      </c>
      <c r="O1667" s="7">
        <f t="shared" si="284"/>
        <v>60000</v>
      </c>
      <c r="P1667" s="99">
        <f t="shared" ref="P1667:P1730" si="288">O1667/G1666</f>
        <v>6.5861690450054883E-3</v>
      </c>
      <c r="Q1667" s="99">
        <f t="shared" si="286"/>
        <v>-9.1977233298337416E-3</v>
      </c>
      <c r="R1667">
        <v>1</v>
      </c>
      <c r="S1667" s="7">
        <f t="shared" ref="S1667:S1730" si="289">G1667*1.1</f>
        <v>10087000</v>
      </c>
      <c r="T1667" s="7">
        <f t="shared" ref="T1667:T1730" si="290">G1667/3</f>
        <v>3056666.6666666665</v>
      </c>
      <c r="U1667" s="7">
        <f t="shared" ref="U1667:U1730" si="291">G1935</f>
        <v>11160000</v>
      </c>
      <c r="V1667" s="7">
        <f t="shared" ref="V1667:V1730" si="292">(U1667-S1667)*R1667</f>
        <v>1073000</v>
      </c>
      <c r="W1667" s="7">
        <f t="shared" ref="W1667:W1730" si="293">(T1667*$AI$6/200)*R1667</f>
        <v>382083.33333333326</v>
      </c>
      <c r="X1667" s="7">
        <f t="shared" ref="X1667:X1730" si="294">V1667+W1667</f>
        <v>1455083.3333333333</v>
      </c>
    </row>
    <row r="1668" spans="1:24">
      <c r="A1668">
        <v>1667</v>
      </c>
      <c r="B1668" s="96" t="s">
        <v>1936</v>
      </c>
      <c r="C1668" s="95">
        <v>42358</v>
      </c>
      <c r="D1668" s="82">
        <v>9175000</v>
      </c>
      <c r="E1668" s="82">
        <v>9160000</v>
      </c>
      <c r="F1668" s="82">
        <v>9185000</v>
      </c>
      <c r="G1668" s="82">
        <v>9175000</v>
      </c>
      <c r="I1668" s="97">
        <v>0</v>
      </c>
      <c r="J1668" s="97">
        <v>0</v>
      </c>
      <c r="K1668" s="97">
        <v>0</v>
      </c>
      <c r="M1668" s="7">
        <f t="shared" si="287"/>
        <v>0</v>
      </c>
      <c r="N1668" s="7">
        <f t="shared" si="285"/>
        <v>0</v>
      </c>
      <c r="O1668" s="7">
        <f t="shared" ref="O1668:O1731" si="295">G1668-G1667</f>
        <v>5000</v>
      </c>
      <c r="P1668" s="99">
        <f t="shared" si="288"/>
        <v>5.4525627044711017E-4</v>
      </c>
      <c r="Q1668" s="99">
        <f t="shared" si="286"/>
        <v>-4.2428756551382042E-3</v>
      </c>
      <c r="S1668" s="7">
        <f t="shared" si="289"/>
        <v>10092500</v>
      </c>
      <c r="T1668" s="7">
        <f t="shared" si="290"/>
        <v>3058333.3333333335</v>
      </c>
      <c r="U1668" s="7">
        <f t="shared" si="291"/>
        <v>11170000</v>
      </c>
      <c r="V1668" s="7">
        <f t="shared" si="292"/>
        <v>0</v>
      </c>
      <c r="W1668" s="7">
        <f t="shared" si="293"/>
        <v>0</v>
      </c>
      <c r="X1668" s="7">
        <f t="shared" si="294"/>
        <v>0</v>
      </c>
    </row>
    <row r="1669" spans="1:24">
      <c r="A1669">
        <v>1668</v>
      </c>
      <c r="B1669" s="96" t="s">
        <v>1935</v>
      </c>
      <c r="C1669" s="95">
        <v>42359</v>
      </c>
      <c r="D1669" s="82">
        <v>9235000</v>
      </c>
      <c r="E1669" s="82">
        <v>9180000</v>
      </c>
      <c r="F1669" s="82">
        <v>9240000</v>
      </c>
      <c r="G1669" s="82">
        <v>9235000</v>
      </c>
      <c r="I1669" s="97">
        <v>0</v>
      </c>
      <c r="J1669" s="97">
        <v>0</v>
      </c>
      <c r="K1669" s="97">
        <v>0</v>
      </c>
      <c r="M1669" s="7">
        <f t="shared" si="287"/>
        <v>0</v>
      </c>
      <c r="N1669" s="7">
        <f t="shared" si="285"/>
        <v>0</v>
      </c>
      <c r="O1669" s="7">
        <f t="shared" si="295"/>
        <v>60000</v>
      </c>
      <c r="P1669" s="99">
        <f t="shared" si="288"/>
        <v>6.5395095367847414E-3</v>
      </c>
      <c r="Q1669" s="99">
        <f t="shared" si="286"/>
        <v>1.1883741006509267E-3</v>
      </c>
      <c r="S1669" s="7">
        <f t="shared" si="289"/>
        <v>10158500</v>
      </c>
      <c r="T1669" s="7">
        <f t="shared" si="290"/>
        <v>3078333.3333333335</v>
      </c>
      <c r="U1669" s="7">
        <f t="shared" si="291"/>
        <v>11240000</v>
      </c>
      <c r="V1669" s="7">
        <f t="shared" si="292"/>
        <v>0</v>
      </c>
      <c r="W1669" s="7">
        <f t="shared" si="293"/>
        <v>0</v>
      </c>
      <c r="X1669" s="7">
        <f t="shared" si="294"/>
        <v>0</v>
      </c>
    </row>
    <row r="1670" spans="1:24">
      <c r="A1670">
        <v>1669</v>
      </c>
      <c r="B1670" s="96" t="s">
        <v>1934</v>
      </c>
      <c r="C1670" s="95">
        <v>42360</v>
      </c>
      <c r="D1670" s="82">
        <v>9255000</v>
      </c>
      <c r="E1670" s="82">
        <v>9225000</v>
      </c>
      <c r="F1670" s="82">
        <v>9270000</v>
      </c>
      <c r="G1670" s="82">
        <v>9255000</v>
      </c>
      <c r="I1670" s="97">
        <v>0</v>
      </c>
      <c r="J1670" s="97">
        <v>0</v>
      </c>
      <c r="K1670" s="97">
        <v>0</v>
      </c>
      <c r="M1670" s="7">
        <f t="shared" si="287"/>
        <v>0</v>
      </c>
      <c r="N1670" s="7">
        <f t="shared" si="285"/>
        <v>0</v>
      </c>
      <c r="O1670" s="7">
        <f t="shared" si="295"/>
        <v>20000</v>
      </c>
      <c r="P1670" s="99">
        <f t="shared" si="288"/>
        <v>2.1656740660530591E-3</v>
      </c>
      <c r="Q1670" s="99">
        <f t="shared" si="286"/>
        <v>1.7002297167168345E-2</v>
      </c>
      <c r="S1670" s="7">
        <f t="shared" si="289"/>
        <v>10180500</v>
      </c>
      <c r="T1670" s="7">
        <f t="shared" si="290"/>
        <v>3085000</v>
      </c>
      <c r="U1670" s="7">
        <f t="shared" si="291"/>
        <v>11232000</v>
      </c>
      <c r="V1670" s="7">
        <f t="shared" si="292"/>
        <v>0</v>
      </c>
      <c r="W1670" s="7">
        <f t="shared" si="293"/>
        <v>0</v>
      </c>
      <c r="X1670" s="7">
        <f t="shared" si="294"/>
        <v>0</v>
      </c>
    </row>
    <row r="1671" spans="1:24">
      <c r="A1671">
        <v>1670</v>
      </c>
      <c r="B1671" s="96" t="s">
        <v>1933</v>
      </c>
      <c r="C1671" s="95">
        <v>42361</v>
      </c>
      <c r="D1671" s="82">
        <v>9285000</v>
      </c>
      <c r="E1671" s="82">
        <v>9235000</v>
      </c>
      <c r="F1671" s="82">
        <v>9295000</v>
      </c>
      <c r="G1671" s="82">
        <v>9285000</v>
      </c>
      <c r="I1671" s="98">
        <v>0</v>
      </c>
      <c r="J1671" s="98">
        <v>0</v>
      </c>
      <c r="K1671" s="98">
        <v>0</v>
      </c>
      <c r="M1671" s="7">
        <f t="shared" si="287"/>
        <v>0</v>
      </c>
      <c r="N1671" s="7">
        <f t="shared" si="285"/>
        <v>0</v>
      </c>
      <c r="O1671" s="7">
        <f t="shared" si="295"/>
        <v>30000</v>
      </c>
      <c r="P1671" s="99">
        <f t="shared" si="288"/>
        <v>3.2414910858995136E-3</v>
      </c>
      <c r="Q1671" s="99">
        <f t="shared" si="286"/>
        <v>1.2009380924851362E-2</v>
      </c>
      <c r="S1671" s="7">
        <f t="shared" si="289"/>
        <v>10213500</v>
      </c>
      <c r="T1671" s="7">
        <f t="shared" si="290"/>
        <v>3095000</v>
      </c>
      <c r="U1671" s="7">
        <f t="shared" si="291"/>
        <v>11066000</v>
      </c>
      <c r="V1671" s="7">
        <f t="shared" si="292"/>
        <v>0</v>
      </c>
      <c r="W1671" s="7">
        <f t="shared" si="293"/>
        <v>0</v>
      </c>
      <c r="X1671" s="7">
        <f t="shared" si="294"/>
        <v>0</v>
      </c>
    </row>
    <row r="1672" spans="1:24">
      <c r="A1672">
        <v>1671</v>
      </c>
      <c r="B1672" s="96" t="s">
        <v>1932</v>
      </c>
      <c r="C1672" s="95">
        <v>42362</v>
      </c>
      <c r="D1672" s="82">
        <v>9320000</v>
      </c>
      <c r="E1672" s="82">
        <v>9295000</v>
      </c>
      <c r="F1672" s="82">
        <v>9335000</v>
      </c>
      <c r="G1672" s="82">
        <v>9320000</v>
      </c>
      <c r="I1672" s="82">
        <f>G1672*1.1</f>
        <v>10252000</v>
      </c>
      <c r="J1672" s="82">
        <f>G1672/3</f>
        <v>3106666.6666666665</v>
      </c>
      <c r="K1672" s="7">
        <f>G1940</f>
        <v>11099000</v>
      </c>
      <c r="L1672" s="7">
        <f>K1672-I1672</f>
        <v>847000</v>
      </c>
      <c r="M1672" s="7">
        <f t="shared" si="287"/>
        <v>388333.33333333326</v>
      </c>
      <c r="N1672" s="7">
        <f t="shared" ref="N1672:N1735" si="296">L1672+M1672</f>
        <v>1235333.3333333333</v>
      </c>
      <c r="O1672" s="7">
        <f t="shared" si="295"/>
        <v>35000</v>
      </c>
      <c r="P1672" s="99">
        <f t="shared" si="288"/>
        <v>3.7695207323640281E-3</v>
      </c>
      <c r="Q1672" s="99">
        <f t="shared" ref="Q1672:Q1735" si="297">SUM(P1667:P1671)</f>
        <v>1.9078100004189909E-2</v>
      </c>
      <c r="R1672">
        <v>1</v>
      </c>
      <c r="S1672" s="7">
        <f t="shared" si="289"/>
        <v>10252000</v>
      </c>
      <c r="T1672" s="7">
        <f t="shared" si="290"/>
        <v>3106666.6666666665</v>
      </c>
      <c r="U1672" s="7">
        <f t="shared" si="291"/>
        <v>11099000</v>
      </c>
      <c r="V1672" s="7">
        <f t="shared" si="292"/>
        <v>847000</v>
      </c>
      <c r="W1672" s="7">
        <f t="shared" si="293"/>
        <v>388333.33333333326</v>
      </c>
      <c r="X1672" s="7">
        <f t="shared" si="294"/>
        <v>1235333.3333333333</v>
      </c>
    </row>
    <row r="1673" spans="1:24">
      <c r="A1673">
        <v>1672</v>
      </c>
      <c r="B1673" s="96" t="s">
        <v>1931</v>
      </c>
      <c r="C1673" s="95">
        <v>42364</v>
      </c>
      <c r="D1673" s="82">
        <v>9420000</v>
      </c>
      <c r="E1673" s="82">
        <v>9335000</v>
      </c>
      <c r="F1673" s="82">
        <v>9430000</v>
      </c>
      <c r="G1673" s="82">
        <v>9420000</v>
      </c>
      <c r="I1673" s="97">
        <v>0</v>
      </c>
      <c r="J1673" s="97">
        <v>0</v>
      </c>
      <c r="K1673" s="97">
        <v>0</v>
      </c>
      <c r="M1673" s="7">
        <f t="shared" si="287"/>
        <v>0</v>
      </c>
      <c r="N1673" s="7">
        <f t="shared" si="296"/>
        <v>0</v>
      </c>
      <c r="O1673" s="7">
        <f t="shared" si="295"/>
        <v>100000</v>
      </c>
      <c r="P1673" s="99">
        <f t="shared" si="288"/>
        <v>1.0729613733905579E-2</v>
      </c>
      <c r="Q1673" s="99">
        <f t="shared" si="297"/>
        <v>1.6261451691548454E-2</v>
      </c>
      <c r="S1673" s="7">
        <f t="shared" si="289"/>
        <v>10362000</v>
      </c>
      <c r="T1673" s="7">
        <f t="shared" si="290"/>
        <v>3140000</v>
      </c>
      <c r="U1673" s="7">
        <f t="shared" si="291"/>
        <v>11150000</v>
      </c>
      <c r="V1673" s="7">
        <f t="shared" si="292"/>
        <v>0</v>
      </c>
      <c r="W1673" s="7">
        <f t="shared" si="293"/>
        <v>0</v>
      </c>
      <c r="X1673" s="7">
        <f t="shared" si="294"/>
        <v>0</v>
      </c>
    </row>
    <row r="1674" spans="1:24">
      <c r="A1674">
        <v>1673</v>
      </c>
      <c r="B1674" s="96" t="s">
        <v>1930</v>
      </c>
      <c r="C1674" s="95">
        <v>42365</v>
      </c>
      <c r="D1674" s="82">
        <v>9420000</v>
      </c>
      <c r="E1674" s="82">
        <v>9395000</v>
      </c>
      <c r="F1674" s="82">
        <v>9440000</v>
      </c>
      <c r="G1674" s="82">
        <v>9420000</v>
      </c>
      <c r="I1674" s="97">
        <v>0</v>
      </c>
      <c r="J1674" s="97">
        <v>0</v>
      </c>
      <c r="K1674" s="97">
        <v>0</v>
      </c>
      <c r="M1674" s="7">
        <f t="shared" si="287"/>
        <v>0</v>
      </c>
      <c r="N1674" s="7">
        <f t="shared" si="296"/>
        <v>0</v>
      </c>
      <c r="O1674" s="7">
        <f t="shared" si="295"/>
        <v>0</v>
      </c>
      <c r="P1674" s="99">
        <f t="shared" si="288"/>
        <v>0</v>
      </c>
      <c r="Q1674" s="99">
        <f t="shared" si="297"/>
        <v>2.6445809155006925E-2</v>
      </c>
      <c r="S1674" s="7">
        <f t="shared" si="289"/>
        <v>10362000</v>
      </c>
      <c r="T1674" s="7">
        <f t="shared" si="290"/>
        <v>3140000</v>
      </c>
      <c r="U1674" s="7">
        <f t="shared" si="291"/>
        <v>11119000</v>
      </c>
      <c r="V1674" s="7">
        <f t="shared" si="292"/>
        <v>0</v>
      </c>
      <c r="W1674" s="7">
        <f t="shared" si="293"/>
        <v>0</v>
      </c>
      <c r="X1674" s="7">
        <f t="shared" si="294"/>
        <v>0</v>
      </c>
    </row>
    <row r="1675" spans="1:24">
      <c r="A1675">
        <v>1674</v>
      </c>
      <c r="B1675" s="96" t="s">
        <v>1929</v>
      </c>
      <c r="C1675" s="95">
        <v>42366</v>
      </c>
      <c r="D1675" s="82">
        <v>9345000</v>
      </c>
      <c r="E1675" s="82">
        <v>9345000</v>
      </c>
      <c r="F1675" s="82">
        <v>9415000</v>
      </c>
      <c r="G1675" s="82">
        <v>9345000</v>
      </c>
      <c r="I1675" s="97">
        <v>0</v>
      </c>
      <c r="J1675" s="97">
        <v>0</v>
      </c>
      <c r="K1675" s="97">
        <v>0</v>
      </c>
      <c r="M1675" s="7">
        <f t="shared" si="287"/>
        <v>0</v>
      </c>
      <c r="N1675" s="7">
        <f t="shared" si="296"/>
        <v>0</v>
      </c>
      <c r="O1675" s="7">
        <f t="shared" si="295"/>
        <v>-75000</v>
      </c>
      <c r="P1675" s="99">
        <f t="shared" si="288"/>
        <v>-7.9617834394904458E-3</v>
      </c>
      <c r="Q1675" s="99">
        <f t="shared" si="297"/>
        <v>1.9906299618222177E-2</v>
      </c>
      <c r="S1675" s="7">
        <f t="shared" si="289"/>
        <v>10279500</v>
      </c>
      <c r="T1675" s="7">
        <f t="shared" si="290"/>
        <v>3115000</v>
      </c>
      <c r="U1675" s="7">
        <f t="shared" si="291"/>
        <v>11130000</v>
      </c>
      <c r="V1675" s="7">
        <f t="shared" si="292"/>
        <v>0</v>
      </c>
      <c r="W1675" s="7">
        <f t="shared" si="293"/>
        <v>0</v>
      </c>
      <c r="X1675" s="7">
        <f t="shared" si="294"/>
        <v>0</v>
      </c>
    </row>
    <row r="1676" spans="1:24">
      <c r="A1676">
        <v>1675</v>
      </c>
      <c r="B1676" s="96" t="s">
        <v>1928</v>
      </c>
      <c r="C1676" s="95">
        <v>42367</v>
      </c>
      <c r="D1676" s="82">
        <v>9355000</v>
      </c>
      <c r="E1676" s="82">
        <v>9350000</v>
      </c>
      <c r="F1676" s="82">
        <v>9355000</v>
      </c>
      <c r="G1676" s="82">
        <v>9355000</v>
      </c>
      <c r="I1676" s="98">
        <v>0</v>
      </c>
      <c r="J1676" s="98">
        <v>0</v>
      </c>
      <c r="K1676" s="98">
        <v>0</v>
      </c>
      <c r="M1676" s="7">
        <f t="shared" si="287"/>
        <v>0</v>
      </c>
      <c r="N1676" s="7">
        <f t="shared" si="296"/>
        <v>0</v>
      </c>
      <c r="O1676" s="7">
        <f t="shared" si="295"/>
        <v>10000</v>
      </c>
      <c r="P1676" s="99">
        <f t="shared" si="288"/>
        <v>1.0700909577314071E-3</v>
      </c>
      <c r="Q1676" s="99">
        <f t="shared" si="297"/>
        <v>9.7788421126786731E-3</v>
      </c>
      <c r="S1676" s="7">
        <f t="shared" si="289"/>
        <v>10290500</v>
      </c>
      <c r="T1676" s="7">
        <f t="shared" si="290"/>
        <v>3118333.3333333335</v>
      </c>
      <c r="U1676" s="7">
        <f t="shared" si="291"/>
        <v>11088000</v>
      </c>
      <c r="V1676" s="7">
        <f t="shared" si="292"/>
        <v>0</v>
      </c>
      <c r="W1676" s="7">
        <f t="shared" si="293"/>
        <v>0</v>
      </c>
      <c r="X1676" s="7">
        <f t="shared" si="294"/>
        <v>0</v>
      </c>
    </row>
    <row r="1677" spans="1:24">
      <c r="A1677">
        <v>1676</v>
      </c>
      <c r="B1677" s="96" t="s">
        <v>1927</v>
      </c>
      <c r="C1677" s="95">
        <v>42368</v>
      </c>
      <c r="D1677" s="82">
        <v>9315000</v>
      </c>
      <c r="E1677" s="82">
        <v>9295000</v>
      </c>
      <c r="F1677" s="82">
        <v>9340000</v>
      </c>
      <c r="G1677" s="82">
        <v>9315000</v>
      </c>
      <c r="I1677" s="82">
        <f>G1677*1.1</f>
        <v>10246500</v>
      </c>
      <c r="J1677" s="82">
        <f>G1677/3</f>
        <v>3105000</v>
      </c>
      <c r="K1677" s="7">
        <f>G1945</f>
        <v>11003000</v>
      </c>
      <c r="L1677" s="7">
        <f>K1677-I1677</f>
        <v>756500</v>
      </c>
      <c r="M1677" s="7">
        <f t="shared" si="287"/>
        <v>388125</v>
      </c>
      <c r="N1677" s="7">
        <f t="shared" si="296"/>
        <v>1144625</v>
      </c>
      <c r="O1677" s="7">
        <f t="shared" si="295"/>
        <v>-40000</v>
      </c>
      <c r="P1677" s="99">
        <f t="shared" si="288"/>
        <v>-4.27578834847675E-3</v>
      </c>
      <c r="Q1677" s="99">
        <f t="shared" si="297"/>
        <v>7.6074419845105681E-3</v>
      </c>
      <c r="R1677">
        <v>1</v>
      </c>
      <c r="S1677" s="7">
        <f t="shared" si="289"/>
        <v>10246500</v>
      </c>
      <c r="T1677" s="7">
        <f t="shared" si="290"/>
        <v>3105000</v>
      </c>
      <c r="U1677" s="7">
        <f t="shared" si="291"/>
        <v>11003000</v>
      </c>
      <c r="V1677" s="7">
        <f t="shared" si="292"/>
        <v>756500</v>
      </c>
      <c r="W1677" s="7">
        <f t="shared" si="293"/>
        <v>388125</v>
      </c>
      <c r="X1677" s="7">
        <f t="shared" si="294"/>
        <v>1144625</v>
      </c>
    </row>
    <row r="1678" spans="1:24">
      <c r="A1678">
        <v>1677</v>
      </c>
      <c r="B1678" s="96" t="s">
        <v>1926</v>
      </c>
      <c r="C1678" s="95">
        <v>42369</v>
      </c>
      <c r="D1678" s="82">
        <v>9335000</v>
      </c>
      <c r="E1678" s="82">
        <v>9325000</v>
      </c>
      <c r="F1678" s="82">
        <v>9340000</v>
      </c>
      <c r="G1678" s="82">
        <v>9335000</v>
      </c>
      <c r="I1678" s="97">
        <v>0</v>
      </c>
      <c r="J1678" s="97">
        <v>0</v>
      </c>
      <c r="K1678" s="97">
        <v>0</v>
      </c>
      <c r="M1678" s="7">
        <f t="shared" si="287"/>
        <v>0</v>
      </c>
      <c r="N1678" s="7">
        <f t="shared" si="296"/>
        <v>0</v>
      </c>
      <c r="O1678" s="7">
        <f t="shared" si="295"/>
        <v>20000</v>
      </c>
      <c r="P1678" s="99">
        <f t="shared" si="288"/>
        <v>2.1470746108427268E-3</v>
      </c>
      <c r="Q1678" s="99">
        <f t="shared" si="297"/>
        <v>-4.378670963302092E-4</v>
      </c>
      <c r="S1678" s="7">
        <f t="shared" si="289"/>
        <v>10268500</v>
      </c>
      <c r="T1678" s="7">
        <f t="shared" si="290"/>
        <v>3111666.6666666665</v>
      </c>
      <c r="U1678" s="7">
        <f t="shared" si="291"/>
        <v>11010000</v>
      </c>
      <c r="V1678" s="7">
        <f t="shared" si="292"/>
        <v>0</v>
      </c>
      <c r="W1678" s="7">
        <f t="shared" si="293"/>
        <v>0</v>
      </c>
      <c r="X1678" s="7">
        <f t="shared" si="294"/>
        <v>0</v>
      </c>
    </row>
    <row r="1679" spans="1:24">
      <c r="A1679">
        <v>1678</v>
      </c>
      <c r="B1679" s="96" t="s">
        <v>1925</v>
      </c>
      <c r="C1679" s="95">
        <v>42371</v>
      </c>
      <c r="D1679" s="82">
        <v>9310000</v>
      </c>
      <c r="E1679" s="82">
        <v>9300000</v>
      </c>
      <c r="F1679" s="82">
        <v>9335000</v>
      </c>
      <c r="G1679" s="82">
        <v>9310000</v>
      </c>
      <c r="I1679" s="97">
        <v>0</v>
      </c>
      <c r="J1679" s="97">
        <v>0</v>
      </c>
      <c r="K1679" s="97">
        <v>0</v>
      </c>
      <c r="M1679" s="7">
        <f t="shared" si="287"/>
        <v>0</v>
      </c>
      <c r="N1679" s="7">
        <f t="shared" si="296"/>
        <v>0</v>
      </c>
      <c r="O1679" s="7">
        <f t="shared" si="295"/>
        <v>-25000</v>
      </c>
      <c r="P1679" s="99">
        <f t="shared" si="288"/>
        <v>-2.6780931976432779E-3</v>
      </c>
      <c r="Q1679" s="99">
        <f t="shared" si="297"/>
        <v>-9.0204062193930609E-3</v>
      </c>
      <c r="S1679" s="7">
        <f t="shared" si="289"/>
        <v>10241000</v>
      </c>
      <c r="T1679" s="7">
        <f t="shared" si="290"/>
        <v>3103333.3333333335</v>
      </c>
      <c r="U1679" s="7">
        <f t="shared" si="291"/>
        <v>11127000</v>
      </c>
      <c r="V1679" s="7">
        <f t="shared" si="292"/>
        <v>0</v>
      </c>
      <c r="W1679" s="7">
        <f t="shared" si="293"/>
        <v>0</v>
      </c>
      <c r="X1679" s="7">
        <f t="shared" si="294"/>
        <v>0</v>
      </c>
    </row>
    <row r="1680" spans="1:24">
      <c r="A1680">
        <v>1679</v>
      </c>
      <c r="B1680" s="96" t="s">
        <v>1924</v>
      </c>
      <c r="C1680" s="95">
        <v>42372</v>
      </c>
      <c r="D1680" s="82">
        <v>9340000</v>
      </c>
      <c r="E1680" s="82">
        <v>9310000</v>
      </c>
      <c r="F1680" s="82">
        <v>9350000</v>
      </c>
      <c r="G1680" s="82">
        <v>9340000</v>
      </c>
      <c r="I1680" s="97">
        <v>0</v>
      </c>
      <c r="J1680" s="97">
        <v>0</v>
      </c>
      <c r="K1680" s="97">
        <v>0</v>
      </c>
      <c r="M1680" s="7">
        <f t="shared" si="287"/>
        <v>0</v>
      </c>
      <c r="N1680" s="7">
        <f t="shared" si="296"/>
        <v>0</v>
      </c>
      <c r="O1680" s="7">
        <f t="shared" si="295"/>
        <v>30000</v>
      </c>
      <c r="P1680" s="99">
        <f t="shared" si="288"/>
        <v>3.22234156820623E-3</v>
      </c>
      <c r="Q1680" s="99">
        <f t="shared" si="297"/>
        <v>-1.1698499417036339E-2</v>
      </c>
      <c r="S1680" s="7">
        <f t="shared" si="289"/>
        <v>10274000</v>
      </c>
      <c r="T1680" s="7">
        <f t="shared" si="290"/>
        <v>3113333.3333333335</v>
      </c>
      <c r="U1680" s="7">
        <f t="shared" si="291"/>
        <v>11092000</v>
      </c>
      <c r="V1680" s="7">
        <f t="shared" si="292"/>
        <v>0</v>
      </c>
      <c r="W1680" s="7">
        <f t="shared" si="293"/>
        <v>0</v>
      </c>
      <c r="X1680" s="7">
        <f t="shared" si="294"/>
        <v>0</v>
      </c>
    </row>
    <row r="1681" spans="1:24">
      <c r="A1681">
        <v>1680</v>
      </c>
      <c r="B1681" s="96" t="s">
        <v>1923</v>
      </c>
      <c r="C1681" s="95">
        <v>42373</v>
      </c>
      <c r="D1681" s="82">
        <v>9400000</v>
      </c>
      <c r="E1681" s="82">
        <v>9350000</v>
      </c>
      <c r="F1681" s="82">
        <v>9435000</v>
      </c>
      <c r="G1681" s="82">
        <v>9400000</v>
      </c>
      <c r="I1681" s="98">
        <v>0</v>
      </c>
      <c r="J1681" s="98">
        <v>0</v>
      </c>
      <c r="K1681" s="98">
        <v>0</v>
      </c>
      <c r="M1681" s="7">
        <f t="shared" si="287"/>
        <v>0</v>
      </c>
      <c r="N1681" s="7">
        <f t="shared" si="296"/>
        <v>0</v>
      </c>
      <c r="O1681" s="7">
        <f t="shared" si="295"/>
        <v>60000</v>
      </c>
      <c r="P1681" s="99">
        <f t="shared" si="288"/>
        <v>6.4239828693790149E-3</v>
      </c>
      <c r="Q1681" s="99">
        <f t="shared" si="297"/>
        <v>-5.143744093396639E-4</v>
      </c>
      <c r="S1681" s="7">
        <f t="shared" si="289"/>
        <v>10340000</v>
      </c>
      <c r="T1681" s="7">
        <f t="shared" si="290"/>
        <v>3133333.3333333335</v>
      </c>
      <c r="U1681" s="7">
        <f t="shared" si="291"/>
        <v>11079000</v>
      </c>
      <c r="V1681" s="7">
        <f t="shared" si="292"/>
        <v>0</v>
      </c>
      <c r="W1681" s="7">
        <f t="shared" si="293"/>
        <v>0</v>
      </c>
      <c r="X1681" s="7">
        <f t="shared" si="294"/>
        <v>0</v>
      </c>
    </row>
    <row r="1682" spans="1:24">
      <c r="A1682">
        <v>1681</v>
      </c>
      <c r="B1682" s="96" t="s">
        <v>1922</v>
      </c>
      <c r="C1682" s="95">
        <v>42374</v>
      </c>
      <c r="D1682" s="82">
        <v>9400000</v>
      </c>
      <c r="E1682" s="82">
        <v>9390000</v>
      </c>
      <c r="F1682" s="82">
        <v>9430000</v>
      </c>
      <c r="G1682" s="82">
        <v>9400000</v>
      </c>
      <c r="I1682" s="82">
        <f>G1682*1.1</f>
        <v>10340000</v>
      </c>
      <c r="J1682" s="82">
        <f>G1682/3</f>
        <v>3133333.3333333335</v>
      </c>
      <c r="K1682" s="7">
        <f>G1950</f>
        <v>11048000</v>
      </c>
      <c r="L1682" s="7">
        <f>K1682-I1682</f>
        <v>708000</v>
      </c>
      <c r="M1682" s="7">
        <f t="shared" si="287"/>
        <v>391666.66666666674</v>
      </c>
      <c r="N1682" s="7">
        <f t="shared" si="296"/>
        <v>1099666.6666666667</v>
      </c>
      <c r="O1682" s="7">
        <f t="shared" si="295"/>
        <v>0</v>
      </c>
      <c r="P1682" s="99">
        <f t="shared" si="288"/>
        <v>0</v>
      </c>
      <c r="Q1682" s="99">
        <f t="shared" si="297"/>
        <v>4.8395175023079433E-3</v>
      </c>
      <c r="R1682">
        <v>1</v>
      </c>
      <c r="S1682" s="7">
        <f t="shared" si="289"/>
        <v>10340000</v>
      </c>
      <c r="T1682" s="7">
        <f t="shared" si="290"/>
        <v>3133333.3333333335</v>
      </c>
      <c r="U1682" s="7">
        <f t="shared" si="291"/>
        <v>11048000</v>
      </c>
      <c r="V1682" s="7">
        <f t="shared" si="292"/>
        <v>708000</v>
      </c>
      <c r="W1682" s="7">
        <f t="shared" si="293"/>
        <v>391666.66666666674</v>
      </c>
      <c r="X1682" s="7">
        <f t="shared" si="294"/>
        <v>1099666.6666666667</v>
      </c>
    </row>
    <row r="1683" spans="1:24">
      <c r="A1683">
        <v>1682</v>
      </c>
      <c r="B1683" s="96" t="s">
        <v>1921</v>
      </c>
      <c r="C1683" s="95">
        <v>42375</v>
      </c>
      <c r="D1683" s="82">
        <v>9460000</v>
      </c>
      <c r="E1683" s="82">
        <v>9430000</v>
      </c>
      <c r="F1683" s="82">
        <v>9475000</v>
      </c>
      <c r="G1683" s="82">
        <v>9460000</v>
      </c>
      <c r="I1683" s="97">
        <v>0</v>
      </c>
      <c r="J1683" s="97">
        <v>0</v>
      </c>
      <c r="K1683" s="97">
        <v>0</v>
      </c>
      <c r="M1683" s="7">
        <f t="shared" si="287"/>
        <v>0</v>
      </c>
      <c r="N1683" s="7">
        <f t="shared" si="296"/>
        <v>0</v>
      </c>
      <c r="O1683" s="7">
        <f t="shared" si="295"/>
        <v>60000</v>
      </c>
      <c r="P1683" s="99">
        <f t="shared" si="288"/>
        <v>6.382978723404255E-3</v>
      </c>
      <c r="Q1683" s="99">
        <f t="shared" si="297"/>
        <v>9.1153058507846933E-3</v>
      </c>
      <c r="S1683" s="7">
        <f t="shared" si="289"/>
        <v>10406000</v>
      </c>
      <c r="T1683" s="7">
        <f t="shared" si="290"/>
        <v>3153333.3333333335</v>
      </c>
      <c r="U1683" s="7">
        <f t="shared" si="291"/>
        <v>11144000</v>
      </c>
      <c r="V1683" s="7">
        <f t="shared" si="292"/>
        <v>0</v>
      </c>
      <c r="W1683" s="7">
        <f t="shared" si="293"/>
        <v>0</v>
      </c>
      <c r="X1683" s="7">
        <f t="shared" si="294"/>
        <v>0</v>
      </c>
    </row>
    <row r="1684" spans="1:24">
      <c r="A1684">
        <v>1683</v>
      </c>
      <c r="B1684" s="96" t="s">
        <v>1920</v>
      </c>
      <c r="C1684" s="95">
        <v>42376</v>
      </c>
      <c r="D1684" s="82">
        <v>9540000</v>
      </c>
      <c r="E1684" s="82">
        <v>9465000</v>
      </c>
      <c r="F1684" s="82">
        <v>9540000</v>
      </c>
      <c r="G1684" s="82">
        <v>9540000</v>
      </c>
      <c r="I1684" s="97">
        <v>0</v>
      </c>
      <c r="J1684" s="97">
        <v>0</v>
      </c>
      <c r="K1684" s="97">
        <v>0</v>
      </c>
      <c r="M1684" s="7">
        <f t="shared" si="287"/>
        <v>0</v>
      </c>
      <c r="N1684" s="7">
        <f t="shared" si="296"/>
        <v>0</v>
      </c>
      <c r="O1684" s="7">
        <f t="shared" si="295"/>
        <v>80000</v>
      </c>
      <c r="P1684" s="99">
        <f t="shared" si="288"/>
        <v>8.4566596194503175E-3</v>
      </c>
      <c r="Q1684" s="99">
        <f t="shared" si="297"/>
        <v>1.3351209963346222E-2</v>
      </c>
      <c r="S1684" s="7">
        <f t="shared" si="289"/>
        <v>10494000</v>
      </c>
      <c r="T1684" s="7">
        <f t="shared" si="290"/>
        <v>3180000</v>
      </c>
      <c r="U1684" s="7">
        <f t="shared" si="291"/>
        <v>11202000</v>
      </c>
      <c r="V1684" s="7">
        <f t="shared" si="292"/>
        <v>0</v>
      </c>
      <c r="W1684" s="7">
        <f t="shared" si="293"/>
        <v>0</v>
      </c>
      <c r="X1684" s="7">
        <f t="shared" si="294"/>
        <v>0</v>
      </c>
    </row>
    <row r="1685" spans="1:24">
      <c r="A1685">
        <v>1684</v>
      </c>
      <c r="B1685" s="96" t="s">
        <v>1919</v>
      </c>
      <c r="C1685" s="95">
        <v>42378</v>
      </c>
      <c r="D1685" s="82">
        <v>9655000</v>
      </c>
      <c r="E1685" s="82">
        <v>9555000</v>
      </c>
      <c r="F1685" s="82">
        <v>9670000</v>
      </c>
      <c r="G1685" s="82">
        <v>9655000</v>
      </c>
      <c r="I1685" s="97">
        <v>0</v>
      </c>
      <c r="J1685" s="97">
        <v>0</v>
      </c>
      <c r="K1685" s="97">
        <v>0</v>
      </c>
      <c r="M1685" s="7">
        <f t="shared" si="287"/>
        <v>0</v>
      </c>
      <c r="N1685" s="7">
        <f t="shared" si="296"/>
        <v>0</v>
      </c>
      <c r="O1685" s="7">
        <f t="shared" si="295"/>
        <v>115000</v>
      </c>
      <c r="P1685" s="99">
        <f t="shared" si="288"/>
        <v>1.2054507337526206E-2</v>
      </c>
      <c r="Q1685" s="99">
        <f t="shared" si="297"/>
        <v>2.4485962780439817E-2</v>
      </c>
      <c r="S1685" s="7">
        <f t="shared" si="289"/>
        <v>10620500</v>
      </c>
      <c r="T1685" s="7">
        <f t="shared" si="290"/>
        <v>3218333.3333333335</v>
      </c>
      <c r="U1685" s="7">
        <f t="shared" si="291"/>
        <v>11280000</v>
      </c>
      <c r="V1685" s="7">
        <f t="shared" si="292"/>
        <v>0</v>
      </c>
      <c r="W1685" s="7">
        <f t="shared" si="293"/>
        <v>0</v>
      </c>
      <c r="X1685" s="7">
        <f t="shared" si="294"/>
        <v>0</v>
      </c>
    </row>
    <row r="1686" spans="1:24">
      <c r="A1686">
        <v>1685</v>
      </c>
      <c r="B1686" s="96" t="s">
        <v>1918</v>
      </c>
      <c r="C1686" s="95">
        <v>42379</v>
      </c>
      <c r="D1686" s="82">
        <v>9600000</v>
      </c>
      <c r="E1686" s="82">
        <v>9580000</v>
      </c>
      <c r="F1686" s="82">
        <v>9660000</v>
      </c>
      <c r="G1686" s="82">
        <v>9600000</v>
      </c>
      <c r="I1686" s="98">
        <v>0</v>
      </c>
      <c r="J1686" s="98">
        <v>0</v>
      </c>
      <c r="K1686" s="98">
        <v>0</v>
      </c>
      <c r="M1686" s="7">
        <f t="shared" si="287"/>
        <v>0</v>
      </c>
      <c r="N1686" s="7">
        <f t="shared" si="296"/>
        <v>0</v>
      </c>
      <c r="O1686" s="7">
        <f t="shared" si="295"/>
        <v>-55000</v>
      </c>
      <c r="P1686" s="99">
        <f t="shared" si="288"/>
        <v>-5.6965302951838426E-3</v>
      </c>
      <c r="Q1686" s="99">
        <f t="shared" si="297"/>
        <v>3.3318128549759796E-2</v>
      </c>
      <c r="S1686" s="7">
        <f t="shared" si="289"/>
        <v>10560000</v>
      </c>
      <c r="T1686" s="7">
        <f t="shared" si="290"/>
        <v>3200000</v>
      </c>
      <c r="U1686" s="7">
        <f t="shared" si="291"/>
        <v>11158000</v>
      </c>
      <c r="V1686" s="7">
        <f t="shared" si="292"/>
        <v>0</v>
      </c>
      <c r="W1686" s="7">
        <f t="shared" si="293"/>
        <v>0</v>
      </c>
      <c r="X1686" s="7">
        <f t="shared" si="294"/>
        <v>0</v>
      </c>
    </row>
    <row r="1687" spans="1:24">
      <c r="A1687">
        <v>1686</v>
      </c>
      <c r="B1687" s="96" t="s">
        <v>1917</v>
      </c>
      <c r="C1687" s="95">
        <v>42380</v>
      </c>
      <c r="D1687" s="82">
        <v>9485000</v>
      </c>
      <c r="E1687" s="82">
        <v>9470000</v>
      </c>
      <c r="F1687" s="82">
        <v>9575000</v>
      </c>
      <c r="G1687" s="82">
        <v>9485000</v>
      </c>
      <c r="I1687" s="82">
        <f>G1687*1.1</f>
        <v>10433500</v>
      </c>
      <c r="J1687" s="82">
        <f>G1687/3</f>
        <v>3161666.6666666665</v>
      </c>
      <c r="K1687" s="7">
        <f>G1955</f>
        <v>11316000</v>
      </c>
      <c r="L1687" s="7">
        <f>K1687-I1687</f>
        <v>882500</v>
      </c>
      <c r="M1687" s="7">
        <f t="shared" si="287"/>
        <v>395208.33333333326</v>
      </c>
      <c r="N1687" s="7">
        <f t="shared" si="296"/>
        <v>1277708.3333333333</v>
      </c>
      <c r="O1687" s="7">
        <f t="shared" si="295"/>
        <v>-115000</v>
      </c>
      <c r="P1687" s="99">
        <f t="shared" si="288"/>
        <v>-1.1979166666666667E-2</v>
      </c>
      <c r="Q1687" s="99">
        <f t="shared" si="297"/>
        <v>2.119761538519694E-2</v>
      </c>
      <c r="R1687">
        <v>1</v>
      </c>
      <c r="S1687" s="7">
        <f t="shared" si="289"/>
        <v>10433500</v>
      </c>
      <c r="T1687" s="7">
        <f t="shared" si="290"/>
        <v>3161666.6666666665</v>
      </c>
      <c r="U1687" s="7">
        <f t="shared" si="291"/>
        <v>11316000</v>
      </c>
      <c r="V1687" s="7">
        <f t="shared" si="292"/>
        <v>882500</v>
      </c>
      <c r="W1687" s="7">
        <f t="shared" si="293"/>
        <v>395208.33333333326</v>
      </c>
      <c r="X1687" s="7">
        <f t="shared" si="294"/>
        <v>1277708.3333333333</v>
      </c>
    </row>
    <row r="1688" spans="1:24">
      <c r="A1688">
        <v>1687</v>
      </c>
      <c r="B1688" s="96" t="s">
        <v>1916</v>
      </c>
      <c r="C1688" s="95">
        <v>42381</v>
      </c>
      <c r="D1688" s="82">
        <v>9385000</v>
      </c>
      <c r="E1688" s="82">
        <v>9385000</v>
      </c>
      <c r="F1688" s="82">
        <v>9445000</v>
      </c>
      <c r="G1688" s="82">
        <v>9385000</v>
      </c>
      <c r="I1688" s="97">
        <v>0</v>
      </c>
      <c r="J1688" s="97">
        <v>0</v>
      </c>
      <c r="K1688" s="97">
        <v>0</v>
      </c>
      <c r="M1688" s="7">
        <f t="shared" si="287"/>
        <v>0</v>
      </c>
      <c r="N1688" s="7">
        <f t="shared" si="296"/>
        <v>0</v>
      </c>
      <c r="O1688" s="7">
        <f t="shared" si="295"/>
        <v>-100000</v>
      </c>
      <c r="P1688" s="99">
        <f t="shared" si="288"/>
        <v>-1.0542962572482868E-2</v>
      </c>
      <c r="Q1688" s="99">
        <f t="shared" si="297"/>
        <v>9.2184487185302724E-3</v>
      </c>
      <c r="S1688" s="7">
        <f t="shared" si="289"/>
        <v>10323500</v>
      </c>
      <c r="T1688" s="7">
        <f t="shared" si="290"/>
        <v>3128333.3333333335</v>
      </c>
      <c r="U1688" s="7">
        <f t="shared" si="291"/>
        <v>11387000</v>
      </c>
      <c r="V1688" s="7">
        <f t="shared" si="292"/>
        <v>0</v>
      </c>
      <c r="W1688" s="7">
        <f t="shared" si="293"/>
        <v>0</v>
      </c>
      <c r="X1688" s="7">
        <f t="shared" si="294"/>
        <v>0</v>
      </c>
    </row>
    <row r="1689" spans="1:24">
      <c r="A1689">
        <v>1688</v>
      </c>
      <c r="B1689" s="96" t="s">
        <v>1915</v>
      </c>
      <c r="C1689" s="95">
        <v>42382</v>
      </c>
      <c r="D1689" s="82">
        <v>9345000</v>
      </c>
      <c r="E1689" s="82">
        <v>9280000</v>
      </c>
      <c r="F1689" s="82">
        <v>9355000</v>
      </c>
      <c r="G1689" s="82">
        <v>9345000</v>
      </c>
      <c r="I1689" s="97">
        <v>0</v>
      </c>
      <c r="J1689" s="97">
        <v>0</v>
      </c>
      <c r="K1689" s="97">
        <v>0</v>
      </c>
      <c r="M1689" s="7">
        <f t="shared" si="287"/>
        <v>0</v>
      </c>
      <c r="N1689" s="7">
        <f t="shared" si="296"/>
        <v>0</v>
      </c>
      <c r="O1689" s="7">
        <f t="shared" si="295"/>
        <v>-40000</v>
      </c>
      <c r="P1689" s="99">
        <f t="shared" si="288"/>
        <v>-4.2621204049014382E-3</v>
      </c>
      <c r="Q1689" s="99">
        <f t="shared" si="297"/>
        <v>-7.7074925773568548E-3</v>
      </c>
      <c r="S1689" s="7">
        <f t="shared" si="289"/>
        <v>10279500</v>
      </c>
      <c r="T1689" s="7">
        <f t="shared" si="290"/>
        <v>3115000</v>
      </c>
      <c r="U1689" s="7">
        <f t="shared" si="291"/>
        <v>11381000</v>
      </c>
      <c r="V1689" s="7">
        <f t="shared" si="292"/>
        <v>0</v>
      </c>
      <c r="W1689" s="7">
        <f t="shared" si="293"/>
        <v>0</v>
      </c>
      <c r="X1689" s="7">
        <f t="shared" si="294"/>
        <v>0</v>
      </c>
    </row>
    <row r="1690" spans="1:24">
      <c r="A1690">
        <v>1689</v>
      </c>
      <c r="B1690" s="96" t="s">
        <v>1914</v>
      </c>
      <c r="C1690" s="95">
        <v>42383</v>
      </c>
      <c r="D1690" s="82">
        <v>9305000</v>
      </c>
      <c r="E1690" s="82">
        <v>9290000</v>
      </c>
      <c r="F1690" s="82">
        <v>9345000</v>
      </c>
      <c r="G1690" s="82">
        <v>9305000</v>
      </c>
      <c r="I1690" s="97">
        <v>0</v>
      </c>
      <c r="J1690" s="97">
        <v>0</v>
      </c>
      <c r="K1690" s="97">
        <v>0</v>
      </c>
      <c r="M1690" s="7">
        <f t="shared" si="287"/>
        <v>0</v>
      </c>
      <c r="N1690" s="7">
        <f t="shared" si="296"/>
        <v>0</v>
      </c>
      <c r="O1690" s="7">
        <f t="shared" si="295"/>
        <v>-40000</v>
      </c>
      <c r="P1690" s="99">
        <f t="shared" si="288"/>
        <v>-4.2803638309256284E-3</v>
      </c>
      <c r="Q1690" s="99">
        <f t="shared" si="297"/>
        <v>-2.0426272601708609E-2</v>
      </c>
      <c r="S1690" s="7">
        <f t="shared" si="289"/>
        <v>10235500</v>
      </c>
      <c r="T1690" s="7">
        <f t="shared" si="290"/>
        <v>3101666.6666666665</v>
      </c>
      <c r="U1690" s="7">
        <f t="shared" si="291"/>
        <v>11350000</v>
      </c>
      <c r="V1690" s="7">
        <f t="shared" si="292"/>
        <v>0</v>
      </c>
      <c r="W1690" s="7">
        <f t="shared" si="293"/>
        <v>0</v>
      </c>
      <c r="X1690" s="7">
        <f t="shared" si="294"/>
        <v>0</v>
      </c>
    </row>
    <row r="1691" spans="1:24">
      <c r="A1691">
        <v>1690</v>
      </c>
      <c r="B1691" s="96" t="s">
        <v>1913</v>
      </c>
      <c r="C1691" s="95">
        <v>42385</v>
      </c>
      <c r="D1691" s="82">
        <v>9180000</v>
      </c>
      <c r="E1691" s="82">
        <v>9160000</v>
      </c>
      <c r="F1691" s="82">
        <v>9240000</v>
      </c>
      <c r="G1691" s="82">
        <v>9180000</v>
      </c>
      <c r="I1691" s="98">
        <v>0</v>
      </c>
      <c r="J1691" s="98">
        <v>0</v>
      </c>
      <c r="K1691" s="98">
        <v>0</v>
      </c>
      <c r="M1691" s="7">
        <f t="shared" si="287"/>
        <v>0</v>
      </c>
      <c r="N1691" s="7">
        <f t="shared" si="296"/>
        <v>0</v>
      </c>
      <c r="O1691" s="7">
        <f t="shared" si="295"/>
        <v>-125000</v>
      </c>
      <c r="P1691" s="99">
        <f t="shared" si="288"/>
        <v>-1.3433637829124127E-2</v>
      </c>
      <c r="Q1691" s="99">
        <f t="shared" si="297"/>
        <v>-3.6761143770160445E-2</v>
      </c>
      <c r="S1691" s="7">
        <f t="shared" si="289"/>
        <v>10098000</v>
      </c>
      <c r="T1691" s="7">
        <f t="shared" si="290"/>
        <v>3060000</v>
      </c>
      <c r="U1691" s="7">
        <f t="shared" si="291"/>
        <v>11373000</v>
      </c>
      <c r="V1691" s="7">
        <f t="shared" si="292"/>
        <v>0</v>
      </c>
      <c r="W1691" s="7">
        <f t="shared" si="293"/>
        <v>0</v>
      </c>
      <c r="X1691" s="7">
        <f t="shared" si="294"/>
        <v>0</v>
      </c>
    </row>
    <row r="1692" spans="1:24">
      <c r="A1692">
        <v>1691</v>
      </c>
      <c r="B1692" s="96" t="s">
        <v>1912</v>
      </c>
      <c r="C1692" s="95">
        <v>42386</v>
      </c>
      <c r="D1692" s="82">
        <v>9270000</v>
      </c>
      <c r="E1692" s="82">
        <v>9155000</v>
      </c>
      <c r="F1692" s="82">
        <v>9295000</v>
      </c>
      <c r="G1692" s="82">
        <v>9270000</v>
      </c>
      <c r="I1692" s="82">
        <f>G1692*1.1</f>
        <v>10197000</v>
      </c>
      <c r="J1692" s="82">
        <f>G1692/3</f>
        <v>3090000</v>
      </c>
      <c r="K1692" s="7">
        <f>G1960</f>
        <v>11387000</v>
      </c>
      <c r="L1692" s="7">
        <f>K1692-I1692</f>
        <v>1190000</v>
      </c>
      <c r="M1692" s="7">
        <f t="shared" si="287"/>
        <v>386250</v>
      </c>
      <c r="N1692" s="7">
        <f t="shared" si="296"/>
        <v>1576250</v>
      </c>
      <c r="O1692" s="7">
        <f t="shared" si="295"/>
        <v>90000</v>
      </c>
      <c r="P1692" s="99">
        <f t="shared" si="288"/>
        <v>9.8039215686274508E-3</v>
      </c>
      <c r="Q1692" s="99">
        <f t="shared" si="297"/>
        <v>-4.4498251304100733E-2</v>
      </c>
      <c r="R1692">
        <v>1</v>
      </c>
      <c r="S1692" s="7">
        <f t="shared" si="289"/>
        <v>10197000</v>
      </c>
      <c r="T1692" s="7">
        <f t="shared" si="290"/>
        <v>3090000</v>
      </c>
      <c r="U1692" s="7">
        <f t="shared" si="291"/>
        <v>11387000</v>
      </c>
      <c r="V1692" s="7">
        <f t="shared" si="292"/>
        <v>1190000</v>
      </c>
      <c r="W1692" s="7">
        <f t="shared" si="293"/>
        <v>386250</v>
      </c>
      <c r="X1692" s="7">
        <f t="shared" si="294"/>
        <v>1576250</v>
      </c>
    </row>
    <row r="1693" spans="1:24">
      <c r="A1693">
        <v>1692</v>
      </c>
      <c r="B1693" s="96" t="s">
        <v>1911</v>
      </c>
      <c r="C1693" s="95">
        <v>42387</v>
      </c>
      <c r="D1693" s="82">
        <v>9200000</v>
      </c>
      <c r="E1693" s="82">
        <v>9200000</v>
      </c>
      <c r="F1693" s="82">
        <v>9250000</v>
      </c>
      <c r="G1693" s="82">
        <v>9200000</v>
      </c>
      <c r="I1693" s="97">
        <v>0</v>
      </c>
      <c r="J1693" s="97">
        <v>0</v>
      </c>
      <c r="K1693" s="97">
        <v>0</v>
      </c>
      <c r="M1693" s="7">
        <f t="shared" si="287"/>
        <v>0</v>
      </c>
      <c r="N1693" s="7">
        <f t="shared" si="296"/>
        <v>0</v>
      </c>
      <c r="O1693" s="7">
        <f t="shared" si="295"/>
        <v>-70000</v>
      </c>
      <c r="P1693" s="99">
        <f t="shared" si="288"/>
        <v>-7.551240560949299E-3</v>
      </c>
      <c r="Q1693" s="99">
        <f t="shared" si="297"/>
        <v>-2.271516306880661E-2</v>
      </c>
      <c r="S1693" s="7">
        <f t="shared" si="289"/>
        <v>10120000</v>
      </c>
      <c r="T1693" s="7">
        <f t="shared" si="290"/>
        <v>3066666.6666666665</v>
      </c>
      <c r="U1693" s="7">
        <f t="shared" si="291"/>
        <v>11382000</v>
      </c>
      <c r="V1693" s="7">
        <f t="shared" si="292"/>
        <v>0</v>
      </c>
      <c r="W1693" s="7">
        <f t="shared" si="293"/>
        <v>0</v>
      </c>
      <c r="X1693" s="7">
        <f t="shared" si="294"/>
        <v>0</v>
      </c>
    </row>
    <row r="1694" spans="1:24">
      <c r="A1694">
        <v>1693</v>
      </c>
      <c r="B1694" s="96" t="s">
        <v>1910</v>
      </c>
      <c r="C1694" s="95">
        <v>42388</v>
      </c>
      <c r="D1694" s="82">
        <v>9200000</v>
      </c>
      <c r="E1694" s="82">
        <v>9180000</v>
      </c>
      <c r="F1694" s="82">
        <v>9230000</v>
      </c>
      <c r="G1694" s="82">
        <v>9200000</v>
      </c>
      <c r="I1694" s="97">
        <v>0</v>
      </c>
      <c r="J1694" s="97">
        <v>0</v>
      </c>
      <c r="K1694" s="97">
        <v>0</v>
      </c>
      <c r="M1694" s="7">
        <f t="shared" si="287"/>
        <v>0</v>
      </c>
      <c r="N1694" s="7">
        <f t="shared" si="296"/>
        <v>0</v>
      </c>
      <c r="O1694" s="7">
        <f t="shared" si="295"/>
        <v>0</v>
      </c>
      <c r="P1694" s="99">
        <f t="shared" si="288"/>
        <v>0</v>
      </c>
      <c r="Q1694" s="99">
        <f t="shared" si="297"/>
        <v>-1.9723441057273038E-2</v>
      </c>
      <c r="S1694" s="7">
        <f t="shared" si="289"/>
        <v>10120000</v>
      </c>
      <c r="T1694" s="7">
        <f t="shared" si="290"/>
        <v>3066666.6666666665</v>
      </c>
      <c r="U1694" s="7">
        <f t="shared" si="291"/>
        <v>11363000</v>
      </c>
      <c r="V1694" s="7">
        <f t="shared" si="292"/>
        <v>0</v>
      </c>
      <c r="W1694" s="7">
        <f t="shared" si="293"/>
        <v>0</v>
      </c>
      <c r="X1694" s="7">
        <f t="shared" si="294"/>
        <v>0</v>
      </c>
    </row>
    <row r="1695" spans="1:24">
      <c r="A1695">
        <v>1694</v>
      </c>
      <c r="B1695" s="96" t="s">
        <v>1909</v>
      </c>
      <c r="C1695" s="95">
        <v>42389</v>
      </c>
      <c r="D1695" s="82">
        <v>9300000</v>
      </c>
      <c r="E1695" s="82">
        <v>9205000</v>
      </c>
      <c r="F1695" s="82">
        <v>9300000</v>
      </c>
      <c r="G1695" s="82">
        <v>9300000</v>
      </c>
      <c r="I1695" s="97">
        <v>0</v>
      </c>
      <c r="J1695" s="97">
        <v>0</v>
      </c>
      <c r="K1695" s="97">
        <v>0</v>
      </c>
      <c r="M1695" s="7">
        <f t="shared" si="287"/>
        <v>0</v>
      </c>
      <c r="N1695" s="7">
        <f t="shared" si="296"/>
        <v>0</v>
      </c>
      <c r="O1695" s="7">
        <f t="shared" si="295"/>
        <v>100000</v>
      </c>
      <c r="P1695" s="99">
        <f t="shared" si="288"/>
        <v>1.0869565217391304E-2</v>
      </c>
      <c r="Q1695" s="99">
        <f t="shared" si="297"/>
        <v>-1.5461320652371602E-2</v>
      </c>
      <c r="S1695" s="7">
        <f t="shared" si="289"/>
        <v>10230000</v>
      </c>
      <c r="T1695" s="7">
        <f t="shared" si="290"/>
        <v>3100000</v>
      </c>
      <c r="U1695" s="7">
        <f t="shared" si="291"/>
        <v>11414000</v>
      </c>
      <c r="V1695" s="7">
        <f t="shared" si="292"/>
        <v>0</v>
      </c>
      <c r="W1695" s="7">
        <f t="shared" si="293"/>
        <v>0</v>
      </c>
      <c r="X1695" s="7">
        <f t="shared" si="294"/>
        <v>0</v>
      </c>
    </row>
    <row r="1696" spans="1:24">
      <c r="A1696">
        <v>1695</v>
      </c>
      <c r="B1696" s="96" t="s">
        <v>1908</v>
      </c>
      <c r="C1696" s="95">
        <v>42390</v>
      </c>
      <c r="D1696" s="82">
        <v>9305000</v>
      </c>
      <c r="E1696" s="82">
        <v>9300000</v>
      </c>
      <c r="F1696" s="82">
        <v>9345000</v>
      </c>
      <c r="G1696" s="82">
        <v>9305000</v>
      </c>
      <c r="I1696" s="98">
        <v>0</v>
      </c>
      <c r="J1696" s="98">
        <v>0</v>
      </c>
      <c r="K1696" s="98">
        <v>0</v>
      </c>
      <c r="M1696" s="7">
        <f t="shared" si="287"/>
        <v>0</v>
      </c>
      <c r="N1696" s="7">
        <f t="shared" si="296"/>
        <v>0</v>
      </c>
      <c r="O1696" s="7">
        <f t="shared" si="295"/>
        <v>5000</v>
      </c>
      <c r="P1696" s="99">
        <f t="shared" si="288"/>
        <v>5.3763440860215054E-4</v>
      </c>
      <c r="Q1696" s="99">
        <f t="shared" si="297"/>
        <v>-3.1139160405467201E-4</v>
      </c>
      <c r="S1696" s="7">
        <f t="shared" si="289"/>
        <v>10235500</v>
      </c>
      <c r="T1696" s="7">
        <f t="shared" si="290"/>
        <v>3101666.6666666665</v>
      </c>
      <c r="U1696" s="7">
        <f t="shared" si="291"/>
        <v>11426000</v>
      </c>
      <c r="V1696" s="7">
        <f t="shared" si="292"/>
        <v>0</v>
      </c>
      <c r="W1696" s="7">
        <f t="shared" si="293"/>
        <v>0</v>
      </c>
      <c r="X1696" s="7">
        <f t="shared" si="294"/>
        <v>0</v>
      </c>
    </row>
    <row r="1697" spans="1:24">
      <c r="A1697">
        <v>1696</v>
      </c>
      <c r="B1697" s="96" t="s">
        <v>1907</v>
      </c>
      <c r="C1697" s="95">
        <v>42392</v>
      </c>
      <c r="D1697" s="82">
        <v>9410000</v>
      </c>
      <c r="E1697" s="82">
        <v>9350000</v>
      </c>
      <c r="F1697" s="82">
        <v>9430000</v>
      </c>
      <c r="G1697" s="82">
        <v>9410000</v>
      </c>
      <c r="I1697" s="82">
        <f>G1697*1.1</f>
        <v>10351000</v>
      </c>
      <c r="J1697" s="82">
        <f>G1697/3</f>
        <v>3136666.6666666665</v>
      </c>
      <c r="K1697" s="7">
        <f>G1965</f>
        <v>11455000</v>
      </c>
      <c r="L1697" s="7">
        <f>K1697-I1697</f>
        <v>1104000</v>
      </c>
      <c r="M1697" s="7">
        <f t="shared" si="287"/>
        <v>392083.33333333326</v>
      </c>
      <c r="N1697" s="7">
        <f t="shared" si="296"/>
        <v>1496083.3333333333</v>
      </c>
      <c r="O1697" s="7">
        <f t="shared" si="295"/>
        <v>105000</v>
      </c>
      <c r="P1697" s="99">
        <f t="shared" si="288"/>
        <v>1.1284255776464266E-2</v>
      </c>
      <c r="Q1697" s="99">
        <f t="shared" si="297"/>
        <v>1.3659880633671607E-2</v>
      </c>
      <c r="R1697">
        <v>1</v>
      </c>
      <c r="S1697" s="7">
        <f t="shared" si="289"/>
        <v>10351000</v>
      </c>
      <c r="T1697" s="7">
        <f t="shared" si="290"/>
        <v>3136666.6666666665</v>
      </c>
      <c r="U1697" s="7">
        <f t="shared" si="291"/>
        <v>11455000</v>
      </c>
      <c r="V1697" s="7">
        <f t="shared" si="292"/>
        <v>1104000</v>
      </c>
      <c r="W1697" s="7">
        <f t="shared" si="293"/>
        <v>392083.33333333326</v>
      </c>
      <c r="X1697" s="7">
        <f t="shared" si="294"/>
        <v>1496083.3333333333</v>
      </c>
    </row>
    <row r="1698" spans="1:24">
      <c r="A1698">
        <v>1697</v>
      </c>
      <c r="B1698" s="96" t="s">
        <v>1906</v>
      </c>
      <c r="C1698" s="95">
        <v>42393</v>
      </c>
      <c r="D1698" s="82">
        <v>9360000</v>
      </c>
      <c r="E1698" s="82">
        <v>9360000</v>
      </c>
      <c r="F1698" s="82">
        <v>9360000</v>
      </c>
      <c r="G1698" s="82">
        <v>9360000</v>
      </c>
      <c r="I1698" s="97">
        <v>0</v>
      </c>
      <c r="J1698" s="97">
        <v>0</v>
      </c>
      <c r="K1698" s="97">
        <v>0</v>
      </c>
      <c r="M1698" s="7">
        <f t="shared" si="287"/>
        <v>0</v>
      </c>
      <c r="N1698" s="7">
        <f t="shared" si="296"/>
        <v>0</v>
      </c>
      <c r="O1698" s="7">
        <f t="shared" si="295"/>
        <v>-50000</v>
      </c>
      <c r="P1698" s="99">
        <f t="shared" si="288"/>
        <v>-5.3134962805526037E-3</v>
      </c>
      <c r="Q1698" s="99">
        <f t="shared" si="297"/>
        <v>1.5140214841508421E-2</v>
      </c>
      <c r="S1698" s="7">
        <f t="shared" si="289"/>
        <v>10296000</v>
      </c>
      <c r="T1698" s="7">
        <f t="shared" si="290"/>
        <v>3120000</v>
      </c>
      <c r="U1698" s="7">
        <f t="shared" si="291"/>
        <v>11382000</v>
      </c>
      <c r="V1698" s="7">
        <f t="shared" si="292"/>
        <v>0</v>
      </c>
      <c r="W1698" s="7">
        <f t="shared" si="293"/>
        <v>0</v>
      </c>
      <c r="X1698" s="7">
        <f t="shared" si="294"/>
        <v>0</v>
      </c>
    </row>
    <row r="1699" spans="1:24">
      <c r="A1699">
        <v>1698</v>
      </c>
      <c r="B1699" s="96" t="s">
        <v>1905</v>
      </c>
      <c r="C1699" s="95">
        <v>42394</v>
      </c>
      <c r="D1699" s="82">
        <v>9445000</v>
      </c>
      <c r="E1699" s="82">
        <v>9345000</v>
      </c>
      <c r="F1699" s="82">
        <v>9455000</v>
      </c>
      <c r="G1699" s="82">
        <v>9445000</v>
      </c>
      <c r="I1699" s="97">
        <v>0</v>
      </c>
      <c r="J1699" s="97">
        <v>0</v>
      </c>
      <c r="K1699" s="97">
        <v>0</v>
      </c>
      <c r="M1699" s="7">
        <f t="shared" si="287"/>
        <v>0</v>
      </c>
      <c r="N1699" s="7">
        <f t="shared" si="296"/>
        <v>0</v>
      </c>
      <c r="O1699" s="7">
        <f t="shared" si="295"/>
        <v>85000</v>
      </c>
      <c r="P1699" s="99">
        <f t="shared" si="288"/>
        <v>9.0811965811965819E-3</v>
      </c>
      <c r="Q1699" s="99">
        <f t="shared" si="297"/>
        <v>1.7377959121905116E-2</v>
      </c>
      <c r="S1699" s="7">
        <f t="shared" si="289"/>
        <v>10389500</v>
      </c>
      <c r="T1699" s="7">
        <f t="shared" si="290"/>
        <v>3148333.3333333335</v>
      </c>
      <c r="U1699" s="7">
        <f t="shared" si="291"/>
        <v>11387000</v>
      </c>
      <c r="V1699" s="7">
        <f t="shared" si="292"/>
        <v>0</v>
      </c>
      <c r="W1699" s="7">
        <f t="shared" si="293"/>
        <v>0</v>
      </c>
      <c r="X1699" s="7">
        <f t="shared" si="294"/>
        <v>0</v>
      </c>
    </row>
    <row r="1700" spans="1:24">
      <c r="A1700">
        <v>1699</v>
      </c>
      <c r="B1700" s="96" t="s">
        <v>1904</v>
      </c>
      <c r="C1700" s="95">
        <v>42395</v>
      </c>
      <c r="D1700" s="82">
        <v>9550000</v>
      </c>
      <c r="E1700" s="82">
        <v>9460000</v>
      </c>
      <c r="F1700" s="82">
        <v>9550000</v>
      </c>
      <c r="G1700" s="82">
        <v>9550000</v>
      </c>
      <c r="I1700" s="97">
        <v>0</v>
      </c>
      <c r="J1700" s="97">
        <v>0</v>
      </c>
      <c r="K1700" s="97">
        <v>0</v>
      </c>
      <c r="M1700" s="7">
        <f t="shared" si="287"/>
        <v>0</v>
      </c>
      <c r="N1700" s="7">
        <f t="shared" si="296"/>
        <v>0</v>
      </c>
      <c r="O1700" s="7">
        <f t="shared" si="295"/>
        <v>105000</v>
      </c>
      <c r="P1700" s="99">
        <f t="shared" si="288"/>
        <v>1.1116993118051879E-2</v>
      </c>
      <c r="Q1700" s="99">
        <f t="shared" si="297"/>
        <v>2.64591557031017E-2</v>
      </c>
      <c r="S1700" s="7">
        <f t="shared" si="289"/>
        <v>10505000</v>
      </c>
      <c r="T1700" s="7">
        <f t="shared" si="290"/>
        <v>3183333.3333333335</v>
      </c>
      <c r="U1700" s="7">
        <f t="shared" si="291"/>
        <v>11379000</v>
      </c>
      <c r="V1700" s="7">
        <f t="shared" si="292"/>
        <v>0</v>
      </c>
      <c r="W1700" s="7">
        <f t="shared" si="293"/>
        <v>0</v>
      </c>
      <c r="X1700" s="7">
        <f t="shared" si="294"/>
        <v>0</v>
      </c>
    </row>
    <row r="1701" spans="1:24">
      <c r="A1701">
        <v>1700</v>
      </c>
      <c r="B1701" s="96" t="s">
        <v>1903</v>
      </c>
      <c r="C1701" s="95">
        <v>42396</v>
      </c>
      <c r="D1701" s="82">
        <v>9490000</v>
      </c>
      <c r="E1701" s="82">
        <v>9490000</v>
      </c>
      <c r="F1701" s="82">
        <v>9585000</v>
      </c>
      <c r="G1701" s="82">
        <v>9490000</v>
      </c>
      <c r="I1701" s="98">
        <v>0</v>
      </c>
      <c r="J1701" s="98">
        <v>0</v>
      </c>
      <c r="K1701" s="98">
        <v>0</v>
      </c>
      <c r="M1701" s="7">
        <f t="shared" si="287"/>
        <v>0</v>
      </c>
      <c r="N1701" s="7">
        <f t="shared" si="296"/>
        <v>0</v>
      </c>
      <c r="O1701" s="7">
        <f t="shared" si="295"/>
        <v>-60000</v>
      </c>
      <c r="P1701" s="99">
        <f t="shared" si="288"/>
        <v>-6.2827225130890054E-3</v>
      </c>
      <c r="Q1701" s="99">
        <f t="shared" si="297"/>
        <v>2.6706583603762275E-2</v>
      </c>
      <c r="S1701" s="7">
        <f t="shared" si="289"/>
        <v>10439000</v>
      </c>
      <c r="T1701" s="7">
        <f t="shared" si="290"/>
        <v>3163333.3333333335</v>
      </c>
      <c r="U1701" s="7">
        <f t="shared" si="291"/>
        <v>11388000</v>
      </c>
      <c r="V1701" s="7">
        <f t="shared" si="292"/>
        <v>0</v>
      </c>
      <c r="W1701" s="7">
        <f t="shared" si="293"/>
        <v>0</v>
      </c>
      <c r="X1701" s="7">
        <f t="shared" si="294"/>
        <v>0</v>
      </c>
    </row>
    <row r="1702" spans="1:24">
      <c r="A1702">
        <v>1701</v>
      </c>
      <c r="B1702" s="96" t="s">
        <v>1902</v>
      </c>
      <c r="C1702" s="95">
        <v>42397</v>
      </c>
      <c r="D1702" s="82">
        <v>9445000</v>
      </c>
      <c r="E1702" s="82">
        <v>9445000</v>
      </c>
      <c r="F1702" s="82">
        <v>9520000</v>
      </c>
      <c r="G1702" s="82">
        <v>9445000</v>
      </c>
      <c r="I1702" s="82">
        <f>G1702*1.1</f>
        <v>10389500</v>
      </c>
      <c r="J1702" s="82">
        <f>G1702/3</f>
        <v>3148333.3333333335</v>
      </c>
      <c r="K1702" s="7">
        <f>G1970</f>
        <v>11412000</v>
      </c>
      <c r="L1702" s="7">
        <f>K1702-I1702</f>
        <v>1022500</v>
      </c>
      <c r="M1702" s="7">
        <f t="shared" si="287"/>
        <v>393541.66666666674</v>
      </c>
      <c r="N1702" s="7">
        <f t="shared" si="296"/>
        <v>1416041.6666666667</v>
      </c>
      <c r="O1702" s="7">
        <f t="shared" si="295"/>
        <v>-45000</v>
      </c>
      <c r="P1702" s="99">
        <f t="shared" si="288"/>
        <v>-4.7418335089567968E-3</v>
      </c>
      <c r="Q1702" s="99">
        <f t="shared" si="297"/>
        <v>1.9886226682071118E-2</v>
      </c>
      <c r="R1702">
        <v>1</v>
      </c>
      <c r="S1702" s="7">
        <f t="shared" si="289"/>
        <v>10389500</v>
      </c>
      <c r="T1702" s="7">
        <f t="shared" si="290"/>
        <v>3148333.3333333335</v>
      </c>
      <c r="U1702" s="7">
        <f t="shared" si="291"/>
        <v>11412000</v>
      </c>
      <c r="V1702" s="7">
        <f t="shared" si="292"/>
        <v>1022500</v>
      </c>
      <c r="W1702" s="7">
        <f t="shared" si="293"/>
        <v>393541.66666666674</v>
      </c>
      <c r="X1702" s="7">
        <f t="shared" si="294"/>
        <v>1416041.6666666667</v>
      </c>
    </row>
    <row r="1703" spans="1:24">
      <c r="A1703">
        <v>1702</v>
      </c>
      <c r="B1703" s="96" t="s">
        <v>1901</v>
      </c>
      <c r="C1703" s="95">
        <v>42399</v>
      </c>
      <c r="D1703" s="82">
        <v>9460000</v>
      </c>
      <c r="E1703" s="82">
        <v>9455000</v>
      </c>
      <c r="F1703" s="82">
        <v>9510000</v>
      </c>
      <c r="G1703" s="82">
        <v>9460000</v>
      </c>
      <c r="I1703" s="97">
        <v>0</v>
      </c>
      <c r="J1703" s="97">
        <v>0</v>
      </c>
      <c r="K1703" s="97">
        <v>0</v>
      </c>
      <c r="M1703" s="7">
        <f t="shared" si="287"/>
        <v>0</v>
      </c>
      <c r="N1703" s="7">
        <f t="shared" si="296"/>
        <v>0</v>
      </c>
      <c r="O1703" s="7">
        <f t="shared" si="295"/>
        <v>15000</v>
      </c>
      <c r="P1703" s="99">
        <f t="shared" si="288"/>
        <v>1.5881418740074113E-3</v>
      </c>
      <c r="Q1703" s="99">
        <f t="shared" si="297"/>
        <v>3.8601373966500535E-3</v>
      </c>
      <c r="S1703" s="7">
        <f t="shared" si="289"/>
        <v>10406000</v>
      </c>
      <c r="T1703" s="7">
        <f t="shared" si="290"/>
        <v>3153333.3333333335</v>
      </c>
      <c r="U1703" s="7">
        <f t="shared" si="291"/>
        <v>11461000</v>
      </c>
      <c r="V1703" s="7">
        <f t="shared" si="292"/>
        <v>0</v>
      </c>
      <c r="W1703" s="7">
        <f t="shared" si="293"/>
        <v>0</v>
      </c>
      <c r="X1703" s="7">
        <f t="shared" si="294"/>
        <v>0</v>
      </c>
    </row>
    <row r="1704" spans="1:24">
      <c r="A1704">
        <v>1703</v>
      </c>
      <c r="B1704" s="96" t="s">
        <v>1900</v>
      </c>
      <c r="C1704" s="95">
        <v>42400</v>
      </c>
      <c r="D1704" s="82">
        <v>9490000</v>
      </c>
      <c r="E1704" s="82">
        <v>9440000</v>
      </c>
      <c r="F1704" s="82">
        <v>9490000</v>
      </c>
      <c r="G1704" s="82">
        <v>9490000</v>
      </c>
      <c r="I1704" s="97">
        <v>0</v>
      </c>
      <c r="J1704" s="97">
        <v>0</v>
      </c>
      <c r="K1704" s="97">
        <v>0</v>
      </c>
      <c r="M1704" s="7">
        <f t="shared" si="287"/>
        <v>0</v>
      </c>
      <c r="N1704" s="7">
        <f t="shared" si="296"/>
        <v>0</v>
      </c>
      <c r="O1704" s="7">
        <f t="shared" si="295"/>
        <v>30000</v>
      </c>
      <c r="P1704" s="99">
        <f t="shared" si="288"/>
        <v>3.1712473572938688E-3</v>
      </c>
      <c r="Q1704" s="99">
        <f t="shared" si="297"/>
        <v>1.076177555121007E-2</v>
      </c>
      <c r="S1704" s="7">
        <f t="shared" si="289"/>
        <v>10439000</v>
      </c>
      <c r="T1704" s="7">
        <f t="shared" si="290"/>
        <v>3163333.3333333335</v>
      </c>
      <c r="U1704" s="7">
        <f t="shared" si="291"/>
        <v>11477000</v>
      </c>
      <c r="V1704" s="7">
        <f t="shared" si="292"/>
        <v>0</v>
      </c>
      <c r="W1704" s="7">
        <f t="shared" si="293"/>
        <v>0</v>
      </c>
      <c r="X1704" s="7">
        <f t="shared" si="294"/>
        <v>0</v>
      </c>
    </row>
    <row r="1705" spans="1:24">
      <c r="A1705">
        <v>1704</v>
      </c>
      <c r="B1705" s="96" t="s">
        <v>1899</v>
      </c>
      <c r="C1705" s="95">
        <v>42401</v>
      </c>
      <c r="D1705" s="82">
        <v>9550000</v>
      </c>
      <c r="E1705" s="82">
        <v>9510000</v>
      </c>
      <c r="F1705" s="82">
        <v>9565000</v>
      </c>
      <c r="G1705" s="82">
        <v>9550000</v>
      </c>
      <c r="I1705" s="97">
        <v>0</v>
      </c>
      <c r="J1705" s="97">
        <v>0</v>
      </c>
      <c r="K1705" s="97">
        <v>0</v>
      </c>
      <c r="M1705" s="7">
        <f t="shared" si="287"/>
        <v>0</v>
      </c>
      <c r="N1705" s="7">
        <f t="shared" si="296"/>
        <v>0</v>
      </c>
      <c r="O1705" s="7">
        <f t="shared" si="295"/>
        <v>60000</v>
      </c>
      <c r="P1705" s="99">
        <f t="shared" si="288"/>
        <v>6.3224446786090622E-3</v>
      </c>
      <c r="Q1705" s="99">
        <f t="shared" si="297"/>
        <v>4.8518263273073575E-3</v>
      </c>
      <c r="S1705" s="7">
        <f t="shared" si="289"/>
        <v>10505000</v>
      </c>
      <c r="T1705" s="7">
        <f t="shared" si="290"/>
        <v>3183333.3333333335</v>
      </c>
      <c r="U1705" s="7">
        <f t="shared" si="291"/>
        <v>11568000</v>
      </c>
      <c r="V1705" s="7">
        <f t="shared" si="292"/>
        <v>0</v>
      </c>
      <c r="W1705" s="7">
        <f t="shared" si="293"/>
        <v>0</v>
      </c>
      <c r="X1705" s="7">
        <f t="shared" si="294"/>
        <v>0</v>
      </c>
    </row>
    <row r="1706" spans="1:24">
      <c r="A1706">
        <v>1705</v>
      </c>
      <c r="B1706" s="96" t="s">
        <v>1898</v>
      </c>
      <c r="C1706" s="95">
        <v>42402</v>
      </c>
      <c r="D1706" s="82">
        <v>9550000</v>
      </c>
      <c r="E1706" s="82">
        <v>9540000</v>
      </c>
      <c r="F1706" s="82">
        <v>9575000</v>
      </c>
      <c r="G1706" s="82">
        <v>9550000</v>
      </c>
      <c r="I1706" s="98">
        <v>0</v>
      </c>
      <c r="J1706" s="98">
        <v>0</v>
      </c>
      <c r="K1706" s="98">
        <v>0</v>
      </c>
      <c r="M1706" s="7">
        <f t="shared" si="287"/>
        <v>0</v>
      </c>
      <c r="N1706" s="7">
        <f t="shared" si="296"/>
        <v>0</v>
      </c>
      <c r="O1706" s="7">
        <f t="shared" si="295"/>
        <v>0</v>
      </c>
      <c r="P1706" s="99">
        <f t="shared" si="288"/>
        <v>0</v>
      </c>
      <c r="Q1706" s="99">
        <f t="shared" si="297"/>
        <v>5.7277887864539377E-5</v>
      </c>
      <c r="S1706" s="7">
        <f t="shared" si="289"/>
        <v>10505000</v>
      </c>
      <c r="T1706" s="7">
        <f t="shared" si="290"/>
        <v>3183333.3333333335</v>
      </c>
      <c r="U1706" s="7">
        <f t="shared" si="291"/>
        <v>11713000</v>
      </c>
      <c r="V1706" s="7">
        <f t="shared" si="292"/>
        <v>0</v>
      </c>
      <c r="W1706" s="7">
        <f t="shared" si="293"/>
        <v>0</v>
      </c>
      <c r="X1706" s="7">
        <f t="shared" si="294"/>
        <v>0</v>
      </c>
    </row>
    <row r="1707" spans="1:24">
      <c r="A1707">
        <v>1706</v>
      </c>
      <c r="B1707" s="96" t="s">
        <v>1897</v>
      </c>
      <c r="C1707" s="95">
        <v>42403</v>
      </c>
      <c r="D1707" s="82">
        <v>9585000</v>
      </c>
      <c r="E1707" s="82">
        <v>9535000</v>
      </c>
      <c r="F1707" s="82">
        <v>9585000</v>
      </c>
      <c r="G1707" s="82">
        <v>9585000</v>
      </c>
      <c r="I1707" s="82">
        <f>G1707*1.1</f>
        <v>10543500</v>
      </c>
      <c r="J1707" s="82">
        <f>G1707/3</f>
        <v>3195000</v>
      </c>
      <c r="K1707" s="7">
        <f>G1975</f>
        <v>11864000</v>
      </c>
      <c r="L1707" s="7">
        <f>K1707-I1707</f>
        <v>1320500</v>
      </c>
      <c r="M1707" s="7">
        <f t="shared" si="287"/>
        <v>399375</v>
      </c>
      <c r="N1707" s="7">
        <f t="shared" si="296"/>
        <v>1719875</v>
      </c>
      <c r="O1707" s="7">
        <f t="shared" si="295"/>
        <v>35000</v>
      </c>
      <c r="P1707" s="99">
        <f t="shared" si="288"/>
        <v>3.6649214659685864E-3</v>
      </c>
      <c r="Q1707" s="99">
        <f t="shared" si="297"/>
        <v>6.3400004009535448E-3</v>
      </c>
      <c r="R1707">
        <v>1</v>
      </c>
      <c r="S1707" s="7">
        <f t="shared" si="289"/>
        <v>10543500</v>
      </c>
      <c r="T1707" s="7">
        <f t="shared" si="290"/>
        <v>3195000</v>
      </c>
      <c r="U1707" s="7">
        <f t="shared" si="291"/>
        <v>11864000</v>
      </c>
      <c r="V1707" s="7">
        <f t="shared" si="292"/>
        <v>1320500</v>
      </c>
      <c r="W1707" s="7">
        <f t="shared" si="293"/>
        <v>399375</v>
      </c>
      <c r="X1707" s="7">
        <f t="shared" si="294"/>
        <v>1719875</v>
      </c>
    </row>
    <row r="1708" spans="1:24">
      <c r="A1708">
        <v>1707</v>
      </c>
      <c r="B1708" s="96" t="s">
        <v>1896</v>
      </c>
      <c r="C1708" s="95">
        <v>42404</v>
      </c>
      <c r="D1708" s="82">
        <v>9665000</v>
      </c>
      <c r="E1708" s="82">
        <v>9580000</v>
      </c>
      <c r="F1708" s="82">
        <v>9665000</v>
      </c>
      <c r="G1708" s="82">
        <v>9665000</v>
      </c>
      <c r="I1708" s="97">
        <v>0</v>
      </c>
      <c r="J1708" s="97">
        <v>0</v>
      </c>
      <c r="K1708" s="97">
        <v>0</v>
      </c>
      <c r="M1708" s="7">
        <f t="shared" si="287"/>
        <v>0</v>
      </c>
      <c r="N1708" s="7">
        <f t="shared" si="296"/>
        <v>0</v>
      </c>
      <c r="O1708" s="7">
        <f t="shared" si="295"/>
        <v>80000</v>
      </c>
      <c r="P1708" s="99">
        <f t="shared" si="288"/>
        <v>8.3463745435576418E-3</v>
      </c>
      <c r="Q1708" s="99">
        <f t="shared" si="297"/>
        <v>1.4746755375878929E-2</v>
      </c>
      <c r="S1708" s="7">
        <f t="shared" si="289"/>
        <v>10631500</v>
      </c>
      <c r="T1708" s="7">
        <f t="shared" si="290"/>
        <v>3221666.6666666665</v>
      </c>
      <c r="U1708" s="7">
        <f t="shared" si="291"/>
        <v>12163000</v>
      </c>
      <c r="V1708" s="7">
        <f t="shared" si="292"/>
        <v>0</v>
      </c>
      <c r="W1708" s="7">
        <f t="shared" si="293"/>
        <v>0</v>
      </c>
      <c r="X1708" s="7">
        <f t="shared" si="294"/>
        <v>0</v>
      </c>
    </row>
    <row r="1709" spans="1:24">
      <c r="A1709">
        <v>1708</v>
      </c>
      <c r="B1709" s="96" t="s">
        <v>1895</v>
      </c>
      <c r="C1709" s="95">
        <v>42406</v>
      </c>
      <c r="D1709" s="82">
        <v>9845000</v>
      </c>
      <c r="E1709" s="82">
        <v>9810000</v>
      </c>
      <c r="F1709" s="82">
        <v>9870000</v>
      </c>
      <c r="G1709" s="82">
        <v>9845000</v>
      </c>
      <c r="I1709" s="97">
        <v>0</v>
      </c>
      <c r="J1709" s="97">
        <v>0</v>
      </c>
      <c r="K1709" s="97">
        <v>0</v>
      </c>
      <c r="M1709" s="7">
        <f t="shared" si="287"/>
        <v>0</v>
      </c>
      <c r="N1709" s="7">
        <f t="shared" si="296"/>
        <v>0</v>
      </c>
      <c r="O1709" s="7">
        <f t="shared" si="295"/>
        <v>180000</v>
      </c>
      <c r="P1709" s="99">
        <f t="shared" si="288"/>
        <v>1.8623900672529746E-2</v>
      </c>
      <c r="Q1709" s="99">
        <f t="shared" si="297"/>
        <v>2.150498804542916E-2</v>
      </c>
      <c r="S1709" s="7">
        <f t="shared" si="289"/>
        <v>10829500</v>
      </c>
      <c r="T1709" s="7">
        <f t="shared" si="290"/>
        <v>3281666.6666666665</v>
      </c>
      <c r="U1709" s="7">
        <f t="shared" si="291"/>
        <v>11885000</v>
      </c>
      <c r="V1709" s="7">
        <f t="shared" si="292"/>
        <v>0</v>
      </c>
      <c r="W1709" s="7">
        <f t="shared" si="293"/>
        <v>0</v>
      </c>
      <c r="X1709" s="7">
        <f t="shared" si="294"/>
        <v>0</v>
      </c>
    </row>
    <row r="1710" spans="1:24">
      <c r="A1710">
        <v>1709</v>
      </c>
      <c r="B1710" s="96" t="s">
        <v>1894</v>
      </c>
      <c r="C1710" s="95">
        <v>42407</v>
      </c>
      <c r="D1710" s="82">
        <v>9725000</v>
      </c>
      <c r="E1710" s="82">
        <v>9725000</v>
      </c>
      <c r="F1710" s="82">
        <v>9895000</v>
      </c>
      <c r="G1710" s="82">
        <v>9725000</v>
      </c>
      <c r="I1710" s="97">
        <v>0</v>
      </c>
      <c r="J1710" s="97">
        <v>0</v>
      </c>
      <c r="K1710" s="97">
        <v>0</v>
      </c>
      <c r="M1710" s="7">
        <f t="shared" si="287"/>
        <v>0</v>
      </c>
      <c r="N1710" s="7">
        <f t="shared" si="296"/>
        <v>0</v>
      </c>
      <c r="O1710" s="7">
        <f t="shared" si="295"/>
        <v>-120000</v>
      </c>
      <c r="P1710" s="99">
        <f t="shared" si="288"/>
        <v>-1.2188928390045709E-2</v>
      </c>
      <c r="Q1710" s="99">
        <f t="shared" si="297"/>
        <v>3.6957641360665039E-2</v>
      </c>
      <c r="S1710" s="7">
        <f t="shared" si="289"/>
        <v>10697500</v>
      </c>
      <c r="T1710" s="7">
        <f t="shared" si="290"/>
        <v>3241666.6666666665</v>
      </c>
      <c r="U1710" s="7">
        <f t="shared" si="291"/>
        <v>11682000</v>
      </c>
      <c r="V1710" s="7">
        <f t="shared" si="292"/>
        <v>0</v>
      </c>
      <c r="W1710" s="7">
        <f t="shared" si="293"/>
        <v>0</v>
      </c>
      <c r="X1710" s="7">
        <f t="shared" si="294"/>
        <v>0</v>
      </c>
    </row>
    <row r="1711" spans="1:24">
      <c r="A1711">
        <v>1710</v>
      </c>
      <c r="B1711" s="96" t="s">
        <v>1893</v>
      </c>
      <c r="C1711" s="95">
        <v>42408</v>
      </c>
      <c r="D1711" s="82">
        <v>9865000</v>
      </c>
      <c r="E1711" s="82">
        <v>9630000</v>
      </c>
      <c r="F1711" s="82">
        <v>9875000</v>
      </c>
      <c r="G1711" s="82">
        <v>9865000</v>
      </c>
      <c r="I1711" s="98">
        <v>0</v>
      </c>
      <c r="J1711" s="98">
        <v>0</v>
      </c>
      <c r="K1711" s="98">
        <v>0</v>
      </c>
      <c r="M1711" s="7">
        <f t="shared" si="287"/>
        <v>0</v>
      </c>
      <c r="N1711" s="7">
        <f t="shared" si="296"/>
        <v>0</v>
      </c>
      <c r="O1711" s="7">
        <f t="shared" si="295"/>
        <v>140000</v>
      </c>
      <c r="P1711" s="99">
        <f t="shared" si="288"/>
        <v>1.4395886889460155E-2</v>
      </c>
      <c r="Q1711" s="99">
        <f t="shared" si="297"/>
        <v>1.8446268292010265E-2</v>
      </c>
      <c r="S1711" s="7">
        <f t="shared" si="289"/>
        <v>10851500</v>
      </c>
      <c r="T1711" s="7">
        <f t="shared" si="290"/>
        <v>3288333.3333333335</v>
      </c>
      <c r="U1711" s="7">
        <f t="shared" si="291"/>
        <v>11302000</v>
      </c>
      <c r="V1711" s="7">
        <f t="shared" si="292"/>
        <v>0</v>
      </c>
      <c r="W1711" s="7">
        <f t="shared" si="293"/>
        <v>0</v>
      </c>
      <c r="X1711" s="7">
        <f t="shared" si="294"/>
        <v>0</v>
      </c>
    </row>
    <row r="1712" spans="1:24">
      <c r="A1712">
        <v>1711</v>
      </c>
      <c r="B1712" s="96" t="s">
        <v>1892</v>
      </c>
      <c r="C1712" s="95">
        <v>42409</v>
      </c>
      <c r="D1712" s="82">
        <v>9795000</v>
      </c>
      <c r="E1712" s="82">
        <v>9775000</v>
      </c>
      <c r="F1712" s="82">
        <v>9870000</v>
      </c>
      <c r="G1712" s="82">
        <v>9795000</v>
      </c>
      <c r="I1712" s="82">
        <f>G1712*1.1</f>
        <v>10774500</v>
      </c>
      <c r="J1712" s="82">
        <f>G1712/3</f>
        <v>3265000</v>
      </c>
      <c r="K1712" s="7">
        <f>G1980</f>
        <v>11460000</v>
      </c>
      <c r="L1712" s="7">
        <f>K1712-I1712</f>
        <v>685500</v>
      </c>
      <c r="M1712" s="7">
        <f t="shared" si="287"/>
        <v>408125</v>
      </c>
      <c r="N1712" s="7">
        <f t="shared" si="296"/>
        <v>1093625</v>
      </c>
      <c r="O1712" s="7">
        <f t="shared" si="295"/>
        <v>-70000</v>
      </c>
      <c r="P1712" s="99">
        <f t="shared" si="288"/>
        <v>-7.0957932083122151E-3</v>
      </c>
      <c r="Q1712" s="99">
        <f t="shared" si="297"/>
        <v>3.284215518147042E-2</v>
      </c>
      <c r="R1712">
        <v>1</v>
      </c>
      <c r="S1712" s="7">
        <f t="shared" si="289"/>
        <v>10774500</v>
      </c>
      <c r="T1712" s="7">
        <f t="shared" si="290"/>
        <v>3265000</v>
      </c>
      <c r="U1712" s="7">
        <f t="shared" si="291"/>
        <v>11460000</v>
      </c>
      <c r="V1712" s="7">
        <f t="shared" si="292"/>
        <v>685500</v>
      </c>
      <c r="W1712" s="7">
        <f t="shared" si="293"/>
        <v>408125</v>
      </c>
      <c r="X1712" s="7">
        <f t="shared" si="294"/>
        <v>1093625</v>
      </c>
    </row>
    <row r="1713" spans="1:24">
      <c r="A1713">
        <v>1712</v>
      </c>
      <c r="B1713" s="96" t="s">
        <v>1891</v>
      </c>
      <c r="C1713" s="95">
        <v>42410</v>
      </c>
      <c r="D1713" s="82">
        <v>9770000</v>
      </c>
      <c r="E1713" s="82">
        <v>9720000</v>
      </c>
      <c r="F1713" s="82">
        <v>9775000</v>
      </c>
      <c r="G1713" s="82">
        <v>9770000</v>
      </c>
      <c r="I1713" s="97">
        <v>0</v>
      </c>
      <c r="J1713" s="97">
        <v>0</v>
      </c>
      <c r="K1713" s="97">
        <v>0</v>
      </c>
      <c r="M1713" s="7">
        <f t="shared" si="287"/>
        <v>0</v>
      </c>
      <c r="N1713" s="7">
        <f t="shared" si="296"/>
        <v>0</v>
      </c>
      <c r="O1713" s="7">
        <f t="shared" si="295"/>
        <v>-25000</v>
      </c>
      <c r="P1713" s="99">
        <f t="shared" si="288"/>
        <v>-2.5523226135783562E-3</v>
      </c>
      <c r="Q1713" s="99">
        <f t="shared" si="297"/>
        <v>2.2081440507189617E-2</v>
      </c>
      <c r="S1713" s="7">
        <f t="shared" si="289"/>
        <v>10747000</v>
      </c>
      <c r="T1713" s="7">
        <f t="shared" si="290"/>
        <v>3256666.6666666665</v>
      </c>
      <c r="U1713" s="7">
        <f t="shared" si="291"/>
        <v>11565000</v>
      </c>
      <c r="V1713" s="7">
        <f t="shared" si="292"/>
        <v>0</v>
      </c>
      <c r="W1713" s="7">
        <f t="shared" si="293"/>
        <v>0</v>
      </c>
      <c r="X1713" s="7">
        <f t="shared" si="294"/>
        <v>0</v>
      </c>
    </row>
    <row r="1714" spans="1:24">
      <c r="A1714">
        <v>1713</v>
      </c>
      <c r="B1714" s="96" t="s">
        <v>1890</v>
      </c>
      <c r="C1714" s="95">
        <v>42413</v>
      </c>
      <c r="D1714" s="82">
        <v>10055000</v>
      </c>
      <c r="E1714" s="82">
        <v>10035000</v>
      </c>
      <c r="F1714" s="82">
        <v>10115000</v>
      </c>
      <c r="G1714" s="82">
        <v>10055000</v>
      </c>
      <c r="I1714" s="97">
        <v>0</v>
      </c>
      <c r="J1714" s="97">
        <v>0</v>
      </c>
      <c r="K1714" s="97">
        <v>0</v>
      </c>
      <c r="M1714" s="7">
        <f t="shared" si="287"/>
        <v>0</v>
      </c>
      <c r="N1714" s="7">
        <f t="shared" si="296"/>
        <v>0</v>
      </c>
      <c r="O1714" s="7">
        <f t="shared" si="295"/>
        <v>285000</v>
      </c>
      <c r="P1714" s="99">
        <f t="shared" si="288"/>
        <v>2.9170931422722621E-2</v>
      </c>
      <c r="Q1714" s="99">
        <f t="shared" si="297"/>
        <v>1.1182743350053622E-2</v>
      </c>
      <c r="S1714" s="7">
        <f t="shared" si="289"/>
        <v>11060500</v>
      </c>
      <c r="T1714" s="7">
        <f t="shared" si="290"/>
        <v>3351666.6666666665</v>
      </c>
      <c r="U1714" s="7">
        <f t="shared" si="291"/>
        <v>11557000</v>
      </c>
      <c r="V1714" s="7">
        <f t="shared" si="292"/>
        <v>0</v>
      </c>
      <c r="W1714" s="7">
        <f t="shared" si="293"/>
        <v>0</v>
      </c>
      <c r="X1714" s="7">
        <f t="shared" si="294"/>
        <v>0</v>
      </c>
    </row>
    <row r="1715" spans="1:24">
      <c r="A1715">
        <v>1714</v>
      </c>
      <c r="B1715" s="96" t="s">
        <v>1889</v>
      </c>
      <c r="C1715" s="95">
        <v>42414</v>
      </c>
      <c r="D1715" s="82">
        <v>9995000</v>
      </c>
      <c r="E1715" s="82">
        <v>9995000</v>
      </c>
      <c r="F1715" s="82">
        <v>10065000</v>
      </c>
      <c r="G1715" s="82">
        <v>9995000</v>
      </c>
      <c r="I1715" s="97">
        <v>0</v>
      </c>
      <c r="J1715" s="97">
        <v>0</v>
      </c>
      <c r="K1715" s="97">
        <v>0</v>
      </c>
      <c r="M1715" s="7">
        <f t="shared" si="287"/>
        <v>0</v>
      </c>
      <c r="N1715" s="7">
        <f t="shared" si="296"/>
        <v>0</v>
      </c>
      <c r="O1715" s="7">
        <f t="shared" si="295"/>
        <v>-60000</v>
      </c>
      <c r="P1715" s="99">
        <f t="shared" si="288"/>
        <v>-5.9671805072103431E-3</v>
      </c>
      <c r="Q1715" s="99">
        <f t="shared" si="297"/>
        <v>2.1729774100246495E-2</v>
      </c>
      <c r="S1715" s="7">
        <f t="shared" si="289"/>
        <v>10994500</v>
      </c>
      <c r="T1715" s="7">
        <f t="shared" si="290"/>
        <v>3331666.6666666665</v>
      </c>
      <c r="U1715" s="7">
        <f t="shared" si="291"/>
        <v>11627000</v>
      </c>
      <c r="V1715" s="7">
        <f t="shared" si="292"/>
        <v>0</v>
      </c>
      <c r="W1715" s="7">
        <f t="shared" si="293"/>
        <v>0</v>
      </c>
      <c r="X1715" s="7">
        <f t="shared" si="294"/>
        <v>0</v>
      </c>
    </row>
    <row r="1716" spans="1:24">
      <c r="A1716">
        <v>1715</v>
      </c>
      <c r="B1716" s="96" t="s">
        <v>1888</v>
      </c>
      <c r="C1716" s="95">
        <v>42415</v>
      </c>
      <c r="D1716" s="82">
        <v>9760000</v>
      </c>
      <c r="E1716" s="82">
        <v>9730000</v>
      </c>
      <c r="F1716" s="82">
        <v>9900000</v>
      </c>
      <c r="G1716" s="82">
        <v>9760000</v>
      </c>
      <c r="I1716" s="98">
        <v>0</v>
      </c>
      <c r="J1716" s="98">
        <v>0</v>
      </c>
      <c r="K1716" s="98">
        <v>0</v>
      </c>
      <c r="M1716" s="7">
        <f t="shared" si="287"/>
        <v>0</v>
      </c>
      <c r="N1716" s="7">
        <f t="shared" si="296"/>
        <v>0</v>
      </c>
      <c r="O1716" s="7">
        <f t="shared" si="295"/>
        <v>-235000</v>
      </c>
      <c r="P1716" s="99">
        <f t="shared" si="288"/>
        <v>-2.351175587793897E-2</v>
      </c>
      <c r="Q1716" s="99">
        <f t="shared" si="297"/>
        <v>2.7951521983081862E-2</v>
      </c>
      <c r="S1716" s="7">
        <f t="shared" si="289"/>
        <v>10736000</v>
      </c>
      <c r="T1716" s="7">
        <f t="shared" si="290"/>
        <v>3253333.3333333335</v>
      </c>
      <c r="U1716" s="7">
        <f t="shared" si="291"/>
        <v>11740000</v>
      </c>
      <c r="V1716" s="7">
        <f t="shared" si="292"/>
        <v>0</v>
      </c>
      <c r="W1716" s="7">
        <f t="shared" si="293"/>
        <v>0</v>
      </c>
      <c r="X1716" s="7">
        <f t="shared" si="294"/>
        <v>0</v>
      </c>
    </row>
    <row r="1717" spans="1:24">
      <c r="A1717">
        <v>1716</v>
      </c>
      <c r="B1717" s="96" t="s">
        <v>1887</v>
      </c>
      <c r="C1717" s="95">
        <v>42416</v>
      </c>
      <c r="D1717" s="82">
        <v>9785000</v>
      </c>
      <c r="E1717" s="82">
        <v>9635000</v>
      </c>
      <c r="F1717" s="82">
        <v>9810000</v>
      </c>
      <c r="G1717" s="82">
        <v>9785000</v>
      </c>
      <c r="I1717" s="82">
        <f>G1717*1.1</f>
        <v>10763500</v>
      </c>
      <c r="J1717" s="82">
        <f>G1717/3</f>
        <v>3261666.6666666665</v>
      </c>
      <c r="K1717" s="7">
        <f>G1985</f>
        <v>11887000</v>
      </c>
      <c r="L1717" s="7">
        <f>K1717-I1717</f>
        <v>1123500</v>
      </c>
      <c r="M1717" s="7">
        <f t="shared" si="287"/>
        <v>407708.33333333326</v>
      </c>
      <c r="N1717" s="7">
        <f t="shared" si="296"/>
        <v>1531208.3333333333</v>
      </c>
      <c r="O1717" s="7">
        <f t="shared" si="295"/>
        <v>25000</v>
      </c>
      <c r="P1717" s="99">
        <f t="shared" si="288"/>
        <v>2.5614754098360654E-3</v>
      </c>
      <c r="Q1717" s="99">
        <f t="shared" si="297"/>
        <v>-9.9561207843172628E-3</v>
      </c>
      <c r="R1717">
        <v>1</v>
      </c>
      <c r="S1717" s="7">
        <f t="shared" si="289"/>
        <v>10763500</v>
      </c>
      <c r="T1717" s="7">
        <f t="shared" si="290"/>
        <v>3261666.6666666665</v>
      </c>
      <c r="U1717" s="7">
        <f t="shared" si="291"/>
        <v>11887000</v>
      </c>
      <c r="V1717" s="7">
        <f t="shared" si="292"/>
        <v>1123500</v>
      </c>
      <c r="W1717" s="7">
        <f t="shared" si="293"/>
        <v>407708.33333333326</v>
      </c>
      <c r="X1717" s="7">
        <f t="shared" si="294"/>
        <v>1531208.3333333333</v>
      </c>
    </row>
    <row r="1718" spans="1:24">
      <c r="A1718">
        <v>1717</v>
      </c>
      <c r="B1718" s="96" t="s">
        <v>1886</v>
      </c>
      <c r="C1718" s="95">
        <v>42417</v>
      </c>
      <c r="D1718" s="82">
        <v>9865000</v>
      </c>
      <c r="E1718" s="82">
        <v>9735000</v>
      </c>
      <c r="F1718" s="82">
        <v>9865000</v>
      </c>
      <c r="G1718" s="82">
        <v>9865000</v>
      </c>
      <c r="I1718" s="97">
        <v>0</v>
      </c>
      <c r="J1718" s="97">
        <v>0</v>
      </c>
      <c r="K1718" s="97">
        <v>0</v>
      </c>
      <c r="M1718" s="7">
        <f t="shared" si="287"/>
        <v>0</v>
      </c>
      <c r="N1718" s="7">
        <f t="shared" si="296"/>
        <v>0</v>
      </c>
      <c r="O1718" s="7">
        <f t="shared" si="295"/>
        <v>80000</v>
      </c>
      <c r="P1718" s="99">
        <f t="shared" si="288"/>
        <v>8.1757792539601439E-3</v>
      </c>
      <c r="Q1718" s="99">
        <f t="shared" si="297"/>
        <v>-2.9885216616898315E-4</v>
      </c>
      <c r="S1718" s="7">
        <f t="shared" si="289"/>
        <v>10851500</v>
      </c>
      <c r="T1718" s="7">
        <f t="shared" si="290"/>
        <v>3288333.3333333335</v>
      </c>
      <c r="U1718" s="7">
        <f t="shared" si="291"/>
        <v>11804000</v>
      </c>
      <c r="V1718" s="7">
        <f t="shared" si="292"/>
        <v>0</v>
      </c>
      <c r="W1718" s="7">
        <f t="shared" si="293"/>
        <v>0</v>
      </c>
      <c r="X1718" s="7">
        <f t="shared" si="294"/>
        <v>0</v>
      </c>
    </row>
    <row r="1719" spans="1:24">
      <c r="A1719">
        <v>1718</v>
      </c>
      <c r="B1719" s="96" t="s">
        <v>1885</v>
      </c>
      <c r="C1719" s="95">
        <v>42418</v>
      </c>
      <c r="D1719" s="82">
        <v>9890000</v>
      </c>
      <c r="E1719" s="82">
        <v>9825000</v>
      </c>
      <c r="F1719" s="82">
        <v>9895000</v>
      </c>
      <c r="G1719" s="82">
        <v>9890000</v>
      </c>
      <c r="I1719" s="97">
        <v>0</v>
      </c>
      <c r="J1719" s="97">
        <v>0</v>
      </c>
      <c r="K1719" s="97">
        <v>0</v>
      </c>
      <c r="M1719" s="7">
        <f t="shared" si="287"/>
        <v>0</v>
      </c>
      <c r="N1719" s="7">
        <f t="shared" si="296"/>
        <v>0</v>
      </c>
      <c r="O1719" s="7">
        <f t="shared" si="295"/>
        <v>25000</v>
      </c>
      <c r="P1719" s="99">
        <f t="shared" si="288"/>
        <v>2.5342118601115052E-3</v>
      </c>
      <c r="Q1719" s="99">
        <f t="shared" si="297"/>
        <v>1.0429249701369518E-2</v>
      </c>
      <c r="S1719" s="7">
        <f t="shared" si="289"/>
        <v>10879000</v>
      </c>
      <c r="T1719" s="7">
        <f t="shared" si="290"/>
        <v>3296666.6666666665</v>
      </c>
      <c r="U1719" s="7">
        <f t="shared" si="291"/>
        <v>11870000</v>
      </c>
      <c r="V1719" s="7">
        <f t="shared" si="292"/>
        <v>0</v>
      </c>
      <c r="W1719" s="7">
        <f t="shared" si="293"/>
        <v>0</v>
      </c>
      <c r="X1719" s="7">
        <f t="shared" si="294"/>
        <v>0</v>
      </c>
    </row>
    <row r="1720" spans="1:24">
      <c r="A1720">
        <v>1719</v>
      </c>
      <c r="B1720" s="96" t="s">
        <v>1884</v>
      </c>
      <c r="C1720" s="95">
        <v>42420</v>
      </c>
      <c r="D1720" s="82">
        <v>9850000</v>
      </c>
      <c r="E1720" s="82">
        <v>9835000</v>
      </c>
      <c r="F1720" s="82">
        <v>9965000</v>
      </c>
      <c r="G1720" s="82">
        <v>9850000</v>
      </c>
      <c r="I1720" s="97">
        <v>0</v>
      </c>
      <c r="J1720" s="97">
        <v>0</v>
      </c>
      <c r="K1720" s="97">
        <v>0</v>
      </c>
      <c r="M1720" s="7">
        <f t="shared" si="287"/>
        <v>0</v>
      </c>
      <c r="N1720" s="7">
        <f t="shared" si="296"/>
        <v>0</v>
      </c>
      <c r="O1720" s="7">
        <f t="shared" si="295"/>
        <v>-40000</v>
      </c>
      <c r="P1720" s="99">
        <f t="shared" si="288"/>
        <v>-4.0444893832153692E-3</v>
      </c>
      <c r="Q1720" s="99">
        <f t="shared" si="297"/>
        <v>-1.6207469861241601E-2</v>
      </c>
      <c r="S1720" s="7">
        <f t="shared" si="289"/>
        <v>10835000</v>
      </c>
      <c r="T1720" s="7">
        <f t="shared" si="290"/>
        <v>3283333.3333333335</v>
      </c>
      <c r="U1720" s="7">
        <f t="shared" si="291"/>
        <v>11898000</v>
      </c>
      <c r="V1720" s="7">
        <f t="shared" si="292"/>
        <v>0</v>
      </c>
      <c r="W1720" s="7">
        <f t="shared" si="293"/>
        <v>0</v>
      </c>
      <c r="X1720" s="7">
        <f t="shared" si="294"/>
        <v>0</v>
      </c>
    </row>
    <row r="1721" spans="1:24">
      <c r="A1721">
        <v>1720</v>
      </c>
      <c r="B1721" s="96" t="s">
        <v>1883</v>
      </c>
      <c r="C1721" s="95">
        <v>42421</v>
      </c>
      <c r="D1721" s="82">
        <v>9885000</v>
      </c>
      <c r="E1721" s="82">
        <v>9835000</v>
      </c>
      <c r="F1721" s="82">
        <v>9905000</v>
      </c>
      <c r="G1721" s="82">
        <v>9885000</v>
      </c>
      <c r="I1721" s="98">
        <v>0</v>
      </c>
      <c r="J1721" s="98">
        <v>0</v>
      </c>
      <c r="K1721" s="98">
        <v>0</v>
      </c>
      <c r="M1721" s="7">
        <f t="shared" si="287"/>
        <v>0</v>
      </c>
      <c r="N1721" s="7">
        <f t="shared" si="296"/>
        <v>0</v>
      </c>
      <c r="O1721" s="7">
        <f t="shared" si="295"/>
        <v>35000</v>
      </c>
      <c r="P1721" s="99">
        <f t="shared" si="288"/>
        <v>3.5532994923857869E-3</v>
      </c>
      <c r="Q1721" s="99">
        <f t="shared" si="297"/>
        <v>-1.4284778737246625E-2</v>
      </c>
      <c r="S1721" s="7">
        <f t="shared" si="289"/>
        <v>10873500</v>
      </c>
      <c r="T1721" s="7">
        <f t="shared" si="290"/>
        <v>3295000</v>
      </c>
      <c r="U1721" s="7">
        <f t="shared" si="291"/>
        <v>11947000</v>
      </c>
      <c r="V1721" s="7">
        <f t="shared" si="292"/>
        <v>0</v>
      </c>
      <c r="W1721" s="7">
        <f t="shared" si="293"/>
        <v>0</v>
      </c>
      <c r="X1721" s="7">
        <f t="shared" si="294"/>
        <v>0</v>
      </c>
    </row>
    <row r="1722" spans="1:24">
      <c r="A1722">
        <v>1721</v>
      </c>
      <c r="B1722" s="96" t="s">
        <v>1882</v>
      </c>
      <c r="C1722" s="95">
        <v>42422</v>
      </c>
      <c r="D1722" s="82">
        <v>9810000</v>
      </c>
      <c r="E1722" s="82">
        <v>9730000</v>
      </c>
      <c r="F1722" s="82">
        <v>9870000</v>
      </c>
      <c r="G1722" s="82">
        <v>9810000</v>
      </c>
      <c r="I1722" s="82">
        <f>G1722*1.1</f>
        <v>10791000</v>
      </c>
      <c r="J1722" s="82">
        <f>G1722/3</f>
        <v>3270000</v>
      </c>
      <c r="K1722" s="7">
        <f>G1990</f>
        <v>12003000</v>
      </c>
      <c r="L1722" s="7">
        <f>K1722-I1722</f>
        <v>1212000</v>
      </c>
      <c r="M1722" s="7">
        <f t="shared" si="287"/>
        <v>408750</v>
      </c>
      <c r="N1722" s="7">
        <f t="shared" si="296"/>
        <v>1620750</v>
      </c>
      <c r="O1722" s="7">
        <f t="shared" si="295"/>
        <v>-75000</v>
      </c>
      <c r="P1722" s="99">
        <f t="shared" si="288"/>
        <v>-7.5872534142640367E-3</v>
      </c>
      <c r="Q1722" s="99">
        <f t="shared" si="297"/>
        <v>1.2780276633078132E-2</v>
      </c>
      <c r="R1722">
        <v>1</v>
      </c>
      <c r="S1722" s="7">
        <f t="shared" si="289"/>
        <v>10791000</v>
      </c>
      <c r="T1722" s="7">
        <f t="shared" si="290"/>
        <v>3270000</v>
      </c>
      <c r="U1722" s="7">
        <f t="shared" si="291"/>
        <v>12003000</v>
      </c>
      <c r="V1722" s="7">
        <f t="shared" si="292"/>
        <v>1212000</v>
      </c>
      <c r="W1722" s="7">
        <f t="shared" si="293"/>
        <v>408750</v>
      </c>
      <c r="X1722" s="7">
        <f t="shared" si="294"/>
        <v>1620750</v>
      </c>
    </row>
    <row r="1723" spans="1:24">
      <c r="A1723">
        <v>1722</v>
      </c>
      <c r="B1723" s="96" t="s">
        <v>1881</v>
      </c>
      <c r="C1723" s="95">
        <v>42423</v>
      </c>
      <c r="D1723" s="82">
        <v>9935000</v>
      </c>
      <c r="E1723" s="82">
        <v>9830000</v>
      </c>
      <c r="F1723" s="82">
        <v>9945000</v>
      </c>
      <c r="G1723" s="82">
        <v>9935000</v>
      </c>
      <c r="I1723" s="97">
        <v>0</v>
      </c>
      <c r="J1723" s="97">
        <v>0</v>
      </c>
      <c r="K1723" s="97">
        <v>0</v>
      </c>
      <c r="M1723" s="7">
        <f t="shared" si="287"/>
        <v>0</v>
      </c>
      <c r="N1723" s="7">
        <f t="shared" si="296"/>
        <v>0</v>
      </c>
      <c r="O1723" s="7">
        <f t="shared" si="295"/>
        <v>125000</v>
      </c>
      <c r="P1723" s="99">
        <f t="shared" si="288"/>
        <v>1.27420998980632E-2</v>
      </c>
      <c r="Q1723" s="99">
        <f t="shared" si="297"/>
        <v>2.6315478089780301E-3</v>
      </c>
      <c r="S1723" s="7">
        <f t="shared" si="289"/>
        <v>10928500</v>
      </c>
      <c r="T1723" s="7">
        <f t="shared" si="290"/>
        <v>3311666.6666666665</v>
      </c>
      <c r="U1723" s="7">
        <f t="shared" si="291"/>
        <v>11762000</v>
      </c>
      <c r="V1723" s="7">
        <f t="shared" si="292"/>
        <v>0</v>
      </c>
      <c r="W1723" s="7">
        <f t="shared" si="293"/>
        <v>0</v>
      </c>
      <c r="X1723" s="7">
        <f t="shared" si="294"/>
        <v>0</v>
      </c>
    </row>
    <row r="1724" spans="1:24">
      <c r="A1724">
        <v>1723</v>
      </c>
      <c r="B1724" s="96" t="s">
        <v>1880</v>
      </c>
      <c r="C1724" s="95">
        <v>42424</v>
      </c>
      <c r="D1724" s="82">
        <v>10080000</v>
      </c>
      <c r="E1724" s="82">
        <v>9925000</v>
      </c>
      <c r="F1724" s="82">
        <v>10150000</v>
      </c>
      <c r="G1724" s="82">
        <v>10080000</v>
      </c>
      <c r="I1724" s="97">
        <v>0</v>
      </c>
      <c r="J1724" s="97">
        <v>0</v>
      </c>
      <c r="K1724" s="97">
        <v>0</v>
      </c>
      <c r="M1724" s="7">
        <f t="shared" si="287"/>
        <v>0</v>
      </c>
      <c r="N1724" s="7">
        <f t="shared" si="296"/>
        <v>0</v>
      </c>
      <c r="O1724" s="7">
        <f t="shared" si="295"/>
        <v>145000</v>
      </c>
      <c r="P1724" s="99">
        <f t="shared" si="288"/>
        <v>1.4594866633115249E-2</v>
      </c>
      <c r="Q1724" s="99">
        <f t="shared" si="297"/>
        <v>7.1978684530810862E-3</v>
      </c>
      <c r="S1724" s="7">
        <f t="shared" si="289"/>
        <v>11088000</v>
      </c>
      <c r="T1724" s="7">
        <f t="shared" si="290"/>
        <v>3360000</v>
      </c>
      <c r="U1724" s="7">
        <f t="shared" si="291"/>
        <v>11863000</v>
      </c>
      <c r="V1724" s="7">
        <f t="shared" si="292"/>
        <v>0</v>
      </c>
      <c r="W1724" s="7">
        <f t="shared" si="293"/>
        <v>0</v>
      </c>
      <c r="X1724" s="7">
        <f t="shared" si="294"/>
        <v>0</v>
      </c>
    </row>
    <row r="1725" spans="1:24">
      <c r="A1725">
        <v>1724</v>
      </c>
      <c r="B1725" s="96" t="s">
        <v>1879</v>
      </c>
      <c r="C1725" s="95">
        <v>42425</v>
      </c>
      <c r="D1725" s="82">
        <v>10050000</v>
      </c>
      <c r="E1725" s="82">
        <v>10025000</v>
      </c>
      <c r="F1725" s="82">
        <v>10095000</v>
      </c>
      <c r="G1725" s="82">
        <v>10050000</v>
      </c>
      <c r="I1725" s="97">
        <v>0</v>
      </c>
      <c r="J1725" s="97">
        <v>0</v>
      </c>
      <c r="K1725" s="97">
        <v>0</v>
      </c>
      <c r="M1725" s="7">
        <f t="shared" si="287"/>
        <v>0</v>
      </c>
      <c r="N1725" s="7">
        <f t="shared" si="296"/>
        <v>0</v>
      </c>
      <c r="O1725" s="7">
        <f t="shared" si="295"/>
        <v>-30000</v>
      </c>
      <c r="P1725" s="99">
        <f t="shared" si="288"/>
        <v>-2.976190476190476E-3</v>
      </c>
      <c r="Q1725" s="99">
        <f t="shared" si="297"/>
        <v>1.9258523226084831E-2</v>
      </c>
      <c r="S1725" s="7">
        <f t="shared" si="289"/>
        <v>11055000</v>
      </c>
      <c r="T1725" s="7">
        <f t="shared" si="290"/>
        <v>3350000</v>
      </c>
      <c r="U1725" s="7">
        <f t="shared" si="291"/>
        <v>11837000</v>
      </c>
      <c r="V1725" s="7">
        <f t="shared" si="292"/>
        <v>0</v>
      </c>
      <c r="W1725" s="7">
        <f t="shared" si="293"/>
        <v>0</v>
      </c>
      <c r="X1725" s="7">
        <f t="shared" si="294"/>
        <v>0</v>
      </c>
    </row>
    <row r="1726" spans="1:24">
      <c r="A1726">
        <v>1725</v>
      </c>
      <c r="B1726" s="96" t="s">
        <v>1878</v>
      </c>
      <c r="C1726" s="95">
        <v>42427</v>
      </c>
      <c r="D1726" s="82">
        <v>9970000</v>
      </c>
      <c r="E1726" s="82">
        <v>9960000</v>
      </c>
      <c r="F1726" s="82">
        <v>10025000</v>
      </c>
      <c r="G1726" s="82">
        <v>9970000</v>
      </c>
      <c r="I1726" s="98">
        <v>0</v>
      </c>
      <c r="J1726" s="98">
        <v>0</v>
      </c>
      <c r="K1726" s="98">
        <v>0</v>
      </c>
      <c r="M1726" s="7">
        <f t="shared" si="287"/>
        <v>0</v>
      </c>
      <c r="N1726" s="7">
        <f t="shared" si="296"/>
        <v>0</v>
      </c>
      <c r="O1726" s="7">
        <f t="shared" si="295"/>
        <v>-80000</v>
      </c>
      <c r="P1726" s="99">
        <f t="shared" si="288"/>
        <v>-7.9601990049751239E-3</v>
      </c>
      <c r="Q1726" s="99">
        <f t="shared" si="297"/>
        <v>2.0326822133109722E-2</v>
      </c>
      <c r="S1726" s="7">
        <f t="shared" si="289"/>
        <v>10967000</v>
      </c>
      <c r="T1726" s="7">
        <f t="shared" si="290"/>
        <v>3323333.3333333335</v>
      </c>
      <c r="U1726" s="7">
        <f t="shared" si="291"/>
        <v>11845000</v>
      </c>
      <c r="V1726" s="7">
        <f t="shared" si="292"/>
        <v>0</v>
      </c>
      <c r="W1726" s="7">
        <f t="shared" si="293"/>
        <v>0</v>
      </c>
      <c r="X1726" s="7">
        <f t="shared" si="294"/>
        <v>0</v>
      </c>
    </row>
    <row r="1727" spans="1:24">
      <c r="A1727">
        <v>1726</v>
      </c>
      <c r="B1727" s="96" t="s">
        <v>1877</v>
      </c>
      <c r="C1727" s="95">
        <v>42428</v>
      </c>
      <c r="D1727" s="82">
        <v>9945000</v>
      </c>
      <c r="E1727" s="82">
        <v>9920000</v>
      </c>
      <c r="F1727" s="82">
        <v>9975000</v>
      </c>
      <c r="G1727" s="82">
        <v>9945000</v>
      </c>
      <c r="I1727" s="82">
        <f>G1727*1.1</f>
        <v>10939500</v>
      </c>
      <c r="J1727" s="82">
        <f>G1727/3</f>
        <v>3315000</v>
      </c>
      <c r="K1727" s="7">
        <f>G1995</f>
        <v>11847000</v>
      </c>
      <c r="L1727" s="7">
        <f>K1727-I1727</f>
        <v>907500</v>
      </c>
      <c r="M1727" s="7">
        <f t="shared" si="287"/>
        <v>414375</v>
      </c>
      <c r="N1727" s="7">
        <f t="shared" si="296"/>
        <v>1321875</v>
      </c>
      <c r="O1727" s="7">
        <f t="shared" si="295"/>
        <v>-25000</v>
      </c>
      <c r="P1727" s="99">
        <f t="shared" si="288"/>
        <v>-2.5075225677031092E-3</v>
      </c>
      <c r="Q1727" s="99">
        <f t="shared" si="297"/>
        <v>8.8133236357488109E-3</v>
      </c>
      <c r="R1727">
        <v>1</v>
      </c>
      <c r="S1727" s="7">
        <f t="shared" si="289"/>
        <v>10939500</v>
      </c>
      <c r="T1727" s="7">
        <f t="shared" si="290"/>
        <v>3315000</v>
      </c>
      <c r="U1727" s="7">
        <f t="shared" si="291"/>
        <v>11847000</v>
      </c>
      <c r="V1727" s="7">
        <f t="shared" si="292"/>
        <v>907500</v>
      </c>
      <c r="W1727" s="7">
        <f t="shared" si="293"/>
        <v>414375</v>
      </c>
      <c r="X1727" s="7">
        <f t="shared" si="294"/>
        <v>1321875</v>
      </c>
    </row>
    <row r="1728" spans="1:24">
      <c r="A1728">
        <v>1727</v>
      </c>
      <c r="B1728" s="96" t="s">
        <v>1876</v>
      </c>
      <c r="C1728" s="95">
        <v>42429</v>
      </c>
      <c r="D1728" s="82">
        <v>10035000</v>
      </c>
      <c r="E1728" s="82">
        <v>9940000</v>
      </c>
      <c r="F1728" s="82">
        <v>10040000</v>
      </c>
      <c r="G1728" s="82">
        <v>10035000</v>
      </c>
      <c r="I1728" s="97">
        <v>0</v>
      </c>
      <c r="J1728" s="97">
        <v>0</v>
      </c>
      <c r="K1728" s="97">
        <v>0</v>
      </c>
      <c r="M1728" s="7">
        <f t="shared" si="287"/>
        <v>0</v>
      </c>
      <c r="N1728" s="7">
        <f t="shared" si="296"/>
        <v>0</v>
      </c>
      <c r="O1728" s="7">
        <f t="shared" si="295"/>
        <v>90000</v>
      </c>
      <c r="P1728" s="99">
        <f t="shared" si="288"/>
        <v>9.0497737556561094E-3</v>
      </c>
      <c r="Q1728" s="99">
        <f t="shared" si="297"/>
        <v>1.3893054482309739E-2</v>
      </c>
      <c r="S1728" s="7">
        <f t="shared" si="289"/>
        <v>11038500</v>
      </c>
      <c r="T1728" s="7">
        <f t="shared" si="290"/>
        <v>3345000</v>
      </c>
      <c r="U1728" s="7">
        <f t="shared" si="291"/>
        <v>11837000</v>
      </c>
      <c r="V1728" s="7">
        <f t="shared" si="292"/>
        <v>0</v>
      </c>
      <c r="W1728" s="7">
        <f t="shared" si="293"/>
        <v>0</v>
      </c>
      <c r="X1728" s="7">
        <f t="shared" si="294"/>
        <v>0</v>
      </c>
    </row>
    <row r="1729" spans="1:24">
      <c r="A1729">
        <v>1728</v>
      </c>
      <c r="B1729" s="96" t="s">
        <v>1875</v>
      </c>
      <c r="C1729" s="95">
        <v>42430</v>
      </c>
      <c r="D1729" s="82">
        <v>10015000</v>
      </c>
      <c r="E1729" s="82">
        <v>10015000</v>
      </c>
      <c r="F1729" s="82">
        <v>10105000</v>
      </c>
      <c r="G1729" s="82">
        <v>10015000</v>
      </c>
      <c r="I1729" s="97">
        <v>0</v>
      </c>
      <c r="J1729" s="97">
        <v>0</v>
      </c>
      <c r="K1729" s="97">
        <v>0</v>
      </c>
      <c r="M1729" s="7">
        <f t="shared" si="287"/>
        <v>0</v>
      </c>
      <c r="N1729" s="7">
        <f t="shared" si="296"/>
        <v>0</v>
      </c>
      <c r="O1729" s="7">
        <f t="shared" si="295"/>
        <v>-20000</v>
      </c>
      <c r="P1729" s="99">
        <f t="shared" si="288"/>
        <v>-1.9930244145490781E-3</v>
      </c>
      <c r="Q1729" s="99">
        <f t="shared" si="297"/>
        <v>1.020072833990265E-2</v>
      </c>
      <c r="S1729" s="7">
        <f t="shared" si="289"/>
        <v>11016500</v>
      </c>
      <c r="T1729" s="7">
        <f t="shared" si="290"/>
        <v>3338333.3333333335</v>
      </c>
      <c r="U1729" s="7">
        <f t="shared" si="291"/>
        <v>11638000</v>
      </c>
      <c r="V1729" s="7">
        <f t="shared" si="292"/>
        <v>0</v>
      </c>
      <c r="W1729" s="7">
        <f t="shared" si="293"/>
        <v>0</v>
      </c>
      <c r="X1729" s="7">
        <f t="shared" si="294"/>
        <v>0</v>
      </c>
    </row>
    <row r="1730" spans="1:24">
      <c r="A1730">
        <v>1729</v>
      </c>
      <c r="B1730" s="96" t="s">
        <v>1874</v>
      </c>
      <c r="C1730" s="95">
        <v>42431</v>
      </c>
      <c r="D1730" s="82">
        <v>10045000</v>
      </c>
      <c r="E1730" s="82">
        <v>9995000</v>
      </c>
      <c r="F1730" s="82">
        <v>10065000</v>
      </c>
      <c r="G1730" s="82">
        <v>10045000</v>
      </c>
      <c r="I1730" s="97">
        <v>0</v>
      </c>
      <c r="J1730" s="97">
        <v>0</v>
      </c>
      <c r="K1730" s="97">
        <v>0</v>
      </c>
      <c r="M1730" s="7">
        <f t="shared" ref="M1730:M1793" si="298">J1730*$AI$6/200</f>
        <v>0</v>
      </c>
      <c r="N1730" s="7">
        <f t="shared" si="296"/>
        <v>0</v>
      </c>
      <c r="O1730" s="7">
        <f t="shared" si="295"/>
        <v>30000</v>
      </c>
      <c r="P1730" s="99">
        <f t="shared" si="288"/>
        <v>2.9955067398901645E-3</v>
      </c>
      <c r="Q1730" s="99">
        <f t="shared" si="297"/>
        <v>-6.3871627077616792E-3</v>
      </c>
      <c r="S1730" s="7">
        <f t="shared" si="289"/>
        <v>11049500</v>
      </c>
      <c r="T1730" s="7">
        <f t="shared" si="290"/>
        <v>3348333.3333333335</v>
      </c>
      <c r="U1730" s="7">
        <f t="shared" si="291"/>
        <v>11782000</v>
      </c>
      <c r="V1730" s="7">
        <f t="shared" si="292"/>
        <v>0</v>
      </c>
      <c r="W1730" s="7">
        <f t="shared" si="293"/>
        <v>0</v>
      </c>
      <c r="X1730" s="7">
        <f t="shared" si="294"/>
        <v>0</v>
      </c>
    </row>
    <row r="1731" spans="1:24">
      <c r="A1731">
        <v>1730</v>
      </c>
      <c r="B1731" s="96" t="s">
        <v>1873</v>
      </c>
      <c r="C1731" s="95">
        <v>42432</v>
      </c>
      <c r="D1731" s="82">
        <v>10095000</v>
      </c>
      <c r="E1731" s="82">
        <v>10040000</v>
      </c>
      <c r="F1731" s="82">
        <v>10105000</v>
      </c>
      <c r="G1731" s="82">
        <v>10095000</v>
      </c>
      <c r="I1731" s="98">
        <v>0</v>
      </c>
      <c r="J1731" s="98">
        <v>0</v>
      </c>
      <c r="K1731" s="98">
        <v>0</v>
      </c>
      <c r="M1731" s="7">
        <f t="shared" si="298"/>
        <v>0</v>
      </c>
      <c r="N1731" s="7">
        <f t="shared" si="296"/>
        <v>0</v>
      </c>
      <c r="O1731" s="7">
        <f t="shared" si="295"/>
        <v>50000</v>
      </c>
      <c r="P1731" s="99">
        <f t="shared" ref="P1731:P1794" si="299">O1731/G1730</f>
        <v>4.9776007964161271E-3</v>
      </c>
      <c r="Q1731" s="99">
        <f t="shared" si="297"/>
        <v>-4.1546549168103818E-4</v>
      </c>
      <c r="S1731" s="7">
        <f t="shared" ref="S1731:S1794" si="300">G1731*1.1</f>
        <v>11104500</v>
      </c>
      <c r="T1731" s="7">
        <f t="shared" ref="T1731:T1794" si="301">G1731/3</f>
        <v>3365000</v>
      </c>
      <c r="U1731" s="7">
        <f t="shared" ref="U1731:U1794" si="302">G1999</f>
        <v>11864000</v>
      </c>
      <c r="V1731" s="7">
        <f t="shared" ref="V1731:V1794" si="303">(U1731-S1731)*R1731</f>
        <v>0</v>
      </c>
      <c r="W1731" s="7">
        <f t="shared" ref="W1731:W1794" si="304">(T1731*$AI$6/200)*R1731</f>
        <v>0</v>
      </c>
      <c r="X1731" s="7">
        <f t="shared" ref="X1731:X1794" si="305">V1731+W1731</f>
        <v>0</v>
      </c>
    </row>
    <row r="1732" spans="1:24">
      <c r="A1732">
        <v>1731</v>
      </c>
      <c r="B1732" s="96" t="s">
        <v>1872</v>
      </c>
      <c r="C1732" s="95">
        <v>42434</v>
      </c>
      <c r="D1732" s="82">
        <v>10130000</v>
      </c>
      <c r="E1732" s="82">
        <v>10110000</v>
      </c>
      <c r="F1732" s="82">
        <v>10160000</v>
      </c>
      <c r="G1732" s="82">
        <v>10130000</v>
      </c>
      <c r="I1732" s="82">
        <f>G1732*1.1</f>
        <v>11143000</v>
      </c>
      <c r="J1732" s="82">
        <f>G1732/3</f>
        <v>3376666.6666666665</v>
      </c>
      <c r="K1732" s="7">
        <f>G2000</f>
        <v>11827000</v>
      </c>
      <c r="L1732" s="7">
        <f>K1732-I1732</f>
        <v>684000</v>
      </c>
      <c r="M1732" s="7">
        <f t="shared" si="298"/>
        <v>422083.33333333326</v>
      </c>
      <c r="N1732" s="7">
        <f t="shared" si="296"/>
        <v>1106083.3333333333</v>
      </c>
      <c r="O1732" s="7">
        <f t="shared" ref="O1732:O1795" si="306">G1732-G1731</f>
        <v>35000</v>
      </c>
      <c r="P1732" s="99">
        <f t="shared" si="299"/>
        <v>3.4670629024269439E-3</v>
      </c>
      <c r="Q1732" s="99">
        <f t="shared" si="297"/>
        <v>1.2522334309710215E-2</v>
      </c>
      <c r="R1732">
        <v>1</v>
      </c>
      <c r="S1732" s="7">
        <f t="shared" si="300"/>
        <v>11143000</v>
      </c>
      <c r="T1732" s="7">
        <f t="shared" si="301"/>
        <v>3376666.6666666665</v>
      </c>
      <c r="U1732" s="7">
        <f t="shared" si="302"/>
        <v>11827000</v>
      </c>
      <c r="V1732" s="7">
        <f t="shared" si="303"/>
        <v>684000</v>
      </c>
      <c r="W1732" s="7">
        <f t="shared" si="304"/>
        <v>422083.33333333326</v>
      </c>
      <c r="X1732" s="7">
        <f t="shared" si="305"/>
        <v>1106083.3333333333</v>
      </c>
    </row>
    <row r="1733" spans="1:24">
      <c r="A1733">
        <v>1732</v>
      </c>
      <c r="B1733" s="96" t="s">
        <v>1871</v>
      </c>
      <c r="C1733" s="95">
        <v>42435</v>
      </c>
      <c r="D1733" s="82">
        <v>10115000</v>
      </c>
      <c r="E1733" s="82">
        <v>10100000</v>
      </c>
      <c r="F1733" s="82">
        <v>10140000</v>
      </c>
      <c r="G1733" s="82">
        <v>10115000</v>
      </c>
      <c r="I1733" s="97">
        <v>0</v>
      </c>
      <c r="J1733" s="97">
        <v>0</v>
      </c>
      <c r="K1733" s="97">
        <v>0</v>
      </c>
      <c r="M1733" s="7">
        <f t="shared" si="298"/>
        <v>0</v>
      </c>
      <c r="N1733" s="7">
        <f t="shared" si="296"/>
        <v>0</v>
      </c>
      <c r="O1733" s="7">
        <f t="shared" si="306"/>
        <v>-15000</v>
      </c>
      <c r="P1733" s="99">
        <f t="shared" si="299"/>
        <v>-1.4807502467917078E-3</v>
      </c>
      <c r="Q1733" s="99">
        <f t="shared" si="297"/>
        <v>1.8496919779840269E-2</v>
      </c>
      <c r="S1733" s="7">
        <f t="shared" si="300"/>
        <v>11126500</v>
      </c>
      <c r="T1733" s="7">
        <f t="shared" si="301"/>
        <v>3371666.6666666665</v>
      </c>
      <c r="U1733" s="7">
        <f t="shared" si="302"/>
        <v>11786000</v>
      </c>
      <c r="V1733" s="7">
        <f t="shared" si="303"/>
        <v>0</v>
      </c>
      <c r="W1733" s="7">
        <f t="shared" si="304"/>
        <v>0</v>
      </c>
      <c r="X1733" s="7">
        <f t="shared" si="305"/>
        <v>0</v>
      </c>
    </row>
    <row r="1734" spans="1:24">
      <c r="A1734">
        <v>1733</v>
      </c>
      <c r="B1734" s="96" t="s">
        <v>1870</v>
      </c>
      <c r="C1734" s="95">
        <v>42436</v>
      </c>
      <c r="D1734" s="82">
        <v>10085000</v>
      </c>
      <c r="E1734" s="82">
        <v>10085000</v>
      </c>
      <c r="F1734" s="82">
        <v>10150000</v>
      </c>
      <c r="G1734" s="82">
        <v>10085000</v>
      </c>
      <c r="I1734" s="97">
        <v>0</v>
      </c>
      <c r="J1734" s="97">
        <v>0</v>
      </c>
      <c r="K1734" s="97">
        <v>0</v>
      </c>
      <c r="M1734" s="7">
        <f t="shared" si="298"/>
        <v>0</v>
      </c>
      <c r="N1734" s="7">
        <f t="shared" si="296"/>
        <v>0</v>
      </c>
      <c r="O1734" s="7">
        <f t="shared" si="306"/>
        <v>-30000</v>
      </c>
      <c r="P1734" s="99">
        <f t="shared" si="299"/>
        <v>-2.9658922392486408E-3</v>
      </c>
      <c r="Q1734" s="99">
        <f t="shared" si="297"/>
        <v>7.9663957773924501E-3</v>
      </c>
      <c r="S1734" s="7">
        <f t="shared" si="300"/>
        <v>11093500</v>
      </c>
      <c r="T1734" s="7">
        <f t="shared" si="301"/>
        <v>3361666.6666666665</v>
      </c>
      <c r="U1734" s="7">
        <f t="shared" si="302"/>
        <v>11724000</v>
      </c>
      <c r="V1734" s="7">
        <f t="shared" si="303"/>
        <v>0</v>
      </c>
      <c r="W1734" s="7">
        <f t="shared" si="304"/>
        <v>0</v>
      </c>
      <c r="X1734" s="7">
        <f t="shared" si="305"/>
        <v>0</v>
      </c>
    </row>
    <row r="1735" spans="1:24">
      <c r="A1735">
        <v>1734</v>
      </c>
      <c r="B1735" s="96" t="s">
        <v>1869</v>
      </c>
      <c r="C1735" s="95">
        <v>42437</v>
      </c>
      <c r="D1735" s="82">
        <v>10140000</v>
      </c>
      <c r="E1735" s="82">
        <v>10105000</v>
      </c>
      <c r="F1735" s="82">
        <v>10170000</v>
      </c>
      <c r="G1735" s="82">
        <v>10140000</v>
      </c>
      <c r="I1735" s="97">
        <v>0</v>
      </c>
      <c r="J1735" s="97">
        <v>0</v>
      </c>
      <c r="K1735" s="97">
        <v>0</v>
      </c>
      <c r="M1735" s="7">
        <f t="shared" si="298"/>
        <v>0</v>
      </c>
      <c r="N1735" s="7">
        <f t="shared" si="296"/>
        <v>0</v>
      </c>
      <c r="O1735" s="7">
        <f t="shared" si="306"/>
        <v>55000</v>
      </c>
      <c r="P1735" s="99">
        <f t="shared" si="299"/>
        <v>5.4536440257808624E-3</v>
      </c>
      <c r="Q1735" s="99">
        <f t="shared" si="297"/>
        <v>6.9935279526928858E-3</v>
      </c>
      <c r="S1735" s="7">
        <f t="shared" si="300"/>
        <v>11154000</v>
      </c>
      <c r="T1735" s="7">
        <f t="shared" si="301"/>
        <v>3380000</v>
      </c>
      <c r="U1735" s="7">
        <f t="shared" si="302"/>
        <v>11740000</v>
      </c>
      <c r="V1735" s="7">
        <f t="shared" si="303"/>
        <v>0</v>
      </c>
      <c r="W1735" s="7">
        <f t="shared" si="304"/>
        <v>0</v>
      </c>
      <c r="X1735" s="7">
        <f t="shared" si="305"/>
        <v>0</v>
      </c>
    </row>
    <row r="1736" spans="1:24">
      <c r="A1736">
        <v>1735</v>
      </c>
      <c r="B1736" s="96" t="s">
        <v>1868</v>
      </c>
      <c r="C1736" s="95">
        <v>42438</v>
      </c>
      <c r="D1736" s="82">
        <v>10125000</v>
      </c>
      <c r="E1736" s="82">
        <v>10100000</v>
      </c>
      <c r="F1736" s="82">
        <v>10140000</v>
      </c>
      <c r="G1736" s="82">
        <v>10125000</v>
      </c>
      <c r="I1736" s="98">
        <v>0</v>
      </c>
      <c r="J1736" s="98">
        <v>0</v>
      </c>
      <c r="K1736" s="98">
        <v>0</v>
      </c>
      <c r="M1736" s="7">
        <f t="shared" si="298"/>
        <v>0</v>
      </c>
      <c r="N1736" s="7">
        <f t="shared" ref="N1736:N1799" si="307">L1736+M1736</f>
        <v>0</v>
      </c>
      <c r="O1736" s="7">
        <f t="shared" si="306"/>
        <v>-15000</v>
      </c>
      <c r="P1736" s="99">
        <f t="shared" si="299"/>
        <v>-1.4792899408284023E-3</v>
      </c>
      <c r="Q1736" s="99">
        <f t="shared" ref="Q1736:Q1799" si="308">SUM(P1731:P1735)</f>
        <v>9.4516652385835849E-3</v>
      </c>
      <c r="S1736" s="7">
        <f t="shared" si="300"/>
        <v>11137500</v>
      </c>
      <c r="T1736" s="7">
        <f t="shared" si="301"/>
        <v>3375000</v>
      </c>
      <c r="U1736" s="7">
        <f t="shared" si="302"/>
        <v>11755000</v>
      </c>
      <c r="V1736" s="7">
        <f t="shared" si="303"/>
        <v>0</v>
      </c>
      <c r="W1736" s="7">
        <f t="shared" si="304"/>
        <v>0</v>
      </c>
      <c r="X1736" s="7">
        <f t="shared" si="305"/>
        <v>0</v>
      </c>
    </row>
    <row r="1737" spans="1:24">
      <c r="A1737">
        <v>1736</v>
      </c>
      <c r="B1737" s="96" t="s">
        <v>1867</v>
      </c>
      <c r="C1737" s="95">
        <v>42439</v>
      </c>
      <c r="D1737" s="82">
        <v>10135000</v>
      </c>
      <c r="E1737" s="82">
        <v>10100000</v>
      </c>
      <c r="F1737" s="82">
        <v>10135000</v>
      </c>
      <c r="G1737" s="82">
        <v>10135000</v>
      </c>
      <c r="I1737" s="82">
        <f>G1737*1.1</f>
        <v>11148500</v>
      </c>
      <c r="J1737" s="82">
        <f>G1737/3</f>
        <v>3378333.3333333335</v>
      </c>
      <c r="K1737" s="7">
        <f>G2005</f>
        <v>11692000</v>
      </c>
      <c r="L1737" s="7">
        <f>K1737-I1737</f>
        <v>543500</v>
      </c>
      <c r="M1737" s="7">
        <f t="shared" si="298"/>
        <v>422291.66666666674</v>
      </c>
      <c r="N1737" s="7">
        <f t="shared" si="307"/>
        <v>965791.66666666674</v>
      </c>
      <c r="O1737" s="7">
        <f t="shared" si="306"/>
        <v>10000</v>
      </c>
      <c r="P1737" s="99">
        <f t="shared" si="299"/>
        <v>9.8765432098765434E-4</v>
      </c>
      <c r="Q1737" s="99">
        <f t="shared" si="308"/>
        <v>2.9947745013390549E-3</v>
      </c>
      <c r="R1737">
        <v>1</v>
      </c>
      <c r="S1737" s="7">
        <f t="shared" si="300"/>
        <v>11148500</v>
      </c>
      <c r="T1737" s="7">
        <f t="shared" si="301"/>
        <v>3378333.3333333335</v>
      </c>
      <c r="U1737" s="7">
        <f t="shared" si="302"/>
        <v>11692000</v>
      </c>
      <c r="V1737" s="7">
        <f t="shared" si="303"/>
        <v>543500</v>
      </c>
      <c r="W1737" s="7">
        <f t="shared" si="304"/>
        <v>422291.66666666674</v>
      </c>
      <c r="X1737" s="7">
        <f t="shared" si="305"/>
        <v>965791.66666666674</v>
      </c>
    </row>
    <row r="1738" spans="1:24">
      <c r="A1738">
        <v>1737</v>
      </c>
      <c r="B1738" s="96" t="s">
        <v>1866</v>
      </c>
      <c r="C1738" s="95">
        <v>42441</v>
      </c>
      <c r="D1738" s="82">
        <v>10105000</v>
      </c>
      <c r="E1738" s="82">
        <v>10080000</v>
      </c>
      <c r="F1738" s="82">
        <v>10115000</v>
      </c>
      <c r="G1738" s="82">
        <v>10105000</v>
      </c>
      <c r="I1738" s="97">
        <v>0</v>
      </c>
      <c r="J1738" s="97">
        <v>0</v>
      </c>
      <c r="K1738" s="97">
        <v>0</v>
      </c>
      <c r="M1738" s="7">
        <f t="shared" si="298"/>
        <v>0</v>
      </c>
      <c r="N1738" s="7">
        <f t="shared" si="307"/>
        <v>0</v>
      </c>
      <c r="O1738" s="7">
        <f t="shared" si="306"/>
        <v>-30000</v>
      </c>
      <c r="P1738" s="99">
        <f t="shared" si="299"/>
        <v>-2.9600394671928957E-3</v>
      </c>
      <c r="Q1738" s="99">
        <f t="shared" si="308"/>
        <v>5.15365919899766E-4</v>
      </c>
      <c r="S1738" s="7">
        <f t="shared" si="300"/>
        <v>11115500</v>
      </c>
      <c r="T1738" s="7">
        <f t="shared" si="301"/>
        <v>3368333.3333333335</v>
      </c>
      <c r="U1738" s="7">
        <f t="shared" si="302"/>
        <v>11870000</v>
      </c>
      <c r="V1738" s="7">
        <f t="shared" si="303"/>
        <v>0</v>
      </c>
      <c r="W1738" s="7">
        <f t="shared" si="304"/>
        <v>0</v>
      </c>
      <c r="X1738" s="7">
        <f t="shared" si="305"/>
        <v>0</v>
      </c>
    </row>
    <row r="1739" spans="1:24">
      <c r="A1739">
        <v>1738</v>
      </c>
      <c r="B1739" s="96" t="s">
        <v>1865</v>
      </c>
      <c r="C1739" s="95">
        <v>42443</v>
      </c>
      <c r="D1739" s="82">
        <v>10105000</v>
      </c>
      <c r="E1739" s="82">
        <v>10100000</v>
      </c>
      <c r="F1739" s="82">
        <v>10185000</v>
      </c>
      <c r="G1739" s="82">
        <v>10105000</v>
      </c>
      <c r="I1739" s="97">
        <v>0</v>
      </c>
      <c r="J1739" s="97">
        <v>0</v>
      </c>
      <c r="K1739" s="97">
        <v>0</v>
      </c>
      <c r="M1739" s="7">
        <f t="shared" si="298"/>
        <v>0</v>
      </c>
      <c r="N1739" s="7">
        <f t="shared" si="307"/>
        <v>0</v>
      </c>
      <c r="O1739" s="7">
        <f t="shared" si="306"/>
        <v>0</v>
      </c>
      <c r="P1739" s="99">
        <f t="shared" si="299"/>
        <v>0</v>
      </c>
      <c r="Q1739" s="99">
        <f t="shared" si="308"/>
        <v>-9.6392330050142213E-4</v>
      </c>
      <c r="S1739" s="7">
        <f t="shared" si="300"/>
        <v>11115500</v>
      </c>
      <c r="T1739" s="7">
        <f t="shared" si="301"/>
        <v>3368333.3333333335</v>
      </c>
      <c r="U1739" s="7">
        <f t="shared" si="302"/>
        <v>11837000</v>
      </c>
      <c r="V1739" s="7">
        <f t="shared" si="303"/>
        <v>0</v>
      </c>
      <c r="W1739" s="7">
        <f t="shared" si="304"/>
        <v>0</v>
      </c>
      <c r="X1739" s="7">
        <f t="shared" si="305"/>
        <v>0</v>
      </c>
    </row>
    <row r="1740" spans="1:24">
      <c r="A1740">
        <v>1739</v>
      </c>
      <c r="B1740" s="96" t="s">
        <v>1864</v>
      </c>
      <c r="C1740" s="95">
        <v>42444</v>
      </c>
      <c r="D1740" s="82">
        <v>10065000</v>
      </c>
      <c r="E1740" s="82">
        <v>10035000</v>
      </c>
      <c r="F1740" s="82">
        <v>10100000</v>
      </c>
      <c r="G1740" s="82">
        <v>10065000</v>
      </c>
      <c r="I1740" s="97">
        <v>0</v>
      </c>
      <c r="J1740" s="97">
        <v>0</v>
      </c>
      <c r="K1740" s="97">
        <v>0</v>
      </c>
      <c r="M1740" s="7">
        <f t="shared" si="298"/>
        <v>0</v>
      </c>
      <c r="N1740" s="7">
        <f t="shared" si="307"/>
        <v>0</v>
      </c>
      <c r="O1740" s="7">
        <f t="shared" si="306"/>
        <v>-40000</v>
      </c>
      <c r="P1740" s="99">
        <f t="shared" si="299"/>
        <v>-3.9584364176150424E-3</v>
      </c>
      <c r="Q1740" s="99">
        <f t="shared" si="308"/>
        <v>2.0019689387472187E-3</v>
      </c>
      <c r="S1740" s="7">
        <f t="shared" si="300"/>
        <v>11071500</v>
      </c>
      <c r="T1740" s="7">
        <f t="shared" si="301"/>
        <v>3355000</v>
      </c>
      <c r="U1740" s="7">
        <f t="shared" si="302"/>
        <v>11886000</v>
      </c>
      <c r="V1740" s="7">
        <f t="shared" si="303"/>
        <v>0</v>
      </c>
      <c r="W1740" s="7">
        <f t="shared" si="304"/>
        <v>0</v>
      </c>
      <c r="X1740" s="7">
        <f t="shared" si="305"/>
        <v>0</v>
      </c>
    </row>
    <row r="1741" spans="1:24">
      <c r="A1741">
        <v>1740</v>
      </c>
      <c r="B1741" s="96" t="s">
        <v>1863</v>
      </c>
      <c r="C1741" s="95">
        <v>42445</v>
      </c>
      <c r="D1741" s="82">
        <v>10130000</v>
      </c>
      <c r="E1741" s="82">
        <v>10025000</v>
      </c>
      <c r="F1741" s="82">
        <v>10130000</v>
      </c>
      <c r="G1741" s="82">
        <v>10130000</v>
      </c>
      <c r="I1741" s="98">
        <v>0</v>
      </c>
      <c r="J1741" s="98">
        <v>0</v>
      </c>
      <c r="K1741" s="98">
        <v>0</v>
      </c>
      <c r="M1741" s="7">
        <f t="shared" si="298"/>
        <v>0</v>
      </c>
      <c r="N1741" s="7">
        <f t="shared" si="307"/>
        <v>0</v>
      </c>
      <c r="O1741" s="7">
        <f t="shared" si="306"/>
        <v>65000</v>
      </c>
      <c r="P1741" s="99">
        <f t="shared" si="299"/>
        <v>6.4580228514654744E-3</v>
      </c>
      <c r="Q1741" s="99">
        <f t="shared" si="308"/>
        <v>-7.4101115046486862E-3</v>
      </c>
      <c r="S1741" s="7">
        <f t="shared" si="300"/>
        <v>11143000</v>
      </c>
      <c r="T1741" s="7">
        <f t="shared" si="301"/>
        <v>3376666.6666666665</v>
      </c>
      <c r="U1741" s="7">
        <f t="shared" si="302"/>
        <v>11965000</v>
      </c>
      <c r="V1741" s="7">
        <f t="shared" si="303"/>
        <v>0</v>
      </c>
      <c r="W1741" s="7">
        <f t="shared" si="304"/>
        <v>0</v>
      </c>
      <c r="X1741" s="7">
        <f t="shared" si="305"/>
        <v>0</v>
      </c>
    </row>
    <row r="1742" spans="1:24">
      <c r="A1742">
        <v>1741</v>
      </c>
      <c r="B1742" s="96" t="s">
        <v>1862</v>
      </c>
      <c r="C1742" s="95">
        <v>42446</v>
      </c>
      <c r="D1742" s="82">
        <v>10130000</v>
      </c>
      <c r="E1742" s="82">
        <v>10120000</v>
      </c>
      <c r="F1742" s="82">
        <v>10200000</v>
      </c>
      <c r="G1742" s="82">
        <v>10130000</v>
      </c>
      <c r="I1742" s="82">
        <f>G1742*1.1</f>
        <v>11143000</v>
      </c>
      <c r="J1742" s="82">
        <f>G1742/3</f>
        <v>3376666.6666666665</v>
      </c>
      <c r="K1742" s="7">
        <f>G2010</f>
        <v>11972000</v>
      </c>
      <c r="L1742" s="7">
        <f>K1742-I1742</f>
        <v>829000</v>
      </c>
      <c r="M1742" s="7">
        <f t="shared" si="298"/>
        <v>422083.33333333326</v>
      </c>
      <c r="N1742" s="7">
        <f t="shared" si="307"/>
        <v>1251083.3333333333</v>
      </c>
      <c r="O1742" s="7">
        <f t="shared" si="306"/>
        <v>0</v>
      </c>
      <c r="P1742" s="99">
        <f t="shared" si="299"/>
        <v>0</v>
      </c>
      <c r="Q1742" s="99">
        <f t="shared" si="308"/>
        <v>5.2720128764519036E-4</v>
      </c>
      <c r="R1742">
        <v>1</v>
      </c>
      <c r="S1742" s="7">
        <f t="shared" si="300"/>
        <v>11143000</v>
      </c>
      <c r="T1742" s="7">
        <f t="shared" si="301"/>
        <v>3376666.6666666665</v>
      </c>
      <c r="U1742" s="7">
        <f t="shared" si="302"/>
        <v>11972000</v>
      </c>
      <c r="V1742" s="7">
        <f t="shared" si="303"/>
        <v>829000</v>
      </c>
      <c r="W1742" s="7">
        <f t="shared" si="304"/>
        <v>422083.33333333326</v>
      </c>
      <c r="X1742" s="7">
        <f t="shared" si="305"/>
        <v>1251083.3333333333</v>
      </c>
    </row>
    <row r="1743" spans="1:24">
      <c r="A1743">
        <v>1742</v>
      </c>
      <c r="B1743" s="96" t="s">
        <v>1861</v>
      </c>
      <c r="C1743" s="95">
        <v>42448</v>
      </c>
      <c r="D1743" s="82">
        <v>10150000</v>
      </c>
      <c r="E1743" s="82">
        <v>10125000</v>
      </c>
      <c r="F1743" s="82">
        <v>10150000</v>
      </c>
      <c r="G1743" s="82">
        <v>10150000</v>
      </c>
      <c r="I1743" s="97">
        <v>0</v>
      </c>
      <c r="J1743" s="97">
        <v>0</v>
      </c>
      <c r="K1743" s="97">
        <v>0</v>
      </c>
      <c r="M1743" s="7">
        <f t="shared" si="298"/>
        <v>0</v>
      </c>
      <c r="N1743" s="7">
        <f t="shared" si="307"/>
        <v>0</v>
      </c>
      <c r="O1743" s="7">
        <f t="shared" si="306"/>
        <v>20000</v>
      </c>
      <c r="P1743" s="99">
        <f t="shared" si="299"/>
        <v>1.9743336623889436E-3</v>
      </c>
      <c r="Q1743" s="99">
        <f t="shared" si="308"/>
        <v>-4.6045303334246376E-4</v>
      </c>
      <c r="S1743" s="7">
        <f t="shared" si="300"/>
        <v>11165000</v>
      </c>
      <c r="T1743" s="7">
        <f t="shared" si="301"/>
        <v>3383333.3333333335</v>
      </c>
      <c r="U1743" s="7">
        <f t="shared" si="302"/>
        <v>12135000</v>
      </c>
      <c r="V1743" s="7">
        <f t="shared" si="303"/>
        <v>0</v>
      </c>
      <c r="W1743" s="7">
        <f t="shared" si="304"/>
        <v>0</v>
      </c>
      <c r="X1743" s="7">
        <f t="shared" si="305"/>
        <v>0</v>
      </c>
    </row>
    <row r="1744" spans="1:24">
      <c r="A1744">
        <v>1743</v>
      </c>
      <c r="B1744" s="96" t="s">
        <v>1860</v>
      </c>
      <c r="C1744" s="95">
        <v>42455</v>
      </c>
      <c r="D1744" s="82">
        <v>10050000</v>
      </c>
      <c r="E1744" s="82">
        <v>10050000</v>
      </c>
      <c r="F1744" s="82">
        <v>10125000</v>
      </c>
      <c r="G1744" s="82">
        <v>10050000</v>
      </c>
      <c r="I1744" s="97">
        <v>0</v>
      </c>
      <c r="J1744" s="97">
        <v>0</v>
      </c>
      <c r="K1744" s="97">
        <v>0</v>
      </c>
      <c r="M1744" s="7">
        <f t="shared" si="298"/>
        <v>0</v>
      </c>
      <c r="N1744" s="7">
        <f t="shared" si="307"/>
        <v>0</v>
      </c>
      <c r="O1744" s="7">
        <f t="shared" si="306"/>
        <v>-100000</v>
      </c>
      <c r="P1744" s="99">
        <f t="shared" si="299"/>
        <v>-9.852216748768473E-3</v>
      </c>
      <c r="Q1744" s="99">
        <f t="shared" si="308"/>
        <v>4.4739200962393751E-3</v>
      </c>
      <c r="S1744" s="7">
        <f t="shared" si="300"/>
        <v>11055000</v>
      </c>
      <c r="T1744" s="7">
        <f t="shared" si="301"/>
        <v>3350000</v>
      </c>
      <c r="U1744" s="7">
        <f t="shared" si="302"/>
        <v>12097000</v>
      </c>
      <c r="V1744" s="7">
        <f t="shared" si="303"/>
        <v>0</v>
      </c>
      <c r="W1744" s="7">
        <f t="shared" si="304"/>
        <v>0</v>
      </c>
      <c r="X1744" s="7">
        <f t="shared" si="305"/>
        <v>0</v>
      </c>
    </row>
    <row r="1745" spans="1:24">
      <c r="A1745">
        <v>1744</v>
      </c>
      <c r="B1745" s="96" t="s">
        <v>1859</v>
      </c>
      <c r="C1745" s="95">
        <v>42456</v>
      </c>
      <c r="D1745" s="82">
        <v>10070000</v>
      </c>
      <c r="E1745" s="82">
        <v>10070000</v>
      </c>
      <c r="F1745" s="82">
        <v>10070000</v>
      </c>
      <c r="G1745" s="82">
        <v>10070000</v>
      </c>
      <c r="I1745" s="97">
        <v>0</v>
      </c>
      <c r="J1745" s="97">
        <v>0</v>
      </c>
      <c r="K1745" s="97">
        <v>0</v>
      </c>
      <c r="M1745" s="7">
        <f t="shared" si="298"/>
        <v>0</v>
      </c>
      <c r="N1745" s="7">
        <f t="shared" si="307"/>
        <v>0</v>
      </c>
      <c r="O1745" s="7">
        <f t="shared" si="306"/>
        <v>20000</v>
      </c>
      <c r="P1745" s="99">
        <f t="shared" si="299"/>
        <v>1.990049751243781E-3</v>
      </c>
      <c r="Q1745" s="99">
        <f t="shared" si="308"/>
        <v>-5.3782966525290979E-3</v>
      </c>
      <c r="S1745" s="7">
        <f t="shared" si="300"/>
        <v>11077000</v>
      </c>
      <c r="T1745" s="7">
        <f t="shared" si="301"/>
        <v>3356666.6666666665</v>
      </c>
      <c r="U1745" s="7">
        <f t="shared" si="302"/>
        <v>12033000</v>
      </c>
      <c r="V1745" s="7">
        <f t="shared" si="303"/>
        <v>0</v>
      </c>
      <c r="W1745" s="7">
        <f t="shared" si="304"/>
        <v>0</v>
      </c>
      <c r="X1745" s="7">
        <f t="shared" si="305"/>
        <v>0</v>
      </c>
    </row>
    <row r="1746" spans="1:24">
      <c r="A1746">
        <v>1745</v>
      </c>
      <c r="B1746" s="96" t="s">
        <v>1858</v>
      </c>
      <c r="C1746" s="95">
        <v>42457</v>
      </c>
      <c r="D1746" s="82">
        <v>10090000</v>
      </c>
      <c r="E1746" s="82">
        <v>10070000</v>
      </c>
      <c r="F1746" s="82">
        <v>10090000</v>
      </c>
      <c r="G1746" s="82">
        <v>10090000</v>
      </c>
      <c r="I1746" s="98">
        <v>0</v>
      </c>
      <c r="J1746" s="98">
        <v>0</v>
      </c>
      <c r="K1746" s="98">
        <v>0</v>
      </c>
      <c r="M1746" s="7">
        <f t="shared" si="298"/>
        <v>0</v>
      </c>
      <c r="N1746" s="7">
        <f t="shared" si="307"/>
        <v>0</v>
      </c>
      <c r="O1746" s="7">
        <f t="shared" si="306"/>
        <v>20000</v>
      </c>
      <c r="P1746" s="99">
        <f t="shared" si="299"/>
        <v>1.9860973187686196E-3</v>
      </c>
      <c r="Q1746" s="99">
        <f t="shared" si="308"/>
        <v>5.7018951632972553E-4</v>
      </c>
      <c r="S1746" s="7">
        <f t="shared" si="300"/>
        <v>11099000</v>
      </c>
      <c r="T1746" s="7">
        <f t="shared" si="301"/>
        <v>3363333.3333333335</v>
      </c>
      <c r="U1746" s="7">
        <f t="shared" si="302"/>
        <v>11993000</v>
      </c>
      <c r="V1746" s="7">
        <f t="shared" si="303"/>
        <v>0</v>
      </c>
      <c r="W1746" s="7">
        <f t="shared" si="304"/>
        <v>0</v>
      </c>
      <c r="X1746" s="7">
        <f t="shared" si="305"/>
        <v>0</v>
      </c>
    </row>
    <row r="1747" spans="1:24">
      <c r="A1747">
        <v>1746</v>
      </c>
      <c r="B1747" s="96" t="s">
        <v>1857</v>
      </c>
      <c r="C1747" s="95">
        <v>42458</v>
      </c>
      <c r="D1747" s="82">
        <v>10135000</v>
      </c>
      <c r="E1747" s="82">
        <v>10095000</v>
      </c>
      <c r="F1747" s="82">
        <v>10135000</v>
      </c>
      <c r="G1747" s="82">
        <v>10135000</v>
      </c>
      <c r="I1747" s="82">
        <f>G1747*1.1</f>
        <v>11148500</v>
      </c>
      <c r="J1747" s="82">
        <f>G1747/3</f>
        <v>3378333.3333333335</v>
      </c>
      <c r="K1747" s="7">
        <f>G2015</f>
        <v>12023000</v>
      </c>
      <c r="L1747" s="7">
        <f>K1747-I1747</f>
        <v>874500</v>
      </c>
      <c r="M1747" s="7">
        <f t="shared" si="298"/>
        <v>422291.66666666674</v>
      </c>
      <c r="N1747" s="7">
        <f t="shared" si="307"/>
        <v>1296791.6666666667</v>
      </c>
      <c r="O1747" s="7">
        <f t="shared" si="306"/>
        <v>45000</v>
      </c>
      <c r="P1747" s="99">
        <f t="shared" si="299"/>
        <v>4.4598612487611496E-3</v>
      </c>
      <c r="Q1747" s="99">
        <f t="shared" si="308"/>
        <v>-3.901736016367128E-3</v>
      </c>
      <c r="R1747">
        <v>1</v>
      </c>
      <c r="S1747" s="7">
        <f t="shared" si="300"/>
        <v>11148500</v>
      </c>
      <c r="T1747" s="7">
        <f t="shared" si="301"/>
        <v>3378333.3333333335</v>
      </c>
      <c r="U1747" s="7">
        <f t="shared" si="302"/>
        <v>12023000</v>
      </c>
      <c r="V1747" s="7">
        <f t="shared" si="303"/>
        <v>874500</v>
      </c>
      <c r="W1747" s="7">
        <f t="shared" si="304"/>
        <v>422291.66666666674</v>
      </c>
      <c r="X1747" s="7">
        <f t="shared" si="305"/>
        <v>1296791.6666666667</v>
      </c>
    </row>
    <row r="1748" spans="1:24">
      <c r="A1748">
        <v>1747</v>
      </c>
      <c r="B1748" s="96" t="s">
        <v>1856</v>
      </c>
      <c r="C1748" s="95">
        <v>42459</v>
      </c>
      <c r="D1748" s="82">
        <v>10190000</v>
      </c>
      <c r="E1748" s="82">
        <v>10165000</v>
      </c>
      <c r="F1748" s="82">
        <v>10190000</v>
      </c>
      <c r="G1748" s="82">
        <v>10190000</v>
      </c>
      <c r="I1748" s="97">
        <v>0</v>
      </c>
      <c r="J1748" s="97">
        <v>0</v>
      </c>
      <c r="K1748" s="97">
        <v>0</v>
      </c>
      <c r="M1748" s="7">
        <f t="shared" si="298"/>
        <v>0</v>
      </c>
      <c r="N1748" s="7">
        <f t="shared" si="307"/>
        <v>0</v>
      </c>
      <c r="O1748" s="7">
        <f t="shared" si="306"/>
        <v>55000</v>
      </c>
      <c r="P1748" s="99">
        <f t="shared" si="299"/>
        <v>5.4267390231869756E-3</v>
      </c>
      <c r="Q1748" s="99">
        <f t="shared" si="308"/>
        <v>5.5812523239402159E-4</v>
      </c>
      <c r="S1748" s="7">
        <f t="shared" si="300"/>
        <v>11209000</v>
      </c>
      <c r="T1748" s="7">
        <f t="shared" si="301"/>
        <v>3396666.6666666665</v>
      </c>
      <c r="U1748" s="7">
        <f t="shared" si="302"/>
        <v>12015000</v>
      </c>
      <c r="V1748" s="7">
        <f t="shared" si="303"/>
        <v>0</v>
      </c>
      <c r="W1748" s="7">
        <f t="shared" si="304"/>
        <v>0</v>
      </c>
      <c r="X1748" s="7">
        <f t="shared" si="305"/>
        <v>0</v>
      </c>
    </row>
    <row r="1749" spans="1:24">
      <c r="A1749">
        <v>1748</v>
      </c>
      <c r="B1749" s="96" t="s">
        <v>1855</v>
      </c>
      <c r="C1749" s="95">
        <v>42460</v>
      </c>
      <c r="D1749" s="82">
        <v>10190000</v>
      </c>
      <c r="E1749" s="82">
        <v>10185000</v>
      </c>
      <c r="F1749" s="82">
        <v>10195000</v>
      </c>
      <c r="G1749" s="82">
        <v>10190000</v>
      </c>
      <c r="I1749" s="97">
        <v>0</v>
      </c>
      <c r="J1749" s="97">
        <v>0</v>
      </c>
      <c r="K1749" s="97">
        <v>0</v>
      </c>
      <c r="M1749" s="7">
        <f t="shared" si="298"/>
        <v>0</v>
      </c>
      <c r="N1749" s="7">
        <f t="shared" si="307"/>
        <v>0</v>
      </c>
      <c r="O1749" s="7">
        <f t="shared" si="306"/>
        <v>0</v>
      </c>
      <c r="P1749" s="99">
        <f t="shared" si="299"/>
        <v>0</v>
      </c>
      <c r="Q1749" s="99">
        <f t="shared" si="308"/>
        <v>4.0105305931920536E-3</v>
      </c>
      <c r="S1749" s="7">
        <f t="shared" si="300"/>
        <v>11209000</v>
      </c>
      <c r="T1749" s="7">
        <f t="shared" si="301"/>
        <v>3396666.6666666665</v>
      </c>
      <c r="U1749" s="7">
        <f t="shared" si="302"/>
        <v>11840000</v>
      </c>
      <c r="V1749" s="7">
        <f t="shared" si="303"/>
        <v>0</v>
      </c>
      <c r="W1749" s="7">
        <f t="shared" si="304"/>
        <v>0</v>
      </c>
      <c r="X1749" s="7">
        <f t="shared" si="305"/>
        <v>0</v>
      </c>
    </row>
    <row r="1750" spans="1:24">
      <c r="A1750">
        <v>1749</v>
      </c>
      <c r="B1750" s="96" t="s">
        <v>1854</v>
      </c>
      <c r="C1750" s="95">
        <v>42462</v>
      </c>
      <c r="D1750" s="82">
        <v>10200000</v>
      </c>
      <c r="E1750" s="82">
        <v>10125000</v>
      </c>
      <c r="F1750" s="82">
        <v>10210000</v>
      </c>
      <c r="G1750" s="82">
        <v>10200000</v>
      </c>
      <c r="I1750" s="97">
        <v>0</v>
      </c>
      <c r="J1750" s="97">
        <v>0</v>
      </c>
      <c r="K1750" s="97">
        <v>0</v>
      </c>
      <c r="M1750" s="7">
        <f t="shared" si="298"/>
        <v>0</v>
      </c>
      <c r="N1750" s="7">
        <f t="shared" si="307"/>
        <v>0</v>
      </c>
      <c r="O1750" s="7">
        <f t="shared" si="306"/>
        <v>10000</v>
      </c>
      <c r="P1750" s="99">
        <f t="shared" si="299"/>
        <v>9.813542688910696E-4</v>
      </c>
      <c r="Q1750" s="99">
        <f t="shared" si="308"/>
        <v>1.3862747341960528E-2</v>
      </c>
      <c r="S1750" s="7">
        <f t="shared" si="300"/>
        <v>11220000</v>
      </c>
      <c r="T1750" s="7">
        <f t="shared" si="301"/>
        <v>3400000</v>
      </c>
      <c r="U1750" s="7">
        <f t="shared" si="302"/>
        <v>11877000</v>
      </c>
      <c r="V1750" s="7">
        <f t="shared" si="303"/>
        <v>0</v>
      </c>
      <c r="W1750" s="7">
        <f t="shared" si="304"/>
        <v>0</v>
      </c>
      <c r="X1750" s="7">
        <f t="shared" si="305"/>
        <v>0</v>
      </c>
    </row>
    <row r="1751" spans="1:24">
      <c r="A1751">
        <v>1750</v>
      </c>
      <c r="B1751" s="96" t="s">
        <v>1853</v>
      </c>
      <c r="C1751" s="95">
        <v>42463</v>
      </c>
      <c r="D1751" s="82">
        <v>10185000</v>
      </c>
      <c r="E1751" s="82">
        <v>10170000</v>
      </c>
      <c r="F1751" s="82">
        <v>10190000</v>
      </c>
      <c r="G1751" s="82">
        <v>10185000</v>
      </c>
      <c r="I1751" s="98">
        <v>0</v>
      </c>
      <c r="J1751" s="98">
        <v>0</v>
      </c>
      <c r="K1751" s="98">
        <v>0</v>
      </c>
      <c r="M1751" s="7">
        <f t="shared" si="298"/>
        <v>0</v>
      </c>
      <c r="N1751" s="7">
        <f t="shared" si="307"/>
        <v>0</v>
      </c>
      <c r="O1751" s="7">
        <f t="shared" si="306"/>
        <v>-15000</v>
      </c>
      <c r="P1751" s="99">
        <f t="shared" si="299"/>
        <v>-1.4705882352941176E-3</v>
      </c>
      <c r="Q1751" s="99">
        <f t="shared" si="308"/>
        <v>1.2854051859607814E-2</v>
      </c>
      <c r="S1751" s="7">
        <f t="shared" si="300"/>
        <v>11203500</v>
      </c>
      <c r="T1751" s="7">
        <f t="shared" si="301"/>
        <v>3395000</v>
      </c>
      <c r="U1751" s="7">
        <f t="shared" si="302"/>
        <v>11903000</v>
      </c>
      <c r="V1751" s="7">
        <f t="shared" si="303"/>
        <v>0</v>
      </c>
      <c r="W1751" s="7">
        <f t="shared" si="304"/>
        <v>0</v>
      </c>
      <c r="X1751" s="7">
        <f t="shared" si="305"/>
        <v>0</v>
      </c>
    </row>
    <row r="1752" spans="1:24">
      <c r="A1752">
        <v>1751</v>
      </c>
      <c r="B1752" s="96" t="s">
        <v>1852</v>
      </c>
      <c r="C1752" s="95">
        <v>42464</v>
      </c>
      <c r="D1752" s="82">
        <v>10160000</v>
      </c>
      <c r="E1752" s="82">
        <v>10130000</v>
      </c>
      <c r="F1752" s="82">
        <v>10170000</v>
      </c>
      <c r="G1752" s="82">
        <v>10160000</v>
      </c>
      <c r="I1752" s="82">
        <f>G1752*1.1</f>
        <v>11176000</v>
      </c>
      <c r="J1752" s="82">
        <f>G1752/3</f>
        <v>3386666.6666666665</v>
      </c>
      <c r="K1752" s="7">
        <f>G2020</f>
        <v>11975000</v>
      </c>
      <c r="L1752" s="7">
        <f>K1752-I1752</f>
        <v>799000</v>
      </c>
      <c r="M1752" s="7">
        <f t="shared" si="298"/>
        <v>423333.33333333326</v>
      </c>
      <c r="N1752" s="7">
        <f t="shared" si="307"/>
        <v>1222333.3333333333</v>
      </c>
      <c r="O1752" s="7">
        <f t="shared" si="306"/>
        <v>-25000</v>
      </c>
      <c r="P1752" s="99">
        <f t="shared" si="299"/>
        <v>-2.4545900834560628E-3</v>
      </c>
      <c r="Q1752" s="99">
        <f t="shared" si="308"/>
        <v>9.3973663055450778E-3</v>
      </c>
      <c r="R1752">
        <v>1</v>
      </c>
      <c r="S1752" s="7">
        <f t="shared" si="300"/>
        <v>11176000</v>
      </c>
      <c r="T1752" s="7">
        <f t="shared" si="301"/>
        <v>3386666.6666666665</v>
      </c>
      <c r="U1752" s="7">
        <f t="shared" si="302"/>
        <v>11975000</v>
      </c>
      <c r="V1752" s="7">
        <f t="shared" si="303"/>
        <v>799000</v>
      </c>
      <c r="W1752" s="7">
        <f t="shared" si="304"/>
        <v>423333.33333333326</v>
      </c>
      <c r="X1752" s="7">
        <f t="shared" si="305"/>
        <v>1222333.3333333333</v>
      </c>
    </row>
    <row r="1753" spans="1:24">
      <c r="A1753">
        <v>1752</v>
      </c>
      <c r="B1753" s="96" t="s">
        <v>1851</v>
      </c>
      <c r="C1753" s="95">
        <v>42465</v>
      </c>
      <c r="D1753" s="82">
        <v>10290000</v>
      </c>
      <c r="E1753" s="82">
        <v>10170000</v>
      </c>
      <c r="F1753" s="82">
        <v>10300000</v>
      </c>
      <c r="G1753" s="82">
        <v>10290000</v>
      </c>
      <c r="I1753" s="97">
        <v>0</v>
      </c>
      <c r="J1753" s="97">
        <v>0</v>
      </c>
      <c r="K1753" s="97">
        <v>0</v>
      </c>
      <c r="M1753" s="7">
        <f t="shared" si="298"/>
        <v>0</v>
      </c>
      <c r="N1753" s="7">
        <f t="shared" si="307"/>
        <v>0</v>
      </c>
      <c r="O1753" s="7">
        <f t="shared" si="306"/>
        <v>130000</v>
      </c>
      <c r="P1753" s="99">
        <f t="shared" si="299"/>
        <v>1.2795275590551181E-2</v>
      </c>
      <c r="Q1753" s="99">
        <f t="shared" si="308"/>
        <v>2.4829149733278646E-3</v>
      </c>
      <c r="S1753" s="7">
        <f t="shared" si="300"/>
        <v>11319000</v>
      </c>
      <c r="T1753" s="7">
        <f t="shared" si="301"/>
        <v>3430000</v>
      </c>
      <c r="U1753" s="7">
        <f t="shared" si="302"/>
        <v>11890000</v>
      </c>
      <c r="V1753" s="7">
        <f t="shared" si="303"/>
        <v>0</v>
      </c>
      <c r="W1753" s="7">
        <f t="shared" si="304"/>
        <v>0</v>
      </c>
      <c r="X1753" s="7">
        <f t="shared" si="305"/>
        <v>0</v>
      </c>
    </row>
    <row r="1754" spans="1:24">
      <c r="A1754">
        <v>1753</v>
      </c>
      <c r="B1754" s="96" t="s">
        <v>1850</v>
      </c>
      <c r="C1754" s="95">
        <v>42466</v>
      </c>
      <c r="D1754" s="82">
        <v>10230000</v>
      </c>
      <c r="E1754" s="82">
        <v>10210000</v>
      </c>
      <c r="F1754" s="82">
        <v>10280000</v>
      </c>
      <c r="G1754" s="82">
        <v>10230000</v>
      </c>
      <c r="I1754" s="97">
        <v>0</v>
      </c>
      <c r="J1754" s="97">
        <v>0</v>
      </c>
      <c r="K1754" s="97">
        <v>0</v>
      </c>
      <c r="M1754" s="7">
        <f t="shared" si="298"/>
        <v>0</v>
      </c>
      <c r="N1754" s="7">
        <f t="shared" si="307"/>
        <v>0</v>
      </c>
      <c r="O1754" s="7">
        <f t="shared" si="306"/>
        <v>-60000</v>
      </c>
      <c r="P1754" s="99">
        <f t="shared" si="299"/>
        <v>-5.8309037900874635E-3</v>
      </c>
      <c r="Q1754" s="99">
        <f t="shared" si="308"/>
        <v>9.8514515406920699E-3</v>
      </c>
      <c r="S1754" s="7">
        <f t="shared" si="300"/>
        <v>11253000</v>
      </c>
      <c r="T1754" s="7">
        <f t="shared" si="301"/>
        <v>3410000</v>
      </c>
      <c r="U1754" s="7">
        <f t="shared" si="302"/>
        <v>11890000</v>
      </c>
      <c r="V1754" s="7">
        <f t="shared" si="303"/>
        <v>0</v>
      </c>
      <c r="W1754" s="7">
        <f t="shared" si="304"/>
        <v>0</v>
      </c>
      <c r="X1754" s="7">
        <f t="shared" si="305"/>
        <v>0</v>
      </c>
    </row>
    <row r="1755" spans="1:24">
      <c r="A1755">
        <v>1754</v>
      </c>
      <c r="B1755" s="96" t="s">
        <v>1849</v>
      </c>
      <c r="C1755" s="95">
        <v>42467</v>
      </c>
      <c r="D1755" s="82">
        <v>10255000</v>
      </c>
      <c r="E1755" s="82">
        <v>10205000</v>
      </c>
      <c r="F1755" s="82">
        <v>10275000</v>
      </c>
      <c r="G1755" s="82">
        <v>10255000</v>
      </c>
      <c r="I1755" s="97">
        <v>0</v>
      </c>
      <c r="J1755" s="97">
        <v>0</v>
      </c>
      <c r="K1755" s="97">
        <v>0</v>
      </c>
      <c r="M1755" s="7">
        <f t="shared" si="298"/>
        <v>0</v>
      </c>
      <c r="N1755" s="7">
        <f t="shared" si="307"/>
        <v>0</v>
      </c>
      <c r="O1755" s="7">
        <f t="shared" si="306"/>
        <v>25000</v>
      </c>
      <c r="P1755" s="99">
        <f t="shared" si="299"/>
        <v>2.4437927663734115E-3</v>
      </c>
      <c r="Q1755" s="99">
        <f t="shared" si="308"/>
        <v>4.0205477506046064E-3</v>
      </c>
      <c r="S1755" s="7">
        <f t="shared" si="300"/>
        <v>11280500</v>
      </c>
      <c r="T1755" s="7">
        <f t="shared" si="301"/>
        <v>3418333.3333333335</v>
      </c>
      <c r="U1755" s="7">
        <f t="shared" si="302"/>
        <v>11930000</v>
      </c>
      <c r="V1755" s="7">
        <f t="shared" si="303"/>
        <v>0</v>
      </c>
      <c r="W1755" s="7">
        <f t="shared" si="304"/>
        <v>0</v>
      </c>
      <c r="X1755" s="7">
        <f t="shared" si="305"/>
        <v>0</v>
      </c>
    </row>
    <row r="1756" spans="1:24">
      <c r="A1756">
        <v>1755</v>
      </c>
      <c r="B1756" s="96" t="s">
        <v>1848</v>
      </c>
      <c r="C1756" s="95">
        <v>42469</v>
      </c>
      <c r="D1756" s="82">
        <v>10330000</v>
      </c>
      <c r="E1756" s="82">
        <v>10290000</v>
      </c>
      <c r="F1756" s="82">
        <v>10335000</v>
      </c>
      <c r="G1756" s="82">
        <v>10330000</v>
      </c>
      <c r="I1756" s="98">
        <v>0</v>
      </c>
      <c r="J1756" s="98">
        <v>0</v>
      </c>
      <c r="K1756" s="98">
        <v>0</v>
      </c>
      <c r="M1756" s="7">
        <f t="shared" si="298"/>
        <v>0</v>
      </c>
      <c r="N1756" s="7">
        <f t="shared" si="307"/>
        <v>0</v>
      </c>
      <c r="O1756" s="7">
        <f t="shared" si="306"/>
        <v>75000</v>
      </c>
      <c r="P1756" s="99">
        <f t="shared" si="299"/>
        <v>7.3135056070209653E-3</v>
      </c>
      <c r="Q1756" s="99">
        <f t="shared" si="308"/>
        <v>5.482986248086949E-3</v>
      </c>
      <c r="S1756" s="7">
        <f t="shared" si="300"/>
        <v>11363000</v>
      </c>
      <c r="T1756" s="7">
        <f t="shared" si="301"/>
        <v>3443333.3333333335</v>
      </c>
      <c r="U1756" s="7">
        <f t="shared" si="302"/>
        <v>11920000</v>
      </c>
      <c r="V1756" s="7">
        <f t="shared" si="303"/>
        <v>0</v>
      </c>
      <c r="W1756" s="7">
        <f t="shared" si="304"/>
        <v>0</v>
      </c>
      <c r="X1756" s="7">
        <f t="shared" si="305"/>
        <v>0</v>
      </c>
    </row>
    <row r="1757" spans="1:24">
      <c r="A1757">
        <v>1756</v>
      </c>
      <c r="B1757" s="96" t="s">
        <v>1847</v>
      </c>
      <c r="C1757" s="95">
        <v>42470</v>
      </c>
      <c r="D1757" s="82">
        <v>10320000</v>
      </c>
      <c r="E1757" s="82">
        <v>10310000</v>
      </c>
      <c r="F1757" s="82">
        <v>10350000</v>
      </c>
      <c r="G1757" s="82">
        <v>10320000</v>
      </c>
      <c r="I1757" s="82">
        <f>G1757*1.1</f>
        <v>11352000</v>
      </c>
      <c r="J1757" s="82">
        <f>G1757/3</f>
        <v>3440000</v>
      </c>
      <c r="K1757" s="7">
        <f>G2025</f>
        <v>11935000</v>
      </c>
      <c r="L1757" s="7">
        <f>K1757-I1757</f>
        <v>583000</v>
      </c>
      <c r="M1757" s="7">
        <f t="shared" si="298"/>
        <v>430000</v>
      </c>
      <c r="N1757" s="7">
        <f t="shared" si="307"/>
        <v>1013000</v>
      </c>
      <c r="O1757" s="7">
        <f t="shared" si="306"/>
        <v>-10000</v>
      </c>
      <c r="P1757" s="99">
        <f t="shared" si="299"/>
        <v>-9.6805421103581804E-4</v>
      </c>
      <c r="Q1757" s="99">
        <f t="shared" si="308"/>
        <v>1.4267080090402031E-2</v>
      </c>
      <c r="R1757">
        <v>1</v>
      </c>
      <c r="S1757" s="7">
        <f t="shared" si="300"/>
        <v>11352000</v>
      </c>
      <c r="T1757" s="7">
        <f t="shared" si="301"/>
        <v>3440000</v>
      </c>
      <c r="U1757" s="7">
        <f t="shared" si="302"/>
        <v>11935000</v>
      </c>
      <c r="V1757" s="7">
        <f t="shared" si="303"/>
        <v>583000</v>
      </c>
      <c r="W1757" s="7">
        <f t="shared" si="304"/>
        <v>430000</v>
      </c>
      <c r="X1757" s="7">
        <f t="shared" si="305"/>
        <v>1013000</v>
      </c>
    </row>
    <row r="1758" spans="1:24">
      <c r="A1758">
        <v>1757</v>
      </c>
      <c r="B1758" s="96" t="s">
        <v>1846</v>
      </c>
      <c r="C1758" s="95">
        <v>42471</v>
      </c>
      <c r="D1758" s="82">
        <v>10425000</v>
      </c>
      <c r="E1758" s="82">
        <v>10365000</v>
      </c>
      <c r="F1758" s="82">
        <v>10430000</v>
      </c>
      <c r="G1758" s="82">
        <v>10425000</v>
      </c>
      <c r="I1758" s="97">
        <v>0</v>
      </c>
      <c r="J1758" s="97">
        <v>0</v>
      </c>
      <c r="K1758" s="97">
        <v>0</v>
      </c>
      <c r="M1758" s="7">
        <f t="shared" si="298"/>
        <v>0</v>
      </c>
      <c r="N1758" s="7">
        <f t="shared" si="307"/>
        <v>0</v>
      </c>
      <c r="O1758" s="7">
        <f t="shared" si="306"/>
        <v>105000</v>
      </c>
      <c r="P1758" s="99">
        <f t="shared" si="299"/>
        <v>1.0174418604651164E-2</v>
      </c>
      <c r="Q1758" s="99">
        <f t="shared" si="308"/>
        <v>1.5753615962822279E-2</v>
      </c>
      <c r="S1758" s="7">
        <f t="shared" si="300"/>
        <v>11467500</v>
      </c>
      <c r="T1758" s="7">
        <f t="shared" si="301"/>
        <v>3475000</v>
      </c>
      <c r="U1758" s="7">
        <f t="shared" si="302"/>
        <v>12000000</v>
      </c>
      <c r="V1758" s="7">
        <f t="shared" si="303"/>
        <v>0</v>
      </c>
      <c r="W1758" s="7">
        <f t="shared" si="304"/>
        <v>0</v>
      </c>
      <c r="X1758" s="7">
        <f t="shared" si="305"/>
        <v>0</v>
      </c>
    </row>
    <row r="1759" spans="1:24">
      <c r="A1759">
        <v>1758</v>
      </c>
      <c r="B1759" s="96" t="s">
        <v>1845</v>
      </c>
      <c r="C1759" s="95">
        <v>42472</v>
      </c>
      <c r="D1759" s="82">
        <v>10390000</v>
      </c>
      <c r="E1759" s="82">
        <v>10390000</v>
      </c>
      <c r="F1759" s="82">
        <v>10450000</v>
      </c>
      <c r="G1759" s="82">
        <v>10390000</v>
      </c>
      <c r="I1759" s="97">
        <v>0</v>
      </c>
      <c r="J1759" s="97">
        <v>0</v>
      </c>
      <c r="K1759" s="97">
        <v>0</v>
      </c>
      <c r="M1759" s="7">
        <f t="shared" si="298"/>
        <v>0</v>
      </c>
      <c r="N1759" s="7">
        <f t="shared" si="307"/>
        <v>0</v>
      </c>
      <c r="O1759" s="7">
        <f t="shared" si="306"/>
        <v>-35000</v>
      </c>
      <c r="P1759" s="99">
        <f t="shared" si="299"/>
        <v>-3.357314148681055E-3</v>
      </c>
      <c r="Q1759" s="99">
        <f t="shared" si="308"/>
        <v>1.3132758976922258E-2</v>
      </c>
      <c r="S1759" s="7">
        <f t="shared" si="300"/>
        <v>11429000</v>
      </c>
      <c r="T1759" s="7">
        <f t="shared" si="301"/>
        <v>3463333.3333333335</v>
      </c>
      <c r="U1759" s="7">
        <f t="shared" si="302"/>
        <v>12081000</v>
      </c>
      <c r="V1759" s="7">
        <f t="shared" si="303"/>
        <v>0</v>
      </c>
      <c r="W1759" s="7">
        <f t="shared" si="304"/>
        <v>0</v>
      </c>
      <c r="X1759" s="7">
        <f t="shared" si="305"/>
        <v>0</v>
      </c>
    </row>
    <row r="1760" spans="1:24">
      <c r="A1760">
        <v>1759</v>
      </c>
      <c r="B1760" s="96" t="s">
        <v>1844</v>
      </c>
      <c r="C1760" s="95">
        <v>42473</v>
      </c>
      <c r="D1760" s="82">
        <v>10330000</v>
      </c>
      <c r="E1760" s="82">
        <v>10300000</v>
      </c>
      <c r="F1760" s="82">
        <v>10410000</v>
      </c>
      <c r="G1760" s="82">
        <v>10330000</v>
      </c>
      <c r="I1760" s="97">
        <v>0</v>
      </c>
      <c r="J1760" s="97">
        <v>0</v>
      </c>
      <c r="K1760" s="97">
        <v>0</v>
      </c>
      <c r="M1760" s="7">
        <f t="shared" si="298"/>
        <v>0</v>
      </c>
      <c r="N1760" s="7">
        <f t="shared" si="307"/>
        <v>0</v>
      </c>
      <c r="O1760" s="7">
        <f t="shared" si="306"/>
        <v>-60000</v>
      </c>
      <c r="P1760" s="99">
        <f t="shared" si="299"/>
        <v>-5.7747834456207889E-3</v>
      </c>
      <c r="Q1760" s="99">
        <f t="shared" si="308"/>
        <v>1.5606348618328667E-2</v>
      </c>
      <c r="S1760" s="7">
        <f t="shared" si="300"/>
        <v>11363000</v>
      </c>
      <c r="T1760" s="7">
        <f t="shared" si="301"/>
        <v>3443333.3333333335</v>
      </c>
      <c r="U1760" s="7">
        <f t="shared" si="302"/>
        <v>12145000</v>
      </c>
      <c r="V1760" s="7">
        <f t="shared" si="303"/>
        <v>0</v>
      </c>
      <c r="W1760" s="7">
        <f t="shared" si="304"/>
        <v>0</v>
      </c>
      <c r="X1760" s="7">
        <f t="shared" si="305"/>
        <v>0</v>
      </c>
    </row>
    <row r="1761" spans="1:24">
      <c r="A1761">
        <v>1760</v>
      </c>
      <c r="B1761" s="96" t="s">
        <v>1843</v>
      </c>
      <c r="C1761" s="95">
        <v>42474</v>
      </c>
      <c r="D1761" s="82">
        <v>10225000</v>
      </c>
      <c r="E1761" s="82">
        <v>10215000</v>
      </c>
      <c r="F1761" s="82">
        <v>10270000</v>
      </c>
      <c r="G1761" s="82">
        <v>10225000</v>
      </c>
      <c r="I1761" s="98">
        <v>0</v>
      </c>
      <c r="J1761" s="98">
        <v>0</v>
      </c>
      <c r="K1761" s="98">
        <v>0</v>
      </c>
      <c r="M1761" s="7">
        <f t="shared" si="298"/>
        <v>0</v>
      </c>
      <c r="N1761" s="7">
        <f t="shared" si="307"/>
        <v>0</v>
      </c>
      <c r="O1761" s="7">
        <f t="shared" si="306"/>
        <v>-105000</v>
      </c>
      <c r="P1761" s="99">
        <f t="shared" si="299"/>
        <v>-1.016456921587609E-2</v>
      </c>
      <c r="Q1761" s="99">
        <f t="shared" si="308"/>
        <v>7.3877724063344651E-3</v>
      </c>
      <c r="S1761" s="7">
        <f t="shared" si="300"/>
        <v>11247500</v>
      </c>
      <c r="T1761" s="7">
        <f t="shared" si="301"/>
        <v>3408333.3333333335</v>
      </c>
      <c r="U1761" s="7">
        <f t="shared" si="302"/>
        <v>12040000</v>
      </c>
      <c r="V1761" s="7">
        <f t="shared" si="303"/>
        <v>0</v>
      </c>
      <c r="W1761" s="7">
        <f t="shared" si="304"/>
        <v>0</v>
      </c>
      <c r="X1761" s="7">
        <f t="shared" si="305"/>
        <v>0</v>
      </c>
    </row>
    <row r="1762" spans="1:24">
      <c r="A1762">
        <v>1761</v>
      </c>
      <c r="B1762" s="96" t="s">
        <v>1842</v>
      </c>
      <c r="C1762" s="95">
        <v>42476</v>
      </c>
      <c r="D1762" s="82">
        <v>10260000</v>
      </c>
      <c r="E1762" s="82">
        <v>10260000</v>
      </c>
      <c r="F1762" s="82">
        <v>10295000</v>
      </c>
      <c r="G1762" s="82">
        <v>10260000</v>
      </c>
      <c r="I1762" s="82">
        <f>G1762*1.1</f>
        <v>11286000</v>
      </c>
      <c r="J1762" s="82">
        <f>G1762/3</f>
        <v>3420000</v>
      </c>
      <c r="K1762" s="7">
        <f>G2030</f>
        <v>12013000</v>
      </c>
      <c r="L1762" s="7">
        <f>K1762-I1762</f>
        <v>727000</v>
      </c>
      <c r="M1762" s="7">
        <f t="shared" si="298"/>
        <v>427500</v>
      </c>
      <c r="N1762" s="7">
        <f t="shared" si="307"/>
        <v>1154500</v>
      </c>
      <c r="O1762" s="7">
        <f t="shared" si="306"/>
        <v>35000</v>
      </c>
      <c r="P1762" s="99">
        <f t="shared" si="299"/>
        <v>3.4229828850855745E-3</v>
      </c>
      <c r="Q1762" s="99">
        <f t="shared" si="308"/>
        <v>-1.0090302416562589E-2</v>
      </c>
      <c r="R1762">
        <v>1</v>
      </c>
      <c r="S1762" s="7">
        <f t="shared" si="300"/>
        <v>11286000</v>
      </c>
      <c r="T1762" s="7">
        <f t="shared" si="301"/>
        <v>3420000</v>
      </c>
      <c r="U1762" s="7">
        <f t="shared" si="302"/>
        <v>12013000</v>
      </c>
      <c r="V1762" s="7">
        <f t="shared" si="303"/>
        <v>727000</v>
      </c>
      <c r="W1762" s="7">
        <f t="shared" si="304"/>
        <v>427500</v>
      </c>
      <c r="X1762" s="7">
        <f t="shared" si="305"/>
        <v>1154500</v>
      </c>
    </row>
    <row r="1763" spans="1:24">
      <c r="A1763">
        <v>1762</v>
      </c>
      <c r="B1763" s="96" t="s">
        <v>1841</v>
      </c>
      <c r="C1763" s="95">
        <v>42477</v>
      </c>
      <c r="D1763" s="82">
        <v>10275000</v>
      </c>
      <c r="E1763" s="82">
        <v>10260000</v>
      </c>
      <c r="F1763" s="82">
        <v>10280000</v>
      </c>
      <c r="G1763" s="82">
        <v>10275000</v>
      </c>
      <c r="I1763" s="97">
        <v>0</v>
      </c>
      <c r="J1763" s="97">
        <v>0</v>
      </c>
      <c r="K1763" s="97">
        <v>0</v>
      </c>
      <c r="M1763" s="7">
        <f t="shared" si="298"/>
        <v>0</v>
      </c>
      <c r="N1763" s="7">
        <f t="shared" si="307"/>
        <v>0</v>
      </c>
      <c r="O1763" s="7">
        <f t="shared" si="306"/>
        <v>15000</v>
      </c>
      <c r="P1763" s="99">
        <f t="shared" si="299"/>
        <v>1.4619883040935672E-3</v>
      </c>
      <c r="Q1763" s="99">
        <f t="shared" si="308"/>
        <v>-5.6992653204411964E-3</v>
      </c>
      <c r="S1763" s="7">
        <f t="shared" si="300"/>
        <v>11302500</v>
      </c>
      <c r="T1763" s="7">
        <f t="shared" si="301"/>
        <v>3425000</v>
      </c>
      <c r="U1763" s="7">
        <f t="shared" si="302"/>
        <v>11985000</v>
      </c>
      <c r="V1763" s="7">
        <f t="shared" si="303"/>
        <v>0</v>
      </c>
      <c r="W1763" s="7">
        <f t="shared" si="304"/>
        <v>0</v>
      </c>
      <c r="X1763" s="7">
        <f t="shared" si="305"/>
        <v>0</v>
      </c>
    </row>
    <row r="1764" spans="1:24">
      <c r="A1764">
        <v>1763</v>
      </c>
      <c r="B1764" s="96" t="s">
        <v>1840</v>
      </c>
      <c r="C1764" s="95">
        <v>42478</v>
      </c>
      <c r="D1764" s="82">
        <v>10270000</v>
      </c>
      <c r="E1764" s="82">
        <v>10250000</v>
      </c>
      <c r="F1764" s="82">
        <v>10300000</v>
      </c>
      <c r="G1764" s="82">
        <v>10270000</v>
      </c>
      <c r="I1764" s="97">
        <v>0</v>
      </c>
      <c r="J1764" s="97">
        <v>0</v>
      </c>
      <c r="K1764" s="97">
        <v>0</v>
      </c>
      <c r="M1764" s="7">
        <f t="shared" si="298"/>
        <v>0</v>
      </c>
      <c r="N1764" s="7">
        <f t="shared" si="307"/>
        <v>0</v>
      </c>
      <c r="O1764" s="7">
        <f t="shared" si="306"/>
        <v>-5000</v>
      </c>
      <c r="P1764" s="99">
        <f t="shared" si="299"/>
        <v>-4.8661800486618007E-4</v>
      </c>
      <c r="Q1764" s="99">
        <f t="shared" si="308"/>
        <v>-1.4411695620998793E-2</v>
      </c>
      <c r="S1764" s="7">
        <f t="shared" si="300"/>
        <v>11297000</v>
      </c>
      <c r="T1764" s="7">
        <f t="shared" si="301"/>
        <v>3423333.3333333335</v>
      </c>
      <c r="U1764" s="7">
        <f t="shared" si="302"/>
        <v>12029000</v>
      </c>
      <c r="V1764" s="7">
        <f t="shared" si="303"/>
        <v>0</v>
      </c>
      <c r="W1764" s="7">
        <f t="shared" si="304"/>
        <v>0</v>
      </c>
      <c r="X1764" s="7">
        <f t="shared" si="305"/>
        <v>0</v>
      </c>
    </row>
    <row r="1765" spans="1:24">
      <c r="A1765">
        <v>1764</v>
      </c>
      <c r="B1765" s="96" t="s">
        <v>1839</v>
      </c>
      <c r="C1765" s="95">
        <v>42479</v>
      </c>
      <c r="D1765" s="82">
        <v>10310000</v>
      </c>
      <c r="E1765" s="82">
        <v>10255000</v>
      </c>
      <c r="F1765" s="82">
        <v>10310000</v>
      </c>
      <c r="G1765" s="82">
        <v>10310000</v>
      </c>
      <c r="I1765" s="97">
        <v>0</v>
      </c>
      <c r="J1765" s="97">
        <v>0</v>
      </c>
      <c r="K1765" s="97">
        <v>0</v>
      </c>
      <c r="M1765" s="7">
        <f t="shared" si="298"/>
        <v>0</v>
      </c>
      <c r="N1765" s="7">
        <f t="shared" si="307"/>
        <v>0</v>
      </c>
      <c r="O1765" s="7">
        <f t="shared" si="306"/>
        <v>40000</v>
      </c>
      <c r="P1765" s="99">
        <f t="shared" si="299"/>
        <v>3.8948393378773127E-3</v>
      </c>
      <c r="Q1765" s="99">
        <f t="shared" si="308"/>
        <v>-1.1540999477183917E-2</v>
      </c>
      <c r="S1765" s="7">
        <f t="shared" si="300"/>
        <v>11341000</v>
      </c>
      <c r="T1765" s="7">
        <f t="shared" si="301"/>
        <v>3436666.6666666665</v>
      </c>
      <c r="U1765" s="7">
        <f t="shared" si="302"/>
        <v>12012000</v>
      </c>
      <c r="V1765" s="7">
        <f t="shared" si="303"/>
        <v>0</v>
      </c>
      <c r="W1765" s="7">
        <f t="shared" si="304"/>
        <v>0</v>
      </c>
      <c r="X1765" s="7">
        <f t="shared" si="305"/>
        <v>0</v>
      </c>
    </row>
    <row r="1766" spans="1:24">
      <c r="A1766">
        <v>1765</v>
      </c>
      <c r="B1766" s="96" t="s">
        <v>1838</v>
      </c>
      <c r="C1766" s="95">
        <v>42480</v>
      </c>
      <c r="D1766" s="82">
        <v>10300000</v>
      </c>
      <c r="E1766" s="82">
        <v>10265000</v>
      </c>
      <c r="F1766" s="82">
        <v>10305000</v>
      </c>
      <c r="G1766" s="82">
        <v>10300000</v>
      </c>
      <c r="I1766" s="98">
        <v>0</v>
      </c>
      <c r="J1766" s="98">
        <v>0</v>
      </c>
      <c r="K1766" s="98">
        <v>0</v>
      </c>
      <c r="M1766" s="7">
        <f t="shared" si="298"/>
        <v>0</v>
      </c>
      <c r="N1766" s="7">
        <f t="shared" si="307"/>
        <v>0</v>
      </c>
      <c r="O1766" s="7">
        <f t="shared" si="306"/>
        <v>-10000</v>
      </c>
      <c r="P1766" s="99">
        <f t="shared" si="299"/>
        <v>-9.6993210475266732E-4</v>
      </c>
      <c r="Q1766" s="99">
        <f t="shared" si="308"/>
        <v>-1.8713766936858155E-3</v>
      </c>
      <c r="S1766" s="7">
        <f t="shared" si="300"/>
        <v>11330000</v>
      </c>
      <c r="T1766" s="7">
        <f t="shared" si="301"/>
        <v>3433333.3333333335</v>
      </c>
      <c r="U1766" s="7">
        <f t="shared" si="302"/>
        <v>12015000</v>
      </c>
      <c r="V1766" s="7">
        <f t="shared" si="303"/>
        <v>0</v>
      </c>
      <c r="W1766" s="7">
        <f t="shared" si="304"/>
        <v>0</v>
      </c>
      <c r="X1766" s="7">
        <f t="shared" si="305"/>
        <v>0</v>
      </c>
    </row>
    <row r="1767" spans="1:24">
      <c r="A1767">
        <v>1766</v>
      </c>
      <c r="B1767" s="96" t="s">
        <v>1837</v>
      </c>
      <c r="C1767" s="95">
        <v>42481</v>
      </c>
      <c r="D1767" s="82">
        <v>10295000</v>
      </c>
      <c r="E1767" s="82">
        <v>10270000</v>
      </c>
      <c r="F1767" s="82">
        <v>10335000</v>
      </c>
      <c r="G1767" s="82">
        <v>10295000</v>
      </c>
      <c r="I1767" s="82">
        <f>G1767*1.1</f>
        <v>11324500</v>
      </c>
      <c r="J1767" s="82">
        <f>G1767/3</f>
        <v>3431666.6666666665</v>
      </c>
      <c r="K1767" s="7">
        <f>G2035</f>
        <v>11995000</v>
      </c>
      <c r="L1767" s="7">
        <f>K1767-I1767</f>
        <v>670500</v>
      </c>
      <c r="M1767" s="7">
        <f t="shared" si="298"/>
        <v>428958.33333333326</v>
      </c>
      <c r="N1767" s="7">
        <f t="shared" si="307"/>
        <v>1099458.3333333333</v>
      </c>
      <c r="O1767" s="7">
        <f t="shared" si="306"/>
        <v>-5000</v>
      </c>
      <c r="P1767" s="99">
        <f t="shared" si="299"/>
        <v>-4.8543689320388347E-4</v>
      </c>
      <c r="Q1767" s="99">
        <f t="shared" si="308"/>
        <v>7.3232604174376078E-3</v>
      </c>
      <c r="R1767">
        <v>1</v>
      </c>
      <c r="S1767" s="7">
        <f t="shared" si="300"/>
        <v>11324500</v>
      </c>
      <c r="T1767" s="7">
        <f t="shared" si="301"/>
        <v>3431666.6666666665</v>
      </c>
      <c r="U1767" s="7">
        <f t="shared" si="302"/>
        <v>11995000</v>
      </c>
      <c r="V1767" s="7">
        <f t="shared" si="303"/>
        <v>670500</v>
      </c>
      <c r="W1767" s="7">
        <f t="shared" si="304"/>
        <v>428958.33333333326</v>
      </c>
      <c r="X1767" s="7">
        <f t="shared" si="305"/>
        <v>1099458.3333333333</v>
      </c>
    </row>
    <row r="1768" spans="1:24">
      <c r="A1768">
        <v>1767</v>
      </c>
      <c r="B1768" s="96" t="s">
        <v>1836</v>
      </c>
      <c r="C1768" s="95">
        <v>42483</v>
      </c>
      <c r="D1768" s="82">
        <v>10205000</v>
      </c>
      <c r="E1768" s="82">
        <v>10190000</v>
      </c>
      <c r="F1768" s="82">
        <v>10230000</v>
      </c>
      <c r="G1768" s="82">
        <v>10205000</v>
      </c>
      <c r="I1768" s="97">
        <v>0</v>
      </c>
      <c r="J1768" s="97">
        <v>0</v>
      </c>
      <c r="K1768" s="97">
        <v>0</v>
      </c>
      <c r="M1768" s="7">
        <f t="shared" si="298"/>
        <v>0</v>
      </c>
      <c r="N1768" s="7">
        <f t="shared" si="307"/>
        <v>0</v>
      </c>
      <c r="O1768" s="7">
        <f t="shared" si="306"/>
        <v>-90000</v>
      </c>
      <c r="P1768" s="99">
        <f t="shared" si="299"/>
        <v>-8.7421078193297714E-3</v>
      </c>
      <c r="Q1768" s="99">
        <f t="shared" si="308"/>
        <v>3.4148406391481495E-3</v>
      </c>
      <c r="S1768" s="7">
        <f t="shared" si="300"/>
        <v>11225500</v>
      </c>
      <c r="T1768" s="7">
        <f t="shared" si="301"/>
        <v>3401666.6666666665</v>
      </c>
      <c r="U1768" s="7">
        <f t="shared" si="302"/>
        <v>11878000</v>
      </c>
      <c r="V1768" s="7">
        <f t="shared" si="303"/>
        <v>0</v>
      </c>
      <c r="W1768" s="7">
        <f t="shared" si="304"/>
        <v>0</v>
      </c>
      <c r="X1768" s="7">
        <f t="shared" si="305"/>
        <v>0</v>
      </c>
    </row>
    <row r="1769" spans="1:24">
      <c r="A1769">
        <v>1768</v>
      </c>
      <c r="B1769" s="96" t="s">
        <v>1835</v>
      </c>
      <c r="C1769" s="95">
        <v>42484</v>
      </c>
      <c r="D1769" s="82">
        <v>10220000</v>
      </c>
      <c r="E1769" s="82">
        <v>10205000</v>
      </c>
      <c r="F1769" s="82">
        <v>10230000</v>
      </c>
      <c r="G1769" s="82">
        <v>10220000</v>
      </c>
      <c r="I1769" s="97">
        <v>0</v>
      </c>
      <c r="J1769" s="97">
        <v>0</v>
      </c>
      <c r="K1769" s="97">
        <v>0</v>
      </c>
      <c r="M1769" s="7">
        <f t="shared" si="298"/>
        <v>0</v>
      </c>
      <c r="N1769" s="7">
        <f t="shared" si="307"/>
        <v>0</v>
      </c>
      <c r="O1769" s="7">
        <f t="shared" si="306"/>
        <v>15000</v>
      </c>
      <c r="P1769" s="99">
        <f t="shared" si="299"/>
        <v>1.4698677119059284E-3</v>
      </c>
      <c r="Q1769" s="99">
        <f t="shared" si="308"/>
        <v>-6.7892554842751895E-3</v>
      </c>
      <c r="S1769" s="7">
        <f t="shared" si="300"/>
        <v>11242000</v>
      </c>
      <c r="T1769" s="7">
        <f t="shared" si="301"/>
        <v>3406666.6666666665</v>
      </c>
      <c r="U1769" s="7">
        <f t="shared" si="302"/>
        <v>11945000</v>
      </c>
      <c r="V1769" s="7">
        <f t="shared" si="303"/>
        <v>0</v>
      </c>
      <c r="W1769" s="7">
        <f t="shared" si="304"/>
        <v>0</v>
      </c>
      <c r="X1769" s="7">
        <f t="shared" si="305"/>
        <v>0</v>
      </c>
    </row>
    <row r="1770" spans="1:24">
      <c r="A1770">
        <v>1769</v>
      </c>
      <c r="B1770" s="96" t="s">
        <v>1834</v>
      </c>
      <c r="C1770" s="95">
        <v>42485</v>
      </c>
      <c r="D1770" s="82">
        <v>10230000</v>
      </c>
      <c r="E1770" s="82">
        <v>10220000</v>
      </c>
      <c r="F1770" s="82">
        <v>10240000</v>
      </c>
      <c r="G1770" s="82">
        <v>10230000</v>
      </c>
      <c r="I1770" s="97">
        <v>0</v>
      </c>
      <c r="J1770" s="97">
        <v>0</v>
      </c>
      <c r="K1770" s="97">
        <v>0</v>
      </c>
      <c r="M1770" s="7">
        <f t="shared" si="298"/>
        <v>0</v>
      </c>
      <c r="N1770" s="7">
        <f t="shared" si="307"/>
        <v>0</v>
      </c>
      <c r="O1770" s="7">
        <f t="shared" si="306"/>
        <v>10000</v>
      </c>
      <c r="P1770" s="99">
        <f t="shared" si="299"/>
        <v>9.7847358121330719E-4</v>
      </c>
      <c r="Q1770" s="99">
        <f t="shared" si="308"/>
        <v>-4.8327697675030808E-3</v>
      </c>
      <c r="S1770" s="7">
        <f t="shared" si="300"/>
        <v>11253000</v>
      </c>
      <c r="T1770" s="7">
        <f t="shared" si="301"/>
        <v>3410000</v>
      </c>
      <c r="U1770" s="7">
        <f t="shared" si="302"/>
        <v>11891000</v>
      </c>
      <c r="V1770" s="7">
        <f t="shared" si="303"/>
        <v>0</v>
      </c>
      <c r="W1770" s="7">
        <f t="shared" si="304"/>
        <v>0</v>
      </c>
      <c r="X1770" s="7">
        <f t="shared" si="305"/>
        <v>0</v>
      </c>
    </row>
    <row r="1771" spans="1:24">
      <c r="A1771">
        <v>1770</v>
      </c>
      <c r="B1771" s="96" t="s">
        <v>1833</v>
      </c>
      <c r="C1771" s="95">
        <v>42486</v>
      </c>
      <c r="D1771" s="82">
        <v>10260000</v>
      </c>
      <c r="E1771" s="82">
        <v>10225000</v>
      </c>
      <c r="F1771" s="82">
        <v>10260000</v>
      </c>
      <c r="G1771" s="82">
        <v>10260000</v>
      </c>
      <c r="I1771" s="98">
        <v>0</v>
      </c>
      <c r="J1771" s="98">
        <v>0</v>
      </c>
      <c r="K1771" s="98">
        <v>0</v>
      </c>
      <c r="M1771" s="7">
        <f t="shared" si="298"/>
        <v>0</v>
      </c>
      <c r="N1771" s="7">
        <f t="shared" si="307"/>
        <v>0</v>
      </c>
      <c r="O1771" s="7">
        <f t="shared" si="306"/>
        <v>30000</v>
      </c>
      <c r="P1771" s="99">
        <f t="shared" si="299"/>
        <v>2.9325513196480938E-3</v>
      </c>
      <c r="Q1771" s="99">
        <f t="shared" si="308"/>
        <v>-7.7491355241670872E-3</v>
      </c>
      <c r="S1771" s="7">
        <f t="shared" si="300"/>
        <v>11286000</v>
      </c>
      <c r="T1771" s="7">
        <f t="shared" si="301"/>
        <v>3420000</v>
      </c>
      <c r="U1771" s="7">
        <f t="shared" si="302"/>
        <v>12100000</v>
      </c>
      <c r="V1771" s="7">
        <f t="shared" si="303"/>
        <v>0</v>
      </c>
      <c r="W1771" s="7">
        <f t="shared" si="304"/>
        <v>0</v>
      </c>
      <c r="X1771" s="7">
        <f t="shared" si="305"/>
        <v>0</v>
      </c>
    </row>
    <row r="1772" spans="1:24">
      <c r="A1772">
        <v>1771</v>
      </c>
      <c r="B1772" s="96" t="s">
        <v>1832</v>
      </c>
      <c r="C1772" s="95">
        <v>42487</v>
      </c>
      <c r="D1772" s="82">
        <v>10285000</v>
      </c>
      <c r="E1772" s="82">
        <v>10265000</v>
      </c>
      <c r="F1772" s="82">
        <v>10300000</v>
      </c>
      <c r="G1772" s="82">
        <v>10285000</v>
      </c>
      <c r="I1772" s="82">
        <f>G1772*1.1</f>
        <v>11313500</v>
      </c>
      <c r="J1772" s="82">
        <f>G1772/3</f>
        <v>3428333.3333333335</v>
      </c>
      <c r="K1772" s="7">
        <f>G2040</f>
        <v>11983000</v>
      </c>
      <c r="L1772" s="7">
        <f>K1772-I1772</f>
        <v>669500</v>
      </c>
      <c r="M1772" s="7">
        <f t="shared" si="298"/>
        <v>428541.66666666674</v>
      </c>
      <c r="N1772" s="7">
        <f t="shared" si="307"/>
        <v>1098041.6666666667</v>
      </c>
      <c r="O1772" s="7">
        <f t="shared" si="306"/>
        <v>25000</v>
      </c>
      <c r="P1772" s="99">
        <f t="shared" si="299"/>
        <v>2.4366471734892786E-3</v>
      </c>
      <c r="Q1772" s="99">
        <f t="shared" si="308"/>
        <v>-3.8466520997663253E-3</v>
      </c>
      <c r="R1772">
        <v>1</v>
      </c>
      <c r="S1772" s="7">
        <f t="shared" si="300"/>
        <v>11313500</v>
      </c>
      <c r="T1772" s="7">
        <f t="shared" si="301"/>
        <v>3428333.3333333335</v>
      </c>
      <c r="U1772" s="7">
        <f t="shared" si="302"/>
        <v>11983000</v>
      </c>
      <c r="V1772" s="7">
        <f t="shared" si="303"/>
        <v>669500</v>
      </c>
      <c r="W1772" s="7">
        <f t="shared" si="304"/>
        <v>428541.66666666674</v>
      </c>
      <c r="X1772" s="7">
        <f t="shared" si="305"/>
        <v>1098041.6666666667</v>
      </c>
    </row>
    <row r="1773" spans="1:24">
      <c r="A1773">
        <v>1772</v>
      </c>
      <c r="B1773" s="96" t="s">
        <v>1831</v>
      </c>
      <c r="C1773" s="95">
        <v>42488</v>
      </c>
      <c r="D1773" s="82">
        <v>10325000</v>
      </c>
      <c r="E1773" s="82">
        <v>10275000</v>
      </c>
      <c r="F1773" s="82">
        <v>10325000</v>
      </c>
      <c r="G1773" s="82">
        <v>10325000</v>
      </c>
      <c r="I1773" s="97">
        <v>0</v>
      </c>
      <c r="J1773" s="97">
        <v>0</v>
      </c>
      <c r="K1773" s="97">
        <v>0</v>
      </c>
      <c r="M1773" s="7">
        <f t="shared" si="298"/>
        <v>0</v>
      </c>
      <c r="N1773" s="7">
        <f t="shared" si="307"/>
        <v>0</v>
      </c>
      <c r="O1773" s="7">
        <f t="shared" si="306"/>
        <v>40000</v>
      </c>
      <c r="P1773" s="99">
        <f t="shared" si="299"/>
        <v>3.889158969372873E-3</v>
      </c>
      <c r="Q1773" s="99">
        <f t="shared" si="308"/>
        <v>-9.2456803307316374E-4</v>
      </c>
      <c r="S1773" s="7">
        <f t="shared" si="300"/>
        <v>11357500</v>
      </c>
      <c r="T1773" s="7">
        <f t="shared" si="301"/>
        <v>3441666.6666666665</v>
      </c>
      <c r="U1773" s="7">
        <f t="shared" si="302"/>
        <v>11880000</v>
      </c>
      <c r="V1773" s="7">
        <f t="shared" si="303"/>
        <v>0</v>
      </c>
      <c r="W1773" s="7">
        <f t="shared" si="304"/>
        <v>0</v>
      </c>
      <c r="X1773" s="7">
        <f t="shared" si="305"/>
        <v>0</v>
      </c>
    </row>
    <row r="1774" spans="1:24">
      <c r="A1774">
        <v>1773</v>
      </c>
      <c r="B1774" s="96" t="s">
        <v>1830</v>
      </c>
      <c r="C1774" s="95">
        <v>42490</v>
      </c>
      <c r="D1774" s="82">
        <v>10460000</v>
      </c>
      <c r="E1774" s="82">
        <v>10455000</v>
      </c>
      <c r="F1774" s="82">
        <v>10510000</v>
      </c>
      <c r="G1774" s="82">
        <v>10460000</v>
      </c>
      <c r="I1774" s="97">
        <v>0</v>
      </c>
      <c r="J1774" s="97">
        <v>0</v>
      </c>
      <c r="K1774" s="97">
        <v>0</v>
      </c>
      <c r="M1774" s="7">
        <f t="shared" si="298"/>
        <v>0</v>
      </c>
      <c r="N1774" s="7">
        <f t="shared" si="307"/>
        <v>0</v>
      </c>
      <c r="O1774" s="7">
        <f t="shared" si="306"/>
        <v>135000</v>
      </c>
      <c r="P1774" s="99">
        <f t="shared" si="299"/>
        <v>1.3075060532687652E-2</v>
      </c>
      <c r="Q1774" s="99">
        <f t="shared" si="308"/>
        <v>1.1706698755629481E-2</v>
      </c>
      <c r="S1774" s="7">
        <f t="shared" si="300"/>
        <v>11506000</v>
      </c>
      <c r="T1774" s="7">
        <f t="shared" si="301"/>
        <v>3486666.6666666665</v>
      </c>
      <c r="U1774" s="7">
        <f t="shared" si="302"/>
        <v>11885000</v>
      </c>
      <c r="V1774" s="7">
        <f t="shared" si="303"/>
        <v>0</v>
      </c>
      <c r="W1774" s="7">
        <f t="shared" si="304"/>
        <v>0</v>
      </c>
      <c r="X1774" s="7">
        <f t="shared" si="305"/>
        <v>0</v>
      </c>
    </row>
    <row r="1775" spans="1:24">
      <c r="A1775">
        <v>1774</v>
      </c>
      <c r="B1775" s="96" t="s">
        <v>1829</v>
      </c>
      <c r="C1775" s="95">
        <v>42491</v>
      </c>
      <c r="D1775" s="82">
        <v>10475000</v>
      </c>
      <c r="E1775" s="82">
        <v>10460000</v>
      </c>
      <c r="F1775" s="82">
        <v>10485000</v>
      </c>
      <c r="G1775" s="82">
        <v>10475000</v>
      </c>
      <c r="I1775" s="97">
        <v>0</v>
      </c>
      <c r="J1775" s="97">
        <v>0</v>
      </c>
      <c r="K1775" s="97">
        <v>0</v>
      </c>
      <c r="M1775" s="7">
        <f t="shared" si="298"/>
        <v>0</v>
      </c>
      <c r="N1775" s="7">
        <f t="shared" si="307"/>
        <v>0</v>
      </c>
      <c r="O1775" s="7">
        <f t="shared" si="306"/>
        <v>15000</v>
      </c>
      <c r="P1775" s="99">
        <f t="shared" si="299"/>
        <v>1.4340344168260039E-3</v>
      </c>
      <c r="Q1775" s="99">
        <f t="shared" si="308"/>
        <v>2.3311891576411205E-2</v>
      </c>
      <c r="S1775" s="7">
        <f t="shared" si="300"/>
        <v>11522500</v>
      </c>
      <c r="T1775" s="7">
        <f t="shared" si="301"/>
        <v>3491666.6666666665</v>
      </c>
      <c r="U1775" s="7">
        <f t="shared" si="302"/>
        <v>11952000</v>
      </c>
      <c r="V1775" s="7">
        <f t="shared" si="303"/>
        <v>0</v>
      </c>
      <c r="W1775" s="7">
        <f t="shared" si="304"/>
        <v>0</v>
      </c>
      <c r="X1775" s="7">
        <f t="shared" si="305"/>
        <v>0</v>
      </c>
    </row>
    <row r="1776" spans="1:24">
      <c r="A1776">
        <v>1775</v>
      </c>
      <c r="B1776" s="96" t="s">
        <v>1828</v>
      </c>
      <c r="C1776" s="95">
        <v>42492</v>
      </c>
      <c r="D1776" s="82">
        <v>10415000</v>
      </c>
      <c r="E1776" s="82">
        <v>10410000</v>
      </c>
      <c r="F1776" s="82">
        <v>10475000</v>
      </c>
      <c r="G1776" s="82">
        <v>10415000</v>
      </c>
      <c r="I1776" s="98">
        <v>0</v>
      </c>
      <c r="J1776" s="98">
        <v>0</v>
      </c>
      <c r="K1776" s="98">
        <v>0</v>
      </c>
      <c r="M1776" s="7">
        <f t="shared" si="298"/>
        <v>0</v>
      </c>
      <c r="N1776" s="7">
        <f t="shared" si="307"/>
        <v>0</v>
      </c>
      <c r="O1776" s="7">
        <f t="shared" si="306"/>
        <v>-60000</v>
      </c>
      <c r="P1776" s="99">
        <f t="shared" si="299"/>
        <v>-5.7279236276849641E-3</v>
      </c>
      <c r="Q1776" s="99">
        <f t="shared" si="308"/>
        <v>2.3767452412023903E-2</v>
      </c>
      <c r="S1776" s="7">
        <f t="shared" si="300"/>
        <v>11456500</v>
      </c>
      <c r="T1776" s="7">
        <f t="shared" si="301"/>
        <v>3471666.6666666665</v>
      </c>
      <c r="U1776" s="7">
        <f t="shared" si="302"/>
        <v>11968000</v>
      </c>
      <c r="V1776" s="7">
        <f t="shared" si="303"/>
        <v>0</v>
      </c>
      <c r="W1776" s="7">
        <f t="shared" si="304"/>
        <v>0</v>
      </c>
      <c r="X1776" s="7">
        <f t="shared" si="305"/>
        <v>0</v>
      </c>
    </row>
    <row r="1777" spans="1:24">
      <c r="A1777">
        <v>1776</v>
      </c>
      <c r="B1777" s="96" t="s">
        <v>1827</v>
      </c>
      <c r="C1777" s="95">
        <v>42493</v>
      </c>
      <c r="D1777" s="82">
        <v>10400000</v>
      </c>
      <c r="E1777" s="82">
        <v>10390000</v>
      </c>
      <c r="F1777" s="82">
        <v>10475000</v>
      </c>
      <c r="G1777" s="82">
        <v>10400000</v>
      </c>
      <c r="I1777" s="82">
        <f>G1777*1.1</f>
        <v>11440000</v>
      </c>
      <c r="J1777" s="82">
        <f>G1777/3</f>
        <v>3466666.6666666665</v>
      </c>
      <c r="K1777" s="7">
        <f>G2045</f>
        <v>12008000</v>
      </c>
      <c r="L1777" s="7">
        <f>K1777-I1777</f>
        <v>568000</v>
      </c>
      <c r="M1777" s="7">
        <f t="shared" si="298"/>
        <v>433333.33333333326</v>
      </c>
      <c r="N1777" s="7">
        <f t="shared" si="307"/>
        <v>1001333.3333333333</v>
      </c>
      <c r="O1777" s="7">
        <f t="shared" si="306"/>
        <v>-15000</v>
      </c>
      <c r="P1777" s="99">
        <f t="shared" si="299"/>
        <v>-1.4402304368698992E-3</v>
      </c>
      <c r="Q1777" s="99">
        <f t="shared" si="308"/>
        <v>1.5106977464690844E-2</v>
      </c>
      <c r="R1777">
        <v>1</v>
      </c>
      <c r="S1777" s="7">
        <f t="shared" si="300"/>
        <v>11440000</v>
      </c>
      <c r="T1777" s="7">
        <f t="shared" si="301"/>
        <v>3466666.6666666665</v>
      </c>
      <c r="U1777" s="7">
        <f t="shared" si="302"/>
        <v>12008000</v>
      </c>
      <c r="V1777" s="7">
        <f t="shared" si="303"/>
        <v>568000</v>
      </c>
      <c r="W1777" s="7">
        <f t="shared" si="304"/>
        <v>433333.33333333326</v>
      </c>
      <c r="X1777" s="7">
        <f t="shared" si="305"/>
        <v>1001333.3333333333</v>
      </c>
    </row>
    <row r="1778" spans="1:24">
      <c r="A1778">
        <v>1777</v>
      </c>
      <c r="B1778" s="96" t="s">
        <v>1826</v>
      </c>
      <c r="C1778" s="95">
        <v>42494</v>
      </c>
      <c r="D1778" s="82">
        <v>10335000</v>
      </c>
      <c r="E1778" s="82">
        <v>10335000</v>
      </c>
      <c r="F1778" s="82">
        <v>10380000</v>
      </c>
      <c r="G1778" s="82">
        <v>10335000</v>
      </c>
      <c r="I1778" s="97">
        <v>0</v>
      </c>
      <c r="J1778" s="97">
        <v>0</v>
      </c>
      <c r="K1778" s="97">
        <v>0</v>
      </c>
      <c r="M1778" s="7">
        <f t="shared" si="298"/>
        <v>0</v>
      </c>
      <c r="N1778" s="7">
        <f t="shared" si="307"/>
        <v>0</v>
      </c>
      <c r="O1778" s="7">
        <f t="shared" si="306"/>
        <v>-65000</v>
      </c>
      <c r="P1778" s="99">
        <f t="shared" si="299"/>
        <v>-6.2500000000000003E-3</v>
      </c>
      <c r="Q1778" s="99">
        <f t="shared" si="308"/>
        <v>1.1230099854331667E-2</v>
      </c>
      <c r="S1778" s="7">
        <f t="shared" si="300"/>
        <v>11368500</v>
      </c>
      <c r="T1778" s="7">
        <f t="shared" si="301"/>
        <v>3445000</v>
      </c>
      <c r="U1778" s="7">
        <f t="shared" si="302"/>
        <v>12010000</v>
      </c>
      <c r="V1778" s="7">
        <f t="shared" si="303"/>
        <v>0</v>
      </c>
      <c r="W1778" s="7">
        <f t="shared" si="304"/>
        <v>0</v>
      </c>
      <c r="X1778" s="7">
        <f t="shared" si="305"/>
        <v>0</v>
      </c>
    </row>
    <row r="1779" spans="1:24">
      <c r="A1779">
        <v>1778</v>
      </c>
      <c r="B1779" s="96" t="s">
        <v>1825</v>
      </c>
      <c r="C1779" s="95">
        <v>42495</v>
      </c>
      <c r="D1779" s="82">
        <v>10330000</v>
      </c>
      <c r="E1779" s="82">
        <v>10325000</v>
      </c>
      <c r="F1779" s="82">
        <v>10350000</v>
      </c>
      <c r="G1779" s="82">
        <v>10330000</v>
      </c>
      <c r="I1779" s="97">
        <v>0</v>
      </c>
      <c r="J1779" s="97">
        <v>0</v>
      </c>
      <c r="K1779" s="97">
        <v>0</v>
      </c>
      <c r="M1779" s="7">
        <f t="shared" si="298"/>
        <v>0</v>
      </c>
      <c r="N1779" s="7">
        <f t="shared" si="307"/>
        <v>0</v>
      </c>
      <c r="O1779" s="7">
        <f t="shared" si="306"/>
        <v>-5000</v>
      </c>
      <c r="P1779" s="99">
        <f t="shared" si="299"/>
        <v>-4.8379293662312528E-4</v>
      </c>
      <c r="Q1779" s="99">
        <f t="shared" si="308"/>
        <v>1.0909408849587915E-3</v>
      </c>
      <c r="S1779" s="7">
        <f t="shared" si="300"/>
        <v>11363000</v>
      </c>
      <c r="T1779" s="7">
        <f t="shared" si="301"/>
        <v>3443333.3333333335</v>
      </c>
      <c r="U1779" s="7">
        <f t="shared" si="302"/>
        <v>12052000</v>
      </c>
      <c r="V1779" s="7">
        <f t="shared" si="303"/>
        <v>0</v>
      </c>
      <c r="W1779" s="7">
        <f t="shared" si="304"/>
        <v>0</v>
      </c>
      <c r="X1779" s="7">
        <f t="shared" si="305"/>
        <v>0</v>
      </c>
    </row>
    <row r="1780" spans="1:24">
      <c r="A1780">
        <v>1779</v>
      </c>
      <c r="B1780" s="96" t="s">
        <v>1824</v>
      </c>
      <c r="C1780" s="95">
        <v>42497</v>
      </c>
      <c r="D1780" s="82">
        <v>10395000</v>
      </c>
      <c r="E1780" s="82">
        <v>10370000</v>
      </c>
      <c r="F1780" s="82">
        <v>10395000</v>
      </c>
      <c r="G1780" s="82">
        <v>10395000</v>
      </c>
      <c r="I1780" s="97">
        <v>0</v>
      </c>
      <c r="J1780" s="97">
        <v>0</v>
      </c>
      <c r="K1780" s="97">
        <v>0</v>
      </c>
      <c r="M1780" s="7">
        <f t="shared" si="298"/>
        <v>0</v>
      </c>
      <c r="N1780" s="7">
        <f t="shared" si="307"/>
        <v>0</v>
      </c>
      <c r="O1780" s="7">
        <f t="shared" si="306"/>
        <v>65000</v>
      </c>
      <c r="P1780" s="99">
        <f t="shared" si="299"/>
        <v>6.2923523717328175E-3</v>
      </c>
      <c r="Q1780" s="99">
        <f t="shared" si="308"/>
        <v>-1.2467912584351985E-2</v>
      </c>
      <c r="S1780" s="7">
        <f t="shared" si="300"/>
        <v>11434500</v>
      </c>
      <c r="T1780" s="7">
        <f t="shared" si="301"/>
        <v>3465000</v>
      </c>
      <c r="U1780" s="7">
        <f t="shared" si="302"/>
        <v>12077000</v>
      </c>
      <c r="V1780" s="7">
        <f t="shared" si="303"/>
        <v>0</v>
      </c>
      <c r="W1780" s="7">
        <f t="shared" si="304"/>
        <v>0</v>
      </c>
      <c r="X1780" s="7">
        <f t="shared" si="305"/>
        <v>0</v>
      </c>
    </row>
    <row r="1781" spans="1:24">
      <c r="A1781">
        <v>1780</v>
      </c>
      <c r="B1781" s="96" t="s">
        <v>1823</v>
      </c>
      <c r="C1781" s="95">
        <v>42498</v>
      </c>
      <c r="D1781" s="82">
        <v>10388000</v>
      </c>
      <c r="E1781" s="82">
        <v>10387000</v>
      </c>
      <c r="F1781" s="82">
        <v>10400000</v>
      </c>
      <c r="G1781" s="82">
        <v>10388000</v>
      </c>
      <c r="I1781" s="98">
        <v>0</v>
      </c>
      <c r="J1781" s="98">
        <v>0</v>
      </c>
      <c r="K1781" s="98">
        <v>0</v>
      </c>
      <c r="M1781" s="7">
        <f t="shared" si="298"/>
        <v>0</v>
      </c>
      <c r="N1781" s="7">
        <f t="shared" si="307"/>
        <v>0</v>
      </c>
      <c r="O1781" s="7">
        <f t="shared" si="306"/>
        <v>-7000</v>
      </c>
      <c r="P1781" s="99">
        <f t="shared" si="299"/>
        <v>-6.7340067340067344E-4</v>
      </c>
      <c r="Q1781" s="99">
        <f t="shared" si="308"/>
        <v>-7.6095946294451704E-3</v>
      </c>
      <c r="S1781" s="7">
        <f t="shared" si="300"/>
        <v>11426800</v>
      </c>
      <c r="T1781" s="7">
        <f t="shared" si="301"/>
        <v>3462666.6666666665</v>
      </c>
      <c r="U1781" s="7">
        <f t="shared" si="302"/>
        <v>12045000</v>
      </c>
      <c r="V1781" s="7">
        <f t="shared" si="303"/>
        <v>0</v>
      </c>
      <c r="W1781" s="7">
        <f t="shared" si="304"/>
        <v>0</v>
      </c>
      <c r="X1781" s="7">
        <f t="shared" si="305"/>
        <v>0</v>
      </c>
    </row>
    <row r="1782" spans="1:24">
      <c r="A1782">
        <v>1781</v>
      </c>
      <c r="B1782" s="96" t="s">
        <v>1822</v>
      </c>
      <c r="C1782" s="95">
        <v>42499</v>
      </c>
      <c r="D1782" s="82">
        <v>10318000</v>
      </c>
      <c r="E1782" s="82">
        <v>10316000</v>
      </c>
      <c r="F1782" s="82">
        <v>10389000</v>
      </c>
      <c r="G1782" s="82">
        <v>10318000</v>
      </c>
      <c r="I1782" s="82">
        <f>G1782*1.1</f>
        <v>11349800</v>
      </c>
      <c r="J1782" s="82">
        <f>G1782/3</f>
        <v>3439333.3333333335</v>
      </c>
      <c r="K1782" s="7">
        <f>G2050</f>
        <v>12045000</v>
      </c>
      <c r="L1782" s="7">
        <f>K1782-I1782</f>
        <v>695200</v>
      </c>
      <c r="M1782" s="7">
        <f t="shared" si="298"/>
        <v>429916.66666666674</v>
      </c>
      <c r="N1782" s="7">
        <f t="shared" si="307"/>
        <v>1125116.6666666667</v>
      </c>
      <c r="O1782" s="7">
        <f t="shared" si="306"/>
        <v>-70000</v>
      </c>
      <c r="P1782" s="99">
        <f t="shared" si="299"/>
        <v>-6.7385444743935314E-3</v>
      </c>
      <c r="Q1782" s="99">
        <f t="shared" si="308"/>
        <v>-2.5550716751608815E-3</v>
      </c>
      <c r="R1782">
        <v>1</v>
      </c>
      <c r="S1782" s="7">
        <f t="shared" si="300"/>
        <v>11349800</v>
      </c>
      <c r="T1782" s="7">
        <f t="shared" si="301"/>
        <v>3439333.3333333335</v>
      </c>
      <c r="U1782" s="7">
        <f t="shared" si="302"/>
        <v>12045000</v>
      </c>
      <c r="V1782" s="7">
        <f t="shared" si="303"/>
        <v>695200</v>
      </c>
      <c r="W1782" s="7">
        <f t="shared" si="304"/>
        <v>429916.66666666674</v>
      </c>
      <c r="X1782" s="7">
        <f t="shared" si="305"/>
        <v>1125116.6666666667</v>
      </c>
    </row>
    <row r="1783" spans="1:24">
      <c r="A1783">
        <v>1782</v>
      </c>
      <c r="B1783" s="96" t="s">
        <v>1821</v>
      </c>
      <c r="C1783" s="95">
        <v>42500</v>
      </c>
      <c r="D1783" s="82">
        <v>10313000</v>
      </c>
      <c r="E1783" s="82">
        <v>10313000</v>
      </c>
      <c r="F1783" s="82">
        <v>10345000</v>
      </c>
      <c r="G1783" s="82">
        <v>10313000</v>
      </c>
      <c r="I1783" s="97">
        <v>0</v>
      </c>
      <c r="J1783" s="97">
        <v>0</v>
      </c>
      <c r="K1783" s="97">
        <v>0</v>
      </c>
      <c r="M1783" s="7">
        <f t="shared" si="298"/>
        <v>0</v>
      </c>
      <c r="N1783" s="7">
        <f t="shared" si="307"/>
        <v>0</v>
      </c>
      <c r="O1783" s="7">
        <f t="shared" si="306"/>
        <v>-5000</v>
      </c>
      <c r="P1783" s="99">
        <f t="shared" si="299"/>
        <v>-4.8459003682884278E-4</v>
      </c>
      <c r="Q1783" s="99">
        <f t="shared" si="308"/>
        <v>-7.853385712684513E-3</v>
      </c>
      <c r="S1783" s="7">
        <f t="shared" si="300"/>
        <v>11344300</v>
      </c>
      <c r="T1783" s="7">
        <f t="shared" si="301"/>
        <v>3437666.6666666665</v>
      </c>
      <c r="U1783" s="7">
        <f t="shared" si="302"/>
        <v>12035000</v>
      </c>
      <c r="V1783" s="7">
        <f t="shared" si="303"/>
        <v>0</v>
      </c>
      <c r="W1783" s="7">
        <f t="shared" si="304"/>
        <v>0</v>
      </c>
      <c r="X1783" s="7">
        <f t="shared" si="305"/>
        <v>0</v>
      </c>
    </row>
    <row r="1784" spans="1:24">
      <c r="A1784">
        <v>1783</v>
      </c>
      <c r="B1784" s="96" t="s">
        <v>1820</v>
      </c>
      <c r="C1784" s="95">
        <v>42501</v>
      </c>
      <c r="D1784" s="82">
        <v>10336000</v>
      </c>
      <c r="E1784" s="82">
        <v>10333000</v>
      </c>
      <c r="F1784" s="82">
        <v>10368000</v>
      </c>
      <c r="G1784" s="82">
        <v>10336000</v>
      </c>
      <c r="I1784" s="97">
        <v>0</v>
      </c>
      <c r="J1784" s="97">
        <v>0</v>
      </c>
      <c r="K1784" s="97">
        <v>0</v>
      </c>
      <c r="M1784" s="7">
        <f t="shared" si="298"/>
        <v>0</v>
      </c>
      <c r="N1784" s="7">
        <f t="shared" si="307"/>
        <v>0</v>
      </c>
      <c r="O1784" s="7">
        <f t="shared" si="306"/>
        <v>23000</v>
      </c>
      <c r="P1784" s="99">
        <f t="shared" si="299"/>
        <v>2.2301948996412296E-3</v>
      </c>
      <c r="Q1784" s="99">
        <f t="shared" si="308"/>
        <v>-2.0879757495133556E-3</v>
      </c>
      <c r="S1784" s="7">
        <f t="shared" si="300"/>
        <v>11369600</v>
      </c>
      <c r="T1784" s="7">
        <f t="shared" si="301"/>
        <v>3445333.3333333335</v>
      </c>
      <c r="U1784" s="7">
        <f t="shared" si="302"/>
        <v>12040000</v>
      </c>
      <c r="V1784" s="7">
        <f t="shared" si="303"/>
        <v>0</v>
      </c>
      <c r="W1784" s="7">
        <f t="shared" si="304"/>
        <v>0</v>
      </c>
      <c r="X1784" s="7">
        <f t="shared" si="305"/>
        <v>0</v>
      </c>
    </row>
    <row r="1785" spans="1:24">
      <c r="A1785">
        <v>1784</v>
      </c>
      <c r="B1785" s="96" t="s">
        <v>1819</v>
      </c>
      <c r="C1785" s="95">
        <v>42502</v>
      </c>
      <c r="D1785" s="82">
        <v>10301000</v>
      </c>
      <c r="E1785" s="82">
        <v>10293000</v>
      </c>
      <c r="F1785" s="82">
        <v>10335000</v>
      </c>
      <c r="G1785" s="82">
        <v>10301000</v>
      </c>
      <c r="I1785" s="97">
        <v>0</v>
      </c>
      <c r="J1785" s="97">
        <v>0</v>
      </c>
      <c r="K1785" s="97">
        <v>0</v>
      </c>
      <c r="M1785" s="7">
        <f t="shared" si="298"/>
        <v>0</v>
      </c>
      <c r="N1785" s="7">
        <f t="shared" si="307"/>
        <v>0</v>
      </c>
      <c r="O1785" s="7">
        <f t="shared" si="306"/>
        <v>-35000</v>
      </c>
      <c r="P1785" s="99">
        <f t="shared" si="299"/>
        <v>-3.3862229102167183E-3</v>
      </c>
      <c r="Q1785" s="99">
        <f t="shared" si="308"/>
        <v>6.2601208675099984E-4</v>
      </c>
      <c r="S1785" s="7">
        <f t="shared" si="300"/>
        <v>11331100</v>
      </c>
      <c r="T1785" s="7">
        <f t="shared" si="301"/>
        <v>3433666.6666666665</v>
      </c>
      <c r="U1785" s="7">
        <f t="shared" si="302"/>
        <v>12085000</v>
      </c>
      <c r="V1785" s="7">
        <f t="shared" si="303"/>
        <v>0</v>
      </c>
      <c r="W1785" s="7">
        <f t="shared" si="304"/>
        <v>0</v>
      </c>
      <c r="X1785" s="7">
        <f t="shared" si="305"/>
        <v>0</v>
      </c>
    </row>
    <row r="1786" spans="1:24">
      <c r="A1786">
        <v>1785</v>
      </c>
      <c r="B1786" s="96" t="s">
        <v>1818</v>
      </c>
      <c r="C1786" s="95">
        <v>42504</v>
      </c>
      <c r="D1786" s="82">
        <v>10243000</v>
      </c>
      <c r="E1786" s="82">
        <v>10242000</v>
      </c>
      <c r="F1786" s="82">
        <v>10291000</v>
      </c>
      <c r="G1786" s="82">
        <v>10243000</v>
      </c>
      <c r="I1786" s="98">
        <v>0</v>
      </c>
      <c r="J1786" s="98">
        <v>0</v>
      </c>
      <c r="K1786" s="98">
        <v>0</v>
      </c>
      <c r="M1786" s="7">
        <f t="shared" si="298"/>
        <v>0</v>
      </c>
      <c r="N1786" s="7">
        <f t="shared" si="307"/>
        <v>0</v>
      </c>
      <c r="O1786" s="7">
        <f t="shared" si="306"/>
        <v>-58000</v>
      </c>
      <c r="P1786" s="99">
        <f t="shared" si="299"/>
        <v>-5.6305213086108143E-3</v>
      </c>
      <c r="Q1786" s="99">
        <f t="shared" si="308"/>
        <v>-9.0525631951985375E-3</v>
      </c>
      <c r="S1786" s="7">
        <f t="shared" si="300"/>
        <v>11267300</v>
      </c>
      <c r="T1786" s="7">
        <f t="shared" si="301"/>
        <v>3414333.3333333335</v>
      </c>
      <c r="U1786" s="7">
        <f t="shared" si="302"/>
        <v>12100000</v>
      </c>
      <c r="V1786" s="7">
        <f t="shared" si="303"/>
        <v>0</v>
      </c>
      <c r="W1786" s="7">
        <f t="shared" si="304"/>
        <v>0</v>
      </c>
      <c r="X1786" s="7">
        <f t="shared" si="305"/>
        <v>0</v>
      </c>
    </row>
    <row r="1787" spans="1:24">
      <c r="A1787">
        <v>1786</v>
      </c>
      <c r="B1787" s="96" t="s">
        <v>1817</v>
      </c>
      <c r="C1787" s="95">
        <v>42505</v>
      </c>
      <c r="D1787" s="82">
        <v>10281000</v>
      </c>
      <c r="E1787" s="82">
        <v>10247000</v>
      </c>
      <c r="F1787" s="82">
        <v>10287000</v>
      </c>
      <c r="G1787" s="82">
        <v>10281000</v>
      </c>
      <c r="I1787" s="82">
        <f>G1787*1.1</f>
        <v>11309100</v>
      </c>
      <c r="J1787" s="82">
        <f>G1787/3</f>
        <v>3427000</v>
      </c>
      <c r="K1787" s="7">
        <f>G2055</f>
        <v>12095000</v>
      </c>
      <c r="L1787" s="7">
        <f>K1787-I1787</f>
        <v>785900</v>
      </c>
      <c r="M1787" s="7">
        <f t="shared" si="298"/>
        <v>428375</v>
      </c>
      <c r="N1787" s="7">
        <f t="shared" si="307"/>
        <v>1214275</v>
      </c>
      <c r="O1787" s="7">
        <f t="shared" si="306"/>
        <v>38000</v>
      </c>
      <c r="P1787" s="99">
        <f t="shared" si="299"/>
        <v>3.7098506296983306E-3</v>
      </c>
      <c r="Q1787" s="99">
        <f t="shared" si="308"/>
        <v>-1.4009683830408678E-2</v>
      </c>
      <c r="R1787">
        <v>1</v>
      </c>
      <c r="S1787" s="7">
        <f t="shared" si="300"/>
        <v>11309100</v>
      </c>
      <c r="T1787" s="7">
        <f t="shared" si="301"/>
        <v>3427000</v>
      </c>
      <c r="U1787" s="7">
        <f t="shared" si="302"/>
        <v>12095000</v>
      </c>
      <c r="V1787" s="7">
        <f t="shared" si="303"/>
        <v>785900</v>
      </c>
      <c r="W1787" s="7">
        <f t="shared" si="304"/>
        <v>428375</v>
      </c>
      <c r="X1787" s="7">
        <f t="shared" si="305"/>
        <v>1214275</v>
      </c>
    </row>
    <row r="1788" spans="1:24">
      <c r="A1788">
        <v>1787</v>
      </c>
      <c r="B1788" s="96" t="s">
        <v>1816</v>
      </c>
      <c r="C1788" s="95">
        <v>42506</v>
      </c>
      <c r="D1788" s="82">
        <v>10270000</v>
      </c>
      <c r="E1788" s="82">
        <v>10267000</v>
      </c>
      <c r="F1788" s="82">
        <v>10322000</v>
      </c>
      <c r="G1788" s="82">
        <v>10270000</v>
      </c>
      <c r="I1788" s="97">
        <v>0</v>
      </c>
      <c r="J1788" s="97">
        <v>0</v>
      </c>
      <c r="K1788" s="97">
        <v>0</v>
      </c>
      <c r="M1788" s="7">
        <f t="shared" si="298"/>
        <v>0</v>
      </c>
      <c r="N1788" s="7">
        <f t="shared" si="307"/>
        <v>0</v>
      </c>
      <c r="O1788" s="7">
        <f t="shared" si="306"/>
        <v>-11000</v>
      </c>
      <c r="P1788" s="99">
        <f t="shared" si="299"/>
        <v>-1.0699348312420971E-3</v>
      </c>
      <c r="Q1788" s="99">
        <f t="shared" si="308"/>
        <v>-3.561288726316815E-3</v>
      </c>
      <c r="S1788" s="7">
        <f t="shared" si="300"/>
        <v>11297000</v>
      </c>
      <c r="T1788" s="7">
        <f t="shared" si="301"/>
        <v>3423333.3333333335</v>
      </c>
      <c r="U1788" s="7">
        <f t="shared" si="302"/>
        <v>12025000</v>
      </c>
      <c r="V1788" s="7">
        <f t="shared" si="303"/>
        <v>0</v>
      </c>
      <c r="W1788" s="7">
        <f t="shared" si="304"/>
        <v>0</v>
      </c>
      <c r="X1788" s="7">
        <f t="shared" si="305"/>
        <v>0</v>
      </c>
    </row>
    <row r="1789" spans="1:24">
      <c r="A1789">
        <v>1788</v>
      </c>
      <c r="B1789" s="96" t="s">
        <v>1815</v>
      </c>
      <c r="C1789" s="95">
        <v>42507</v>
      </c>
      <c r="D1789" s="82">
        <v>10243000</v>
      </c>
      <c r="E1789" s="82">
        <v>10235000</v>
      </c>
      <c r="F1789" s="82">
        <v>10274000</v>
      </c>
      <c r="G1789" s="82">
        <v>10243000</v>
      </c>
      <c r="I1789" s="97">
        <v>0</v>
      </c>
      <c r="J1789" s="97">
        <v>0</v>
      </c>
      <c r="K1789" s="97">
        <v>0</v>
      </c>
      <c r="M1789" s="7">
        <f t="shared" si="298"/>
        <v>0</v>
      </c>
      <c r="N1789" s="7">
        <f t="shared" si="307"/>
        <v>0</v>
      </c>
      <c r="O1789" s="7">
        <f t="shared" si="306"/>
        <v>-27000</v>
      </c>
      <c r="P1789" s="99">
        <f t="shared" si="299"/>
        <v>-2.6290165530671859E-3</v>
      </c>
      <c r="Q1789" s="99">
        <f t="shared" si="308"/>
        <v>-4.1466335207300704E-3</v>
      </c>
      <c r="S1789" s="7">
        <f t="shared" si="300"/>
        <v>11267300</v>
      </c>
      <c r="T1789" s="7">
        <f t="shared" si="301"/>
        <v>3414333.3333333335</v>
      </c>
      <c r="U1789" s="7">
        <f t="shared" si="302"/>
        <v>12014500</v>
      </c>
      <c r="V1789" s="7">
        <f t="shared" si="303"/>
        <v>0</v>
      </c>
      <c r="W1789" s="7">
        <f t="shared" si="304"/>
        <v>0</v>
      </c>
      <c r="X1789" s="7">
        <f t="shared" si="305"/>
        <v>0</v>
      </c>
    </row>
    <row r="1790" spans="1:24">
      <c r="A1790">
        <v>1789</v>
      </c>
      <c r="B1790" s="96" t="s">
        <v>1814</v>
      </c>
      <c r="C1790" s="95">
        <v>42511</v>
      </c>
      <c r="D1790" s="82">
        <v>10098000</v>
      </c>
      <c r="E1790" s="82">
        <v>10076000</v>
      </c>
      <c r="F1790" s="82">
        <v>10098000</v>
      </c>
      <c r="G1790" s="82">
        <v>10098000</v>
      </c>
      <c r="I1790" s="97">
        <v>0</v>
      </c>
      <c r="J1790" s="97">
        <v>0</v>
      </c>
      <c r="K1790" s="97">
        <v>0</v>
      </c>
      <c r="M1790" s="7">
        <f t="shared" si="298"/>
        <v>0</v>
      </c>
      <c r="N1790" s="7">
        <f t="shared" si="307"/>
        <v>0</v>
      </c>
      <c r="O1790" s="7">
        <f t="shared" si="306"/>
        <v>-145000</v>
      </c>
      <c r="P1790" s="99">
        <f t="shared" si="299"/>
        <v>-1.415600898174363E-2</v>
      </c>
      <c r="Q1790" s="99">
        <f t="shared" si="308"/>
        <v>-9.005844973438485E-3</v>
      </c>
      <c r="S1790" s="7">
        <f t="shared" si="300"/>
        <v>11107800</v>
      </c>
      <c r="T1790" s="7">
        <f t="shared" si="301"/>
        <v>3366000</v>
      </c>
      <c r="U1790" s="7">
        <f t="shared" si="302"/>
        <v>12000000</v>
      </c>
      <c r="V1790" s="7">
        <f t="shared" si="303"/>
        <v>0</v>
      </c>
      <c r="W1790" s="7">
        <f t="shared" si="304"/>
        <v>0</v>
      </c>
      <c r="X1790" s="7">
        <f t="shared" si="305"/>
        <v>0</v>
      </c>
    </row>
    <row r="1791" spans="1:24">
      <c r="A1791">
        <v>1790</v>
      </c>
      <c r="B1791" s="96" t="s">
        <v>1813</v>
      </c>
      <c r="C1791" s="95">
        <v>42508</v>
      </c>
      <c r="D1791" s="82">
        <v>10246000</v>
      </c>
      <c r="E1791" s="82">
        <v>10232000</v>
      </c>
      <c r="F1791" s="82">
        <v>10254000</v>
      </c>
      <c r="G1791" s="82">
        <v>10246000</v>
      </c>
      <c r="I1791" s="98">
        <v>0</v>
      </c>
      <c r="J1791" s="98">
        <v>0</v>
      </c>
      <c r="K1791" s="98">
        <v>0</v>
      </c>
      <c r="M1791" s="7">
        <f t="shared" si="298"/>
        <v>0</v>
      </c>
      <c r="N1791" s="7">
        <f t="shared" si="307"/>
        <v>0</v>
      </c>
      <c r="O1791" s="7">
        <f t="shared" si="306"/>
        <v>148000</v>
      </c>
      <c r="P1791" s="99">
        <f t="shared" si="299"/>
        <v>1.4656367597544068E-2</v>
      </c>
      <c r="Q1791" s="99">
        <f t="shared" si="308"/>
        <v>-1.9775631044965398E-2</v>
      </c>
      <c r="S1791" s="7">
        <f t="shared" si="300"/>
        <v>11270600</v>
      </c>
      <c r="T1791" s="7">
        <f t="shared" si="301"/>
        <v>3415333.3333333335</v>
      </c>
      <c r="U1791" s="7">
        <f t="shared" si="302"/>
        <v>12012500</v>
      </c>
      <c r="V1791" s="7">
        <f t="shared" si="303"/>
        <v>0</v>
      </c>
      <c r="W1791" s="7">
        <f t="shared" si="304"/>
        <v>0</v>
      </c>
      <c r="X1791" s="7">
        <f t="shared" si="305"/>
        <v>0</v>
      </c>
    </row>
    <row r="1792" spans="1:24">
      <c r="A1792">
        <v>1791</v>
      </c>
      <c r="B1792" s="96" t="s">
        <v>1812</v>
      </c>
      <c r="C1792" s="95">
        <v>42512</v>
      </c>
      <c r="D1792" s="82">
        <v>10094000</v>
      </c>
      <c r="E1792" s="82">
        <v>10090000</v>
      </c>
      <c r="F1792" s="82">
        <v>10100000</v>
      </c>
      <c r="G1792" s="82">
        <v>10094000</v>
      </c>
      <c r="I1792" s="82">
        <f>G1792*1.1</f>
        <v>11103400</v>
      </c>
      <c r="J1792" s="82">
        <f>G1792/3</f>
        <v>3364666.6666666665</v>
      </c>
      <c r="K1792" s="7">
        <f>G2060</f>
        <v>12061500</v>
      </c>
      <c r="L1792" s="7">
        <f>K1792-I1792</f>
        <v>958100</v>
      </c>
      <c r="M1792" s="7">
        <f t="shared" si="298"/>
        <v>420583.33333333326</v>
      </c>
      <c r="N1792" s="7">
        <f t="shared" si="307"/>
        <v>1378683.3333333333</v>
      </c>
      <c r="O1792" s="7">
        <f t="shared" si="306"/>
        <v>-152000</v>
      </c>
      <c r="P1792" s="99">
        <f t="shared" si="299"/>
        <v>-1.4835057583447199E-2</v>
      </c>
      <c r="Q1792" s="99">
        <f t="shared" si="308"/>
        <v>5.1125786118948538E-4</v>
      </c>
      <c r="R1792">
        <v>1</v>
      </c>
      <c r="S1792" s="7">
        <f t="shared" si="300"/>
        <v>11103400</v>
      </c>
      <c r="T1792" s="7">
        <f t="shared" si="301"/>
        <v>3364666.6666666665</v>
      </c>
      <c r="U1792" s="7">
        <f t="shared" si="302"/>
        <v>12061500</v>
      </c>
      <c r="V1792" s="7">
        <f t="shared" si="303"/>
        <v>958100</v>
      </c>
      <c r="W1792" s="7">
        <f t="shared" si="304"/>
        <v>420583.33333333326</v>
      </c>
      <c r="X1792" s="7">
        <f t="shared" si="305"/>
        <v>1378683.3333333333</v>
      </c>
    </row>
    <row r="1793" spans="1:24">
      <c r="A1793">
        <v>1792</v>
      </c>
      <c r="B1793" s="96" t="s">
        <v>1811</v>
      </c>
      <c r="C1793" s="95">
        <v>42509</v>
      </c>
      <c r="D1793" s="82">
        <v>10112000</v>
      </c>
      <c r="E1793" s="82">
        <v>10089000</v>
      </c>
      <c r="F1793" s="82">
        <v>10182000</v>
      </c>
      <c r="G1793" s="82">
        <v>10112000</v>
      </c>
      <c r="I1793" s="97">
        <v>0</v>
      </c>
      <c r="J1793" s="97">
        <v>0</v>
      </c>
      <c r="K1793" s="97">
        <v>0</v>
      </c>
      <c r="M1793" s="7">
        <f t="shared" si="298"/>
        <v>0</v>
      </c>
      <c r="N1793" s="7">
        <f t="shared" si="307"/>
        <v>0</v>
      </c>
      <c r="O1793" s="7">
        <f t="shared" si="306"/>
        <v>18000</v>
      </c>
      <c r="P1793" s="99">
        <f t="shared" si="299"/>
        <v>1.7832375668714088E-3</v>
      </c>
      <c r="Q1793" s="99">
        <f t="shared" si="308"/>
        <v>-1.8033650351956046E-2</v>
      </c>
      <c r="S1793" s="7">
        <f t="shared" si="300"/>
        <v>11123200</v>
      </c>
      <c r="T1793" s="7">
        <f t="shared" si="301"/>
        <v>3370666.6666666665</v>
      </c>
      <c r="U1793" s="7">
        <f t="shared" si="302"/>
        <v>12073500</v>
      </c>
      <c r="V1793" s="7">
        <f t="shared" si="303"/>
        <v>0</v>
      </c>
      <c r="W1793" s="7">
        <f t="shared" si="304"/>
        <v>0</v>
      </c>
      <c r="X1793" s="7">
        <f t="shared" si="305"/>
        <v>0</v>
      </c>
    </row>
    <row r="1794" spans="1:24">
      <c r="A1794">
        <v>1793</v>
      </c>
      <c r="B1794" s="96" t="s">
        <v>1810</v>
      </c>
      <c r="C1794" s="95">
        <v>42513</v>
      </c>
      <c r="D1794" s="82">
        <v>10097000</v>
      </c>
      <c r="E1794" s="82">
        <v>10089000</v>
      </c>
      <c r="F1794" s="82">
        <v>10126000</v>
      </c>
      <c r="G1794" s="82">
        <v>10097000</v>
      </c>
      <c r="I1794" s="97">
        <v>0</v>
      </c>
      <c r="J1794" s="97">
        <v>0</v>
      </c>
      <c r="K1794" s="97">
        <v>0</v>
      </c>
      <c r="M1794" s="7">
        <f t="shared" ref="M1794:M1857" si="309">J1794*$AI$6/200</f>
        <v>0</v>
      </c>
      <c r="N1794" s="7">
        <f t="shared" si="307"/>
        <v>0</v>
      </c>
      <c r="O1794" s="7">
        <f t="shared" si="306"/>
        <v>-15000</v>
      </c>
      <c r="P1794" s="99">
        <f t="shared" si="299"/>
        <v>-1.4833860759493672E-3</v>
      </c>
      <c r="Q1794" s="99">
        <f t="shared" si="308"/>
        <v>-1.5180477953842539E-2</v>
      </c>
      <c r="S1794" s="7">
        <f t="shared" si="300"/>
        <v>11106700</v>
      </c>
      <c r="T1794" s="7">
        <f t="shared" si="301"/>
        <v>3365666.6666666665</v>
      </c>
      <c r="U1794" s="7">
        <f t="shared" si="302"/>
        <v>12164000</v>
      </c>
      <c r="V1794" s="7">
        <f t="shared" si="303"/>
        <v>0</v>
      </c>
      <c r="W1794" s="7">
        <f t="shared" si="304"/>
        <v>0</v>
      </c>
      <c r="X1794" s="7">
        <f t="shared" si="305"/>
        <v>0</v>
      </c>
    </row>
    <row r="1795" spans="1:24">
      <c r="A1795">
        <v>1794</v>
      </c>
      <c r="B1795" s="96" t="s">
        <v>1809</v>
      </c>
      <c r="C1795" s="95">
        <v>42514</v>
      </c>
      <c r="D1795" s="82">
        <v>10062000</v>
      </c>
      <c r="E1795" s="82">
        <v>10030000</v>
      </c>
      <c r="F1795" s="82">
        <v>10106000</v>
      </c>
      <c r="G1795" s="82">
        <v>10062000</v>
      </c>
      <c r="I1795" s="97">
        <v>0</v>
      </c>
      <c r="J1795" s="97">
        <v>0</v>
      </c>
      <c r="K1795" s="97">
        <v>0</v>
      </c>
      <c r="M1795" s="7">
        <f t="shared" si="309"/>
        <v>0</v>
      </c>
      <c r="N1795" s="7">
        <f t="shared" si="307"/>
        <v>0</v>
      </c>
      <c r="O1795" s="7">
        <f t="shared" si="306"/>
        <v>-35000</v>
      </c>
      <c r="P1795" s="99">
        <f t="shared" ref="P1795:P1858" si="310">O1795/G1794</f>
        <v>-3.466376151332079E-3</v>
      </c>
      <c r="Q1795" s="99">
        <f t="shared" si="308"/>
        <v>-1.4034847476724718E-2</v>
      </c>
      <c r="S1795" s="7">
        <f t="shared" ref="S1795:S1858" si="311">G1795*1.1</f>
        <v>11068200</v>
      </c>
      <c r="T1795" s="7">
        <f t="shared" ref="T1795:T1858" si="312">G1795/3</f>
        <v>3354000</v>
      </c>
      <c r="U1795" s="7">
        <f t="shared" ref="U1795:U1858" si="313">G2063</f>
        <v>12226000</v>
      </c>
      <c r="V1795" s="7">
        <f t="shared" ref="V1795:V1858" si="314">(U1795-S1795)*R1795</f>
        <v>0</v>
      </c>
      <c r="W1795" s="7">
        <f t="shared" ref="W1795:W1858" si="315">(T1795*$AI$6/200)*R1795</f>
        <v>0</v>
      </c>
      <c r="X1795" s="7">
        <f t="shared" ref="X1795:X1858" si="316">V1795+W1795</f>
        <v>0</v>
      </c>
    </row>
    <row r="1796" spans="1:24">
      <c r="A1796">
        <v>1795</v>
      </c>
      <c r="B1796" s="96" t="s">
        <v>1808</v>
      </c>
      <c r="C1796" s="95">
        <v>42515</v>
      </c>
      <c r="D1796" s="82">
        <v>9988000</v>
      </c>
      <c r="E1796" s="82">
        <v>9944000</v>
      </c>
      <c r="F1796" s="82">
        <v>10026500</v>
      </c>
      <c r="G1796" s="82">
        <v>9988000</v>
      </c>
      <c r="I1796" s="98">
        <v>0</v>
      </c>
      <c r="J1796" s="98">
        <v>0</v>
      </c>
      <c r="K1796" s="98">
        <v>0</v>
      </c>
      <c r="M1796" s="7">
        <f t="shared" si="309"/>
        <v>0</v>
      </c>
      <c r="N1796" s="7">
        <f t="shared" si="307"/>
        <v>0</v>
      </c>
      <c r="O1796" s="7">
        <f t="shared" ref="O1796:O1859" si="317">G1796-G1795</f>
        <v>-74000</v>
      </c>
      <c r="P1796" s="99">
        <f t="shared" si="310"/>
        <v>-7.3544027032399128E-3</v>
      </c>
      <c r="Q1796" s="99">
        <f t="shared" si="308"/>
        <v>-3.3452146463131683E-3</v>
      </c>
      <c r="S1796" s="7">
        <f t="shared" si="311"/>
        <v>10986800</v>
      </c>
      <c r="T1796" s="7">
        <f t="shared" si="312"/>
        <v>3329333.3333333335</v>
      </c>
      <c r="U1796" s="7">
        <f t="shared" si="313"/>
        <v>12279000</v>
      </c>
      <c r="V1796" s="7">
        <f t="shared" si="314"/>
        <v>0</v>
      </c>
      <c r="W1796" s="7">
        <f t="shared" si="315"/>
        <v>0</v>
      </c>
      <c r="X1796" s="7">
        <f t="shared" si="316"/>
        <v>0</v>
      </c>
    </row>
    <row r="1797" spans="1:24">
      <c r="A1797">
        <v>1796</v>
      </c>
      <c r="B1797" s="96" t="s">
        <v>1807</v>
      </c>
      <c r="C1797" s="95">
        <v>42516</v>
      </c>
      <c r="D1797" s="82">
        <v>10020000</v>
      </c>
      <c r="E1797" s="82">
        <v>10004000</v>
      </c>
      <c r="F1797" s="82">
        <v>10082000</v>
      </c>
      <c r="G1797" s="82">
        <v>10020000</v>
      </c>
      <c r="I1797" s="82">
        <f>G1797*1.1</f>
        <v>11022000</v>
      </c>
      <c r="J1797" s="82">
        <f>G1797/3</f>
        <v>3340000</v>
      </c>
      <c r="K1797" s="7">
        <f>G2065</f>
        <v>12221000</v>
      </c>
      <c r="L1797" s="7">
        <f>K1797-I1797</f>
        <v>1199000</v>
      </c>
      <c r="M1797" s="7">
        <f t="shared" si="309"/>
        <v>417500</v>
      </c>
      <c r="N1797" s="7">
        <f t="shared" si="307"/>
        <v>1616500</v>
      </c>
      <c r="O1797" s="7">
        <f t="shared" si="317"/>
        <v>32000</v>
      </c>
      <c r="P1797" s="99">
        <f t="shared" si="310"/>
        <v>3.2038446135362435E-3</v>
      </c>
      <c r="Q1797" s="99">
        <f t="shared" si="308"/>
        <v>-2.5355984947097149E-2</v>
      </c>
      <c r="R1797">
        <v>1</v>
      </c>
      <c r="S1797" s="7">
        <f t="shared" si="311"/>
        <v>11022000</v>
      </c>
      <c r="T1797" s="7">
        <f t="shared" si="312"/>
        <v>3340000</v>
      </c>
      <c r="U1797" s="7">
        <f t="shared" si="313"/>
        <v>12221000</v>
      </c>
      <c r="V1797" s="7">
        <f t="shared" si="314"/>
        <v>1199000</v>
      </c>
      <c r="W1797" s="7">
        <f t="shared" si="315"/>
        <v>417500</v>
      </c>
      <c r="X1797" s="7">
        <f t="shared" si="316"/>
        <v>1616500</v>
      </c>
    </row>
    <row r="1798" spans="1:24">
      <c r="A1798">
        <v>1797</v>
      </c>
      <c r="B1798" s="96" t="s">
        <v>1806</v>
      </c>
      <c r="C1798" s="95">
        <v>42518</v>
      </c>
      <c r="D1798" s="82">
        <v>10000000</v>
      </c>
      <c r="E1798" s="82">
        <v>9938000</v>
      </c>
      <c r="F1798" s="82">
        <v>10017000</v>
      </c>
      <c r="G1798" s="82">
        <v>10000000</v>
      </c>
      <c r="I1798" s="97">
        <v>0</v>
      </c>
      <c r="J1798" s="97">
        <v>0</v>
      </c>
      <c r="K1798" s="97">
        <v>0</v>
      </c>
      <c r="M1798" s="7">
        <f t="shared" si="309"/>
        <v>0</v>
      </c>
      <c r="N1798" s="7">
        <f t="shared" si="307"/>
        <v>0</v>
      </c>
      <c r="O1798" s="7">
        <f t="shared" si="317"/>
        <v>-20000</v>
      </c>
      <c r="P1798" s="99">
        <f t="shared" si="310"/>
        <v>-1.996007984031936E-3</v>
      </c>
      <c r="Q1798" s="99">
        <f t="shared" si="308"/>
        <v>-7.3170827501137063E-3</v>
      </c>
      <c r="S1798" s="7">
        <f t="shared" si="311"/>
        <v>11000000</v>
      </c>
      <c r="T1798" s="7">
        <f t="shared" si="312"/>
        <v>3333333.3333333335</v>
      </c>
      <c r="U1798" s="7">
        <f t="shared" si="313"/>
        <v>12167000</v>
      </c>
      <c r="V1798" s="7">
        <f t="shared" si="314"/>
        <v>0</v>
      </c>
      <c r="W1798" s="7">
        <f t="shared" si="315"/>
        <v>0</v>
      </c>
      <c r="X1798" s="7">
        <f t="shared" si="316"/>
        <v>0</v>
      </c>
    </row>
    <row r="1799" spans="1:24">
      <c r="A1799">
        <v>1798</v>
      </c>
      <c r="B1799" s="96" t="s">
        <v>1805</v>
      </c>
      <c r="C1799" s="95">
        <v>42519</v>
      </c>
      <c r="D1799" s="82">
        <v>9975000</v>
      </c>
      <c r="E1799" s="82">
        <v>9968500</v>
      </c>
      <c r="F1799" s="82">
        <v>10025000</v>
      </c>
      <c r="G1799" s="82">
        <v>9975000</v>
      </c>
      <c r="I1799" s="97">
        <v>0</v>
      </c>
      <c r="J1799" s="97">
        <v>0</v>
      </c>
      <c r="K1799" s="97">
        <v>0</v>
      </c>
      <c r="M1799" s="7">
        <f t="shared" si="309"/>
        <v>0</v>
      </c>
      <c r="N1799" s="7">
        <f t="shared" si="307"/>
        <v>0</v>
      </c>
      <c r="O1799" s="7">
        <f t="shared" si="317"/>
        <v>-25000</v>
      </c>
      <c r="P1799" s="99">
        <f t="shared" si="310"/>
        <v>-2.5000000000000001E-3</v>
      </c>
      <c r="Q1799" s="99">
        <f t="shared" si="308"/>
        <v>-1.1096328301017051E-2</v>
      </c>
      <c r="S1799" s="7">
        <f t="shared" si="311"/>
        <v>10972500</v>
      </c>
      <c r="T1799" s="7">
        <f t="shared" si="312"/>
        <v>3325000</v>
      </c>
      <c r="U1799" s="7">
        <f t="shared" si="313"/>
        <v>12170000</v>
      </c>
      <c r="V1799" s="7">
        <f t="shared" si="314"/>
        <v>0</v>
      </c>
      <c r="W1799" s="7">
        <f t="shared" si="315"/>
        <v>0</v>
      </c>
      <c r="X1799" s="7">
        <f t="shared" si="316"/>
        <v>0</v>
      </c>
    </row>
    <row r="1800" spans="1:24">
      <c r="A1800">
        <v>1799</v>
      </c>
      <c r="B1800" s="96" t="s">
        <v>1804</v>
      </c>
      <c r="C1800" s="95">
        <v>42520</v>
      </c>
      <c r="D1800" s="82">
        <v>10002000</v>
      </c>
      <c r="E1800" s="82">
        <v>9927000</v>
      </c>
      <c r="F1800" s="82">
        <v>10024000</v>
      </c>
      <c r="G1800" s="82">
        <v>10002000</v>
      </c>
      <c r="I1800" s="97">
        <v>0</v>
      </c>
      <c r="J1800" s="97">
        <v>0</v>
      </c>
      <c r="K1800" s="97">
        <v>0</v>
      </c>
      <c r="M1800" s="7">
        <f t="shared" si="309"/>
        <v>0</v>
      </c>
      <c r="N1800" s="7">
        <f t="shared" ref="N1800:N1863" si="318">L1800+M1800</f>
        <v>0</v>
      </c>
      <c r="O1800" s="7">
        <f t="shared" si="317"/>
        <v>27000</v>
      </c>
      <c r="P1800" s="99">
        <f t="shared" si="310"/>
        <v>2.7067669172932329E-3</v>
      </c>
      <c r="Q1800" s="99">
        <f t="shared" ref="Q1800:Q1863" si="319">SUM(P1795:P1799)</f>
        <v>-1.2112942225067687E-2</v>
      </c>
      <c r="S1800" s="7">
        <f t="shared" si="311"/>
        <v>11002200</v>
      </c>
      <c r="T1800" s="7">
        <f t="shared" si="312"/>
        <v>3334000</v>
      </c>
      <c r="U1800" s="7">
        <f t="shared" si="313"/>
        <v>12230000</v>
      </c>
      <c r="V1800" s="7">
        <f t="shared" si="314"/>
        <v>0</v>
      </c>
      <c r="W1800" s="7">
        <f t="shared" si="315"/>
        <v>0</v>
      </c>
      <c r="X1800" s="7">
        <f t="shared" si="316"/>
        <v>0</v>
      </c>
    </row>
    <row r="1801" spans="1:24">
      <c r="A1801">
        <v>1800</v>
      </c>
      <c r="B1801" s="96" t="s">
        <v>1803</v>
      </c>
      <c r="C1801" s="95">
        <v>42521</v>
      </c>
      <c r="D1801" s="82">
        <v>10014000</v>
      </c>
      <c r="E1801" s="82">
        <v>9996000</v>
      </c>
      <c r="F1801" s="82">
        <v>10032000</v>
      </c>
      <c r="G1801" s="82">
        <v>10014000</v>
      </c>
      <c r="I1801" s="98">
        <v>0</v>
      </c>
      <c r="J1801" s="98">
        <v>0</v>
      </c>
      <c r="K1801" s="98">
        <v>0</v>
      </c>
      <c r="M1801" s="7">
        <f t="shared" si="309"/>
        <v>0</v>
      </c>
      <c r="N1801" s="7">
        <f t="shared" si="318"/>
        <v>0</v>
      </c>
      <c r="O1801" s="7">
        <f t="shared" si="317"/>
        <v>12000</v>
      </c>
      <c r="P1801" s="99">
        <f t="shared" si="310"/>
        <v>1.1997600479904018E-3</v>
      </c>
      <c r="Q1801" s="99">
        <f t="shared" si="319"/>
        <v>-5.9397991564423729E-3</v>
      </c>
      <c r="S1801" s="7">
        <f t="shared" si="311"/>
        <v>11015400</v>
      </c>
      <c r="T1801" s="7">
        <f t="shared" si="312"/>
        <v>3338000</v>
      </c>
      <c r="U1801" s="7">
        <f t="shared" si="313"/>
        <v>12250000</v>
      </c>
      <c r="V1801" s="7">
        <f t="shared" si="314"/>
        <v>0</v>
      </c>
      <c r="W1801" s="7">
        <f t="shared" si="315"/>
        <v>0</v>
      </c>
      <c r="X1801" s="7">
        <f t="shared" si="316"/>
        <v>0</v>
      </c>
    </row>
    <row r="1802" spans="1:24">
      <c r="A1802">
        <v>1801</v>
      </c>
      <c r="B1802" s="96" t="s">
        <v>1802</v>
      </c>
      <c r="C1802" s="95">
        <v>42522</v>
      </c>
      <c r="D1802" s="82">
        <v>9986000</v>
      </c>
      <c r="E1802" s="82">
        <v>9986000</v>
      </c>
      <c r="F1802" s="82">
        <v>10035000</v>
      </c>
      <c r="G1802" s="82">
        <v>9986000</v>
      </c>
      <c r="I1802" s="82">
        <f>G1802*1.1</f>
        <v>10984600</v>
      </c>
      <c r="J1802" s="82">
        <f>G1802/3</f>
        <v>3328666.6666666665</v>
      </c>
      <c r="K1802" s="7">
        <f>G2070</f>
        <v>12203500</v>
      </c>
      <c r="L1802" s="7">
        <f>K1802-I1802</f>
        <v>1218900</v>
      </c>
      <c r="M1802" s="7">
        <f t="shared" si="309"/>
        <v>416083.33333333326</v>
      </c>
      <c r="N1802" s="7">
        <f t="shared" si="318"/>
        <v>1634983.3333333333</v>
      </c>
      <c r="O1802" s="7">
        <f t="shared" si="317"/>
        <v>-28000</v>
      </c>
      <c r="P1802" s="99">
        <f t="shared" si="310"/>
        <v>-2.7960854803275414E-3</v>
      </c>
      <c r="Q1802" s="99">
        <f t="shared" si="319"/>
        <v>2.6143635947879422E-3</v>
      </c>
      <c r="R1802">
        <v>1</v>
      </c>
      <c r="S1802" s="7">
        <f t="shared" si="311"/>
        <v>10984600</v>
      </c>
      <c r="T1802" s="7">
        <f t="shared" si="312"/>
        <v>3328666.6666666665</v>
      </c>
      <c r="U1802" s="7">
        <f t="shared" si="313"/>
        <v>12203500</v>
      </c>
      <c r="V1802" s="7">
        <f t="shared" si="314"/>
        <v>1218900</v>
      </c>
      <c r="W1802" s="7">
        <f t="shared" si="315"/>
        <v>416083.33333333326</v>
      </c>
      <c r="X1802" s="7">
        <f t="shared" si="316"/>
        <v>1634983.3333333333</v>
      </c>
    </row>
    <row r="1803" spans="1:24">
      <c r="A1803">
        <v>1802</v>
      </c>
      <c r="B1803" s="96" t="s">
        <v>1801</v>
      </c>
      <c r="C1803" s="95">
        <v>42523</v>
      </c>
      <c r="D1803" s="82">
        <v>10025000</v>
      </c>
      <c r="E1803" s="82">
        <v>9988000</v>
      </c>
      <c r="F1803" s="82">
        <v>10025000</v>
      </c>
      <c r="G1803" s="82">
        <v>10025000</v>
      </c>
      <c r="I1803" s="97">
        <v>0</v>
      </c>
      <c r="J1803" s="97">
        <v>0</v>
      </c>
      <c r="K1803" s="97">
        <v>0</v>
      </c>
      <c r="M1803" s="7">
        <f t="shared" si="309"/>
        <v>0</v>
      </c>
      <c r="N1803" s="7">
        <f t="shared" si="318"/>
        <v>0</v>
      </c>
      <c r="O1803" s="7">
        <f t="shared" si="317"/>
        <v>39000</v>
      </c>
      <c r="P1803" s="99">
        <f t="shared" si="310"/>
        <v>3.9054676547166031E-3</v>
      </c>
      <c r="Q1803" s="99">
        <f t="shared" si="319"/>
        <v>-3.3855664990758423E-3</v>
      </c>
      <c r="S1803" s="7">
        <f t="shared" si="311"/>
        <v>11027500</v>
      </c>
      <c r="T1803" s="7">
        <f t="shared" si="312"/>
        <v>3341666.6666666665</v>
      </c>
      <c r="U1803" s="7">
        <f t="shared" si="313"/>
        <v>12196000</v>
      </c>
      <c r="V1803" s="7">
        <f t="shared" si="314"/>
        <v>0</v>
      </c>
      <c r="W1803" s="7">
        <f t="shared" si="315"/>
        <v>0</v>
      </c>
      <c r="X1803" s="7">
        <f t="shared" si="316"/>
        <v>0</v>
      </c>
    </row>
    <row r="1804" spans="1:24">
      <c r="A1804">
        <v>1803</v>
      </c>
      <c r="B1804" s="96" t="s">
        <v>1800</v>
      </c>
      <c r="C1804" s="95">
        <v>42526</v>
      </c>
      <c r="D1804" s="82">
        <v>10126000</v>
      </c>
      <c r="E1804" s="82">
        <v>10118000</v>
      </c>
      <c r="F1804" s="82">
        <v>10150000</v>
      </c>
      <c r="G1804" s="82">
        <v>10126000</v>
      </c>
      <c r="I1804" s="97">
        <v>0</v>
      </c>
      <c r="J1804" s="97">
        <v>0</v>
      </c>
      <c r="K1804" s="97">
        <v>0</v>
      </c>
      <c r="M1804" s="7">
        <f t="shared" si="309"/>
        <v>0</v>
      </c>
      <c r="N1804" s="7">
        <f t="shared" si="318"/>
        <v>0</v>
      </c>
      <c r="O1804" s="7">
        <f t="shared" si="317"/>
        <v>101000</v>
      </c>
      <c r="P1804" s="99">
        <f t="shared" si="310"/>
        <v>1.0074812967581047E-2</v>
      </c>
      <c r="Q1804" s="99">
        <f t="shared" si="319"/>
        <v>2.5159091396726964E-3</v>
      </c>
      <c r="S1804" s="7">
        <f t="shared" si="311"/>
        <v>11138600</v>
      </c>
      <c r="T1804" s="7">
        <f t="shared" si="312"/>
        <v>3375333.3333333335</v>
      </c>
      <c r="U1804" s="7">
        <f t="shared" si="313"/>
        <v>12199500</v>
      </c>
      <c r="V1804" s="7">
        <f t="shared" si="314"/>
        <v>0</v>
      </c>
      <c r="W1804" s="7">
        <f t="shared" si="315"/>
        <v>0</v>
      </c>
      <c r="X1804" s="7">
        <f t="shared" si="316"/>
        <v>0</v>
      </c>
    </row>
    <row r="1805" spans="1:24">
      <c r="A1805">
        <v>1804</v>
      </c>
      <c r="B1805" s="96" t="s">
        <v>1799</v>
      </c>
      <c r="C1805" s="95">
        <v>42527</v>
      </c>
      <c r="D1805" s="82">
        <v>10080000</v>
      </c>
      <c r="E1805" s="82">
        <v>10059500</v>
      </c>
      <c r="F1805" s="82">
        <v>10122000</v>
      </c>
      <c r="G1805" s="82">
        <v>10080000</v>
      </c>
      <c r="I1805" s="97">
        <v>0</v>
      </c>
      <c r="J1805" s="97">
        <v>0</v>
      </c>
      <c r="K1805" s="97">
        <v>0</v>
      </c>
      <c r="M1805" s="7">
        <f t="shared" si="309"/>
        <v>0</v>
      </c>
      <c r="N1805" s="7">
        <f t="shared" si="318"/>
        <v>0</v>
      </c>
      <c r="O1805" s="7">
        <f t="shared" si="317"/>
        <v>-46000</v>
      </c>
      <c r="P1805" s="99">
        <f t="shared" si="310"/>
        <v>-4.5427612087695045E-3</v>
      </c>
      <c r="Q1805" s="99">
        <f t="shared" si="319"/>
        <v>1.5090722107253743E-2</v>
      </c>
      <c r="S1805" s="7">
        <f t="shared" si="311"/>
        <v>11088000</v>
      </c>
      <c r="T1805" s="7">
        <f t="shared" si="312"/>
        <v>3360000</v>
      </c>
      <c r="U1805" s="7">
        <f t="shared" si="313"/>
        <v>12204000</v>
      </c>
      <c r="V1805" s="7">
        <f t="shared" si="314"/>
        <v>0</v>
      </c>
      <c r="W1805" s="7">
        <f t="shared" si="315"/>
        <v>0</v>
      </c>
      <c r="X1805" s="7">
        <f t="shared" si="316"/>
        <v>0</v>
      </c>
    </row>
    <row r="1806" spans="1:24">
      <c r="A1806">
        <v>1805</v>
      </c>
      <c r="B1806" s="96" t="s">
        <v>1798</v>
      </c>
      <c r="C1806" s="95">
        <v>42528</v>
      </c>
      <c r="D1806" s="82">
        <v>10040000</v>
      </c>
      <c r="E1806" s="82">
        <v>10019000</v>
      </c>
      <c r="F1806" s="82">
        <v>10080000</v>
      </c>
      <c r="G1806" s="82">
        <v>10040000</v>
      </c>
      <c r="I1806" s="98">
        <v>0</v>
      </c>
      <c r="J1806" s="98">
        <v>0</v>
      </c>
      <c r="K1806" s="98">
        <v>0</v>
      </c>
      <c r="M1806" s="7">
        <f t="shared" si="309"/>
        <v>0</v>
      </c>
      <c r="N1806" s="7">
        <f t="shared" si="318"/>
        <v>0</v>
      </c>
      <c r="O1806" s="7">
        <f t="shared" si="317"/>
        <v>-40000</v>
      </c>
      <c r="P1806" s="99">
        <f t="shared" si="310"/>
        <v>-3.968253968253968E-3</v>
      </c>
      <c r="Q1806" s="99">
        <f t="shared" si="319"/>
        <v>7.8411939811910067E-3</v>
      </c>
      <c r="S1806" s="7">
        <f t="shared" si="311"/>
        <v>11044000</v>
      </c>
      <c r="T1806" s="7">
        <f t="shared" si="312"/>
        <v>3346666.6666666665</v>
      </c>
      <c r="U1806" s="7">
        <f t="shared" si="313"/>
        <v>12188000</v>
      </c>
      <c r="V1806" s="7">
        <f t="shared" si="314"/>
        <v>0</v>
      </c>
      <c r="W1806" s="7">
        <f t="shared" si="315"/>
        <v>0</v>
      </c>
      <c r="X1806" s="7">
        <f t="shared" si="316"/>
        <v>0</v>
      </c>
    </row>
    <row r="1807" spans="1:24">
      <c r="A1807">
        <v>1806</v>
      </c>
      <c r="B1807" s="96" t="s">
        <v>1797</v>
      </c>
      <c r="C1807" s="95">
        <v>42529</v>
      </c>
      <c r="D1807" s="82">
        <v>10168500</v>
      </c>
      <c r="E1807" s="82">
        <v>10064000</v>
      </c>
      <c r="F1807" s="82">
        <v>10168500</v>
      </c>
      <c r="G1807" s="82">
        <v>10168500</v>
      </c>
      <c r="I1807" s="82">
        <f>G1807*1.1</f>
        <v>11185350</v>
      </c>
      <c r="J1807" s="82">
        <f>G1807/3</f>
        <v>3389500</v>
      </c>
      <c r="K1807" s="7">
        <f>G2075</f>
        <v>12202000</v>
      </c>
      <c r="L1807" s="7">
        <f>K1807-I1807</f>
        <v>1016650</v>
      </c>
      <c r="M1807" s="7">
        <f t="shared" si="309"/>
        <v>423687.5</v>
      </c>
      <c r="N1807" s="7">
        <f t="shared" si="318"/>
        <v>1440337.5</v>
      </c>
      <c r="O1807" s="7">
        <f t="shared" si="317"/>
        <v>128500</v>
      </c>
      <c r="P1807" s="99">
        <f t="shared" si="310"/>
        <v>1.2798804780876494E-2</v>
      </c>
      <c r="Q1807" s="99">
        <f t="shared" si="319"/>
        <v>2.673179964946636E-3</v>
      </c>
      <c r="R1807">
        <v>1</v>
      </c>
      <c r="S1807" s="7">
        <f t="shared" si="311"/>
        <v>11185350</v>
      </c>
      <c r="T1807" s="7">
        <f t="shared" si="312"/>
        <v>3389500</v>
      </c>
      <c r="U1807" s="7">
        <f t="shared" si="313"/>
        <v>12202000</v>
      </c>
      <c r="V1807" s="7">
        <f t="shared" si="314"/>
        <v>1016650</v>
      </c>
      <c r="W1807" s="7">
        <f t="shared" si="315"/>
        <v>423687.5</v>
      </c>
      <c r="X1807" s="7">
        <f t="shared" si="316"/>
        <v>1440337.5</v>
      </c>
    </row>
    <row r="1808" spans="1:24">
      <c r="A1808">
        <v>1807</v>
      </c>
      <c r="B1808" s="96" t="s">
        <v>1796</v>
      </c>
      <c r="C1808" s="95">
        <v>42530</v>
      </c>
      <c r="D1808" s="82">
        <v>10267000</v>
      </c>
      <c r="E1808" s="82">
        <v>10179000</v>
      </c>
      <c r="F1808" s="82">
        <v>10267000</v>
      </c>
      <c r="G1808" s="82">
        <v>10267000</v>
      </c>
      <c r="I1808" s="97">
        <v>0</v>
      </c>
      <c r="J1808" s="97">
        <v>0</v>
      </c>
      <c r="K1808" s="97">
        <v>0</v>
      </c>
      <c r="M1808" s="7">
        <f t="shared" si="309"/>
        <v>0</v>
      </c>
      <c r="N1808" s="7">
        <f t="shared" si="318"/>
        <v>0</v>
      </c>
      <c r="O1808" s="7">
        <f t="shared" si="317"/>
        <v>98500</v>
      </c>
      <c r="P1808" s="99">
        <f t="shared" si="310"/>
        <v>9.6867777941682647E-3</v>
      </c>
      <c r="Q1808" s="99">
        <f t="shared" si="319"/>
        <v>1.8268070226150672E-2</v>
      </c>
      <c r="S1808" s="7">
        <f t="shared" si="311"/>
        <v>11293700</v>
      </c>
      <c r="T1808" s="7">
        <f t="shared" si="312"/>
        <v>3422333.3333333335</v>
      </c>
      <c r="U1808" s="7">
        <f t="shared" si="313"/>
        <v>12134000</v>
      </c>
      <c r="V1808" s="7">
        <f t="shared" si="314"/>
        <v>0</v>
      </c>
      <c r="W1808" s="7">
        <f t="shared" si="315"/>
        <v>0</v>
      </c>
      <c r="X1808" s="7">
        <f t="shared" si="316"/>
        <v>0</v>
      </c>
    </row>
    <row r="1809" spans="1:24">
      <c r="A1809">
        <v>1808</v>
      </c>
      <c r="B1809" s="96" t="s">
        <v>1795</v>
      </c>
      <c r="C1809" s="95">
        <v>42532</v>
      </c>
      <c r="D1809" s="82">
        <v>10295000</v>
      </c>
      <c r="E1809" s="82">
        <v>10292500</v>
      </c>
      <c r="F1809" s="82">
        <v>10329000</v>
      </c>
      <c r="G1809" s="82">
        <v>10295000</v>
      </c>
      <c r="I1809" s="97">
        <v>0</v>
      </c>
      <c r="J1809" s="97">
        <v>0</v>
      </c>
      <c r="K1809" s="97">
        <v>0</v>
      </c>
      <c r="M1809" s="7">
        <f t="shared" si="309"/>
        <v>0</v>
      </c>
      <c r="N1809" s="7">
        <f t="shared" si="318"/>
        <v>0</v>
      </c>
      <c r="O1809" s="7">
        <f t="shared" si="317"/>
        <v>28000</v>
      </c>
      <c r="P1809" s="99">
        <f t="shared" si="310"/>
        <v>2.7271841823317423E-3</v>
      </c>
      <c r="Q1809" s="99">
        <f t="shared" si="319"/>
        <v>2.4049380365602335E-2</v>
      </c>
      <c r="S1809" s="7">
        <f t="shared" si="311"/>
        <v>11324500</v>
      </c>
      <c r="T1809" s="7">
        <f t="shared" si="312"/>
        <v>3431666.6666666665</v>
      </c>
      <c r="U1809" s="7">
        <f t="shared" si="313"/>
        <v>12092000</v>
      </c>
      <c r="V1809" s="7">
        <f t="shared" si="314"/>
        <v>0</v>
      </c>
      <c r="W1809" s="7">
        <f t="shared" si="315"/>
        <v>0</v>
      </c>
      <c r="X1809" s="7">
        <f t="shared" si="316"/>
        <v>0</v>
      </c>
    </row>
    <row r="1810" spans="1:24">
      <c r="A1810">
        <v>1809</v>
      </c>
      <c r="B1810" s="96" t="s">
        <v>1794</v>
      </c>
      <c r="C1810" s="95">
        <v>42533</v>
      </c>
      <c r="D1810" s="82">
        <v>10288000</v>
      </c>
      <c r="E1810" s="82">
        <v>10280000</v>
      </c>
      <c r="F1810" s="82">
        <v>10302500</v>
      </c>
      <c r="G1810" s="82">
        <v>10288000</v>
      </c>
      <c r="I1810" s="97">
        <v>0</v>
      </c>
      <c r="J1810" s="97">
        <v>0</v>
      </c>
      <c r="K1810" s="97">
        <v>0</v>
      </c>
      <c r="M1810" s="7">
        <f t="shared" si="309"/>
        <v>0</v>
      </c>
      <c r="N1810" s="7">
        <f t="shared" si="318"/>
        <v>0</v>
      </c>
      <c r="O1810" s="7">
        <f t="shared" si="317"/>
        <v>-7000</v>
      </c>
      <c r="P1810" s="99">
        <f t="shared" si="310"/>
        <v>-6.7994171928120446E-4</v>
      </c>
      <c r="Q1810" s="99">
        <f t="shared" si="319"/>
        <v>1.670175158035303E-2</v>
      </c>
      <c r="S1810" s="7">
        <f t="shared" si="311"/>
        <v>11316800</v>
      </c>
      <c r="T1810" s="7">
        <f t="shared" si="312"/>
        <v>3429333.3333333335</v>
      </c>
      <c r="U1810" s="7">
        <f t="shared" si="313"/>
        <v>12113000</v>
      </c>
      <c r="V1810" s="7">
        <f t="shared" si="314"/>
        <v>0</v>
      </c>
      <c r="W1810" s="7">
        <f t="shared" si="315"/>
        <v>0</v>
      </c>
      <c r="X1810" s="7">
        <f t="shared" si="316"/>
        <v>0</v>
      </c>
    </row>
    <row r="1811" spans="1:24">
      <c r="A1811">
        <v>1810</v>
      </c>
      <c r="B1811" s="96" t="s">
        <v>1793</v>
      </c>
      <c r="C1811" s="95">
        <v>42534</v>
      </c>
      <c r="D1811" s="82">
        <v>10306000</v>
      </c>
      <c r="E1811" s="82">
        <v>10286000</v>
      </c>
      <c r="F1811" s="82">
        <v>10335000</v>
      </c>
      <c r="G1811" s="82">
        <v>10306000</v>
      </c>
      <c r="I1811" s="98">
        <v>0</v>
      </c>
      <c r="J1811" s="98">
        <v>0</v>
      </c>
      <c r="K1811" s="98">
        <v>0</v>
      </c>
      <c r="M1811" s="7">
        <f t="shared" si="309"/>
        <v>0</v>
      </c>
      <c r="N1811" s="7">
        <f t="shared" si="318"/>
        <v>0</v>
      </c>
      <c r="O1811" s="7">
        <f t="shared" si="317"/>
        <v>18000</v>
      </c>
      <c r="P1811" s="99">
        <f t="shared" si="310"/>
        <v>1.749611197511664E-3</v>
      </c>
      <c r="Q1811" s="99">
        <f t="shared" si="319"/>
        <v>2.0564571069841327E-2</v>
      </c>
      <c r="S1811" s="7">
        <f t="shared" si="311"/>
        <v>11336600</v>
      </c>
      <c r="T1811" s="7">
        <f t="shared" si="312"/>
        <v>3435333.3333333335</v>
      </c>
      <c r="U1811" s="7">
        <f t="shared" si="313"/>
        <v>12080000</v>
      </c>
      <c r="V1811" s="7">
        <f t="shared" si="314"/>
        <v>0</v>
      </c>
      <c r="W1811" s="7">
        <f t="shared" si="315"/>
        <v>0</v>
      </c>
      <c r="X1811" s="7">
        <f t="shared" si="316"/>
        <v>0</v>
      </c>
    </row>
    <row r="1812" spans="1:24">
      <c r="A1812">
        <v>1811</v>
      </c>
      <c r="B1812" s="96" t="s">
        <v>1792</v>
      </c>
      <c r="C1812" s="95">
        <v>42535</v>
      </c>
      <c r="D1812" s="82">
        <v>10317000</v>
      </c>
      <c r="E1812" s="82">
        <v>10273000</v>
      </c>
      <c r="F1812" s="82">
        <v>10340000</v>
      </c>
      <c r="G1812" s="82">
        <v>10317000</v>
      </c>
      <c r="I1812" s="82">
        <f>G1812*1.1</f>
        <v>11348700</v>
      </c>
      <c r="J1812" s="82">
        <f>G1812/3</f>
        <v>3439000</v>
      </c>
      <c r="K1812" s="7">
        <f>G2080</f>
        <v>11958000</v>
      </c>
      <c r="L1812" s="7">
        <f>K1812-I1812</f>
        <v>609300</v>
      </c>
      <c r="M1812" s="7">
        <f t="shared" si="309"/>
        <v>429875</v>
      </c>
      <c r="N1812" s="7">
        <f t="shared" si="318"/>
        <v>1039175</v>
      </c>
      <c r="O1812" s="7">
        <f t="shared" si="317"/>
        <v>11000</v>
      </c>
      <c r="P1812" s="99">
        <f t="shared" si="310"/>
        <v>1.0673394139336309E-3</v>
      </c>
      <c r="Q1812" s="99">
        <f t="shared" si="319"/>
        <v>2.628243623560696E-2</v>
      </c>
      <c r="R1812">
        <v>1</v>
      </c>
      <c r="S1812" s="7">
        <f t="shared" si="311"/>
        <v>11348700</v>
      </c>
      <c r="T1812" s="7">
        <f t="shared" si="312"/>
        <v>3439000</v>
      </c>
      <c r="U1812" s="7">
        <f t="shared" si="313"/>
        <v>11958000</v>
      </c>
      <c r="V1812" s="7">
        <f t="shared" si="314"/>
        <v>609300</v>
      </c>
      <c r="W1812" s="7">
        <f t="shared" si="315"/>
        <v>429875</v>
      </c>
      <c r="X1812" s="7">
        <f t="shared" si="316"/>
        <v>1039175</v>
      </c>
    </row>
    <row r="1813" spans="1:24">
      <c r="A1813">
        <v>1812</v>
      </c>
      <c r="B1813" s="96" t="s">
        <v>1791</v>
      </c>
      <c r="C1813" s="95">
        <v>42536</v>
      </c>
      <c r="D1813" s="82">
        <v>10314000</v>
      </c>
      <c r="E1813" s="82">
        <v>10303000</v>
      </c>
      <c r="F1813" s="82">
        <v>10334000</v>
      </c>
      <c r="G1813" s="82">
        <v>10314000</v>
      </c>
      <c r="I1813" s="97">
        <v>0</v>
      </c>
      <c r="J1813" s="97">
        <v>0</v>
      </c>
      <c r="K1813" s="97">
        <v>0</v>
      </c>
      <c r="M1813" s="7">
        <f t="shared" si="309"/>
        <v>0</v>
      </c>
      <c r="N1813" s="7">
        <f t="shared" si="318"/>
        <v>0</v>
      </c>
      <c r="O1813" s="7">
        <f t="shared" si="317"/>
        <v>-3000</v>
      </c>
      <c r="P1813" s="99">
        <f t="shared" si="310"/>
        <v>-2.9078220412910729E-4</v>
      </c>
      <c r="Q1813" s="99">
        <f t="shared" si="319"/>
        <v>1.4550970868664099E-2</v>
      </c>
      <c r="S1813" s="7">
        <f t="shared" si="311"/>
        <v>11345400</v>
      </c>
      <c r="T1813" s="7">
        <f t="shared" si="312"/>
        <v>3438000</v>
      </c>
      <c r="U1813" s="7">
        <f t="shared" si="313"/>
        <v>11956000</v>
      </c>
      <c r="V1813" s="7">
        <f t="shared" si="314"/>
        <v>0</v>
      </c>
      <c r="W1813" s="7">
        <f t="shared" si="315"/>
        <v>0</v>
      </c>
      <c r="X1813" s="7">
        <f t="shared" si="316"/>
        <v>0</v>
      </c>
    </row>
    <row r="1814" spans="1:24">
      <c r="A1814">
        <v>1813</v>
      </c>
      <c r="B1814" s="96" t="s">
        <v>1790</v>
      </c>
      <c r="C1814" s="95">
        <v>42537</v>
      </c>
      <c r="D1814" s="82">
        <v>10493000</v>
      </c>
      <c r="E1814" s="82">
        <v>10400000</v>
      </c>
      <c r="F1814" s="82">
        <v>10523000</v>
      </c>
      <c r="G1814" s="82">
        <v>10493000</v>
      </c>
      <c r="I1814" s="97">
        <v>0</v>
      </c>
      <c r="J1814" s="97">
        <v>0</v>
      </c>
      <c r="K1814" s="97">
        <v>0</v>
      </c>
      <c r="M1814" s="7">
        <f t="shared" si="309"/>
        <v>0</v>
      </c>
      <c r="N1814" s="7">
        <f t="shared" si="318"/>
        <v>0</v>
      </c>
      <c r="O1814" s="7">
        <f t="shared" si="317"/>
        <v>179000</v>
      </c>
      <c r="P1814" s="99">
        <f t="shared" si="310"/>
        <v>1.7355051386464999E-2</v>
      </c>
      <c r="Q1814" s="99">
        <f t="shared" si="319"/>
        <v>4.5734108703667248E-3</v>
      </c>
      <c r="S1814" s="7">
        <f t="shared" si="311"/>
        <v>11542300.000000002</v>
      </c>
      <c r="T1814" s="7">
        <f t="shared" si="312"/>
        <v>3497666.6666666665</v>
      </c>
      <c r="U1814" s="7">
        <f t="shared" si="313"/>
        <v>12032000</v>
      </c>
      <c r="V1814" s="7">
        <f t="shared" si="314"/>
        <v>0</v>
      </c>
      <c r="W1814" s="7">
        <f t="shared" si="315"/>
        <v>0</v>
      </c>
      <c r="X1814" s="7">
        <f t="shared" si="316"/>
        <v>0</v>
      </c>
    </row>
    <row r="1815" spans="1:24">
      <c r="A1815">
        <v>1814</v>
      </c>
      <c r="B1815" s="96" t="s">
        <v>1789</v>
      </c>
      <c r="C1815" s="95">
        <v>42539</v>
      </c>
      <c r="D1815" s="82">
        <v>10422000</v>
      </c>
      <c r="E1815" s="82">
        <v>10413000</v>
      </c>
      <c r="F1815" s="82">
        <v>10433000</v>
      </c>
      <c r="G1815" s="82">
        <v>10422000</v>
      </c>
      <c r="I1815" s="97">
        <v>0</v>
      </c>
      <c r="J1815" s="97">
        <v>0</v>
      </c>
      <c r="K1815" s="97">
        <v>0</v>
      </c>
      <c r="M1815" s="7">
        <f t="shared" si="309"/>
        <v>0</v>
      </c>
      <c r="N1815" s="7">
        <f t="shared" si="318"/>
        <v>0</v>
      </c>
      <c r="O1815" s="7">
        <f t="shared" si="317"/>
        <v>-71000</v>
      </c>
      <c r="P1815" s="99">
        <f t="shared" si="310"/>
        <v>-6.7664157057085676E-3</v>
      </c>
      <c r="Q1815" s="99">
        <f t="shared" si="319"/>
        <v>1.9201278074499981E-2</v>
      </c>
      <c r="S1815" s="7">
        <f t="shared" si="311"/>
        <v>11464200</v>
      </c>
      <c r="T1815" s="7">
        <f t="shared" si="312"/>
        <v>3474000</v>
      </c>
      <c r="U1815" s="7">
        <f t="shared" si="313"/>
        <v>12033000</v>
      </c>
      <c r="V1815" s="7">
        <f t="shared" si="314"/>
        <v>0</v>
      </c>
      <c r="W1815" s="7">
        <f t="shared" si="315"/>
        <v>0</v>
      </c>
      <c r="X1815" s="7">
        <f t="shared" si="316"/>
        <v>0</v>
      </c>
    </row>
    <row r="1816" spans="1:24">
      <c r="A1816">
        <v>1815</v>
      </c>
      <c r="B1816" s="96" t="s">
        <v>1788</v>
      </c>
      <c r="C1816" s="95">
        <v>42540</v>
      </c>
      <c r="D1816" s="82">
        <v>10421000</v>
      </c>
      <c r="E1816" s="82">
        <v>10416000</v>
      </c>
      <c r="F1816" s="82">
        <v>10432000</v>
      </c>
      <c r="G1816" s="82">
        <v>10421000</v>
      </c>
      <c r="I1816" s="98">
        <v>0</v>
      </c>
      <c r="J1816" s="98">
        <v>0</v>
      </c>
      <c r="K1816" s="98">
        <v>0</v>
      </c>
      <c r="M1816" s="7">
        <f t="shared" si="309"/>
        <v>0</v>
      </c>
      <c r="N1816" s="7">
        <f t="shared" si="318"/>
        <v>0</v>
      </c>
      <c r="O1816" s="7">
        <f t="shared" si="317"/>
        <v>-1000</v>
      </c>
      <c r="P1816" s="99">
        <f t="shared" si="310"/>
        <v>-9.5950873152945686E-5</v>
      </c>
      <c r="Q1816" s="99">
        <f t="shared" si="319"/>
        <v>1.3114804088072618E-2</v>
      </c>
      <c r="S1816" s="7">
        <f t="shared" si="311"/>
        <v>11463100</v>
      </c>
      <c r="T1816" s="7">
        <f t="shared" si="312"/>
        <v>3473666.6666666665</v>
      </c>
      <c r="U1816" s="7">
        <f t="shared" si="313"/>
        <v>12060000</v>
      </c>
      <c r="V1816" s="7">
        <f t="shared" si="314"/>
        <v>0</v>
      </c>
      <c r="W1816" s="7">
        <f t="shared" si="315"/>
        <v>0</v>
      </c>
      <c r="X1816" s="7">
        <f t="shared" si="316"/>
        <v>0</v>
      </c>
    </row>
    <row r="1817" spans="1:24">
      <c r="A1817">
        <v>1816</v>
      </c>
      <c r="B1817" s="96" t="s">
        <v>1787</v>
      </c>
      <c r="C1817" s="95">
        <v>42541</v>
      </c>
      <c r="D1817" s="82">
        <v>10340000</v>
      </c>
      <c r="E1817" s="82">
        <v>10308000</v>
      </c>
      <c r="F1817" s="82">
        <v>10354000</v>
      </c>
      <c r="G1817" s="82">
        <v>10340000</v>
      </c>
      <c r="I1817" s="82">
        <f>G1817*1.1</f>
        <v>11374000</v>
      </c>
      <c r="J1817" s="82">
        <f>G1817/3</f>
        <v>3446666.6666666665</v>
      </c>
      <c r="K1817" s="7">
        <f>G2085</f>
        <v>12083500</v>
      </c>
      <c r="L1817" s="7">
        <f>K1817-I1817</f>
        <v>709500</v>
      </c>
      <c r="M1817" s="7">
        <f t="shared" si="309"/>
        <v>430833.33333333326</v>
      </c>
      <c r="N1817" s="7">
        <f t="shared" si="318"/>
        <v>1140333.3333333333</v>
      </c>
      <c r="O1817" s="7">
        <f t="shared" si="317"/>
        <v>-81000</v>
      </c>
      <c r="P1817" s="99">
        <f t="shared" si="310"/>
        <v>-7.7727665291238849E-3</v>
      </c>
      <c r="Q1817" s="99">
        <f t="shared" si="319"/>
        <v>1.1269242017408011E-2</v>
      </c>
      <c r="R1817">
        <v>1</v>
      </c>
      <c r="S1817" s="7">
        <f t="shared" si="311"/>
        <v>11374000</v>
      </c>
      <c r="T1817" s="7">
        <f t="shared" si="312"/>
        <v>3446666.6666666665</v>
      </c>
      <c r="U1817" s="7">
        <f t="shared" si="313"/>
        <v>12083500</v>
      </c>
      <c r="V1817" s="7">
        <f t="shared" si="314"/>
        <v>709500</v>
      </c>
      <c r="W1817" s="7">
        <f t="shared" si="315"/>
        <v>430833.33333333326</v>
      </c>
      <c r="X1817" s="7">
        <f t="shared" si="316"/>
        <v>1140333.3333333333</v>
      </c>
    </row>
    <row r="1818" spans="1:24">
      <c r="A1818">
        <v>1817</v>
      </c>
      <c r="B1818" s="96" t="s">
        <v>1786</v>
      </c>
      <c r="C1818" s="95">
        <v>42542</v>
      </c>
      <c r="D1818" s="82">
        <v>10287000</v>
      </c>
      <c r="E1818" s="82">
        <v>10279000</v>
      </c>
      <c r="F1818" s="82">
        <v>10355000</v>
      </c>
      <c r="G1818" s="82">
        <v>10287000</v>
      </c>
      <c r="I1818" s="97">
        <v>0</v>
      </c>
      <c r="J1818" s="97">
        <v>0</v>
      </c>
      <c r="K1818" s="97">
        <v>0</v>
      </c>
      <c r="M1818" s="7">
        <f t="shared" si="309"/>
        <v>0</v>
      </c>
      <c r="N1818" s="7">
        <f t="shared" si="318"/>
        <v>0</v>
      </c>
      <c r="O1818" s="7">
        <f t="shared" si="317"/>
        <v>-53000</v>
      </c>
      <c r="P1818" s="99">
        <f t="shared" si="310"/>
        <v>-5.125725338491296E-3</v>
      </c>
      <c r="Q1818" s="99">
        <f t="shared" si="319"/>
        <v>2.4291360743504955E-3</v>
      </c>
      <c r="S1818" s="7">
        <f t="shared" si="311"/>
        <v>11315700</v>
      </c>
      <c r="T1818" s="7">
        <f t="shared" si="312"/>
        <v>3429000</v>
      </c>
      <c r="U1818" s="7">
        <f t="shared" si="313"/>
        <v>12093500</v>
      </c>
      <c r="V1818" s="7">
        <f t="shared" si="314"/>
        <v>0</v>
      </c>
      <c r="W1818" s="7">
        <f t="shared" si="315"/>
        <v>0</v>
      </c>
      <c r="X1818" s="7">
        <f t="shared" si="316"/>
        <v>0</v>
      </c>
    </row>
    <row r="1819" spans="1:24">
      <c r="A1819">
        <v>1818</v>
      </c>
      <c r="B1819" s="96" t="s">
        <v>1785</v>
      </c>
      <c r="C1819" s="95">
        <v>42543</v>
      </c>
      <c r="D1819" s="82">
        <v>10278000</v>
      </c>
      <c r="E1819" s="82">
        <v>10260000</v>
      </c>
      <c r="F1819" s="82">
        <v>10283000</v>
      </c>
      <c r="G1819" s="82">
        <v>10278000</v>
      </c>
      <c r="I1819" s="97">
        <v>0</v>
      </c>
      <c r="J1819" s="97">
        <v>0</v>
      </c>
      <c r="K1819" s="97">
        <v>0</v>
      </c>
      <c r="M1819" s="7">
        <f t="shared" si="309"/>
        <v>0</v>
      </c>
      <c r="N1819" s="7">
        <f t="shared" si="318"/>
        <v>0</v>
      </c>
      <c r="O1819" s="7">
        <f t="shared" si="317"/>
        <v>-9000</v>
      </c>
      <c r="P1819" s="99">
        <f t="shared" si="310"/>
        <v>-8.7489063867016625E-4</v>
      </c>
      <c r="Q1819" s="99">
        <f t="shared" si="319"/>
        <v>-2.4058070600116947E-3</v>
      </c>
      <c r="S1819" s="7">
        <f t="shared" si="311"/>
        <v>11305800</v>
      </c>
      <c r="T1819" s="7">
        <f t="shared" si="312"/>
        <v>3426000</v>
      </c>
      <c r="U1819" s="7">
        <f t="shared" si="313"/>
        <v>12140500</v>
      </c>
      <c r="V1819" s="7">
        <f t="shared" si="314"/>
        <v>0</v>
      </c>
      <c r="W1819" s="7">
        <f t="shared" si="315"/>
        <v>0</v>
      </c>
      <c r="X1819" s="7">
        <f t="shared" si="316"/>
        <v>0</v>
      </c>
    </row>
    <row r="1820" spans="1:24">
      <c r="A1820">
        <v>1819</v>
      </c>
      <c r="B1820" s="96" t="s">
        <v>1784</v>
      </c>
      <c r="C1820" s="95">
        <v>42544</v>
      </c>
      <c r="D1820" s="82">
        <v>10254000</v>
      </c>
      <c r="E1820" s="82">
        <v>10254000</v>
      </c>
      <c r="F1820" s="82">
        <v>10300000</v>
      </c>
      <c r="G1820" s="82">
        <v>10254000</v>
      </c>
      <c r="I1820" s="97">
        <v>0</v>
      </c>
      <c r="J1820" s="97">
        <v>0</v>
      </c>
      <c r="K1820" s="97">
        <v>0</v>
      </c>
      <c r="M1820" s="7">
        <f t="shared" si="309"/>
        <v>0</v>
      </c>
      <c r="N1820" s="7">
        <f t="shared" si="318"/>
        <v>0</v>
      </c>
      <c r="O1820" s="7">
        <f t="shared" si="317"/>
        <v>-24000</v>
      </c>
      <c r="P1820" s="99">
        <f t="shared" si="310"/>
        <v>-2.3350846468184472E-3</v>
      </c>
      <c r="Q1820" s="99">
        <f t="shared" si="319"/>
        <v>-2.063574908514686E-2</v>
      </c>
      <c r="S1820" s="7">
        <f t="shared" si="311"/>
        <v>11279400</v>
      </c>
      <c r="T1820" s="7">
        <f t="shared" si="312"/>
        <v>3418000</v>
      </c>
      <c r="U1820" s="7">
        <f t="shared" si="313"/>
        <v>12122000</v>
      </c>
      <c r="V1820" s="7">
        <f t="shared" si="314"/>
        <v>0</v>
      </c>
      <c r="W1820" s="7">
        <f t="shared" si="315"/>
        <v>0</v>
      </c>
      <c r="X1820" s="7">
        <f t="shared" si="316"/>
        <v>0</v>
      </c>
    </row>
    <row r="1821" spans="1:24">
      <c r="A1821">
        <v>1820</v>
      </c>
      <c r="B1821" s="96" t="s">
        <v>1783</v>
      </c>
      <c r="C1821" s="95">
        <v>42546</v>
      </c>
      <c r="D1821" s="82">
        <v>10621000</v>
      </c>
      <c r="E1821" s="82">
        <v>10555000</v>
      </c>
      <c r="F1821" s="82">
        <v>10627000</v>
      </c>
      <c r="G1821" s="82">
        <v>10621000</v>
      </c>
      <c r="I1821" s="98">
        <v>0</v>
      </c>
      <c r="J1821" s="98">
        <v>0</v>
      </c>
      <c r="K1821" s="98">
        <v>0</v>
      </c>
      <c r="M1821" s="7">
        <f t="shared" si="309"/>
        <v>0</v>
      </c>
      <c r="N1821" s="7">
        <f t="shared" si="318"/>
        <v>0</v>
      </c>
      <c r="O1821" s="7">
        <f t="shared" si="317"/>
        <v>367000</v>
      </c>
      <c r="P1821" s="99">
        <f t="shared" si="310"/>
        <v>3.5790910864053053E-2</v>
      </c>
      <c r="Q1821" s="99">
        <f t="shared" si="319"/>
        <v>-1.6204418026256738E-2</v>
      </c>
      <c r="S1821" s="7">
        <f t="shared" si="311"/>
        <v>11683100.000000002</v>
      </c>
      <c r="T1821" s="7">
        <f t="shared" si="312"/>
        <v>3540333.3333333335</v>
      </c>
      <c r="U1821" s="7">
        <f t="shared" si="313"/>
        <v>12150500</v>
      </c>
      <c r="V1821" s="7">
        <f t="shared" si="314"/>
        <v>0</v>
      </c>
      <c r="W1821" s="7">
        <f t="shared" si="315"/>
        <v>0</v>
      </c>
      <c r="X1821" s="7">
        <f t="shared" si="316"/>
        <v>0</v>
      </c>
    </row>
    <row r="1822" spans="1:24">
      <c r="A1822">
        <v>1821</v>
      </c>
      <c r="B1822" s="96" t="s">
        <v>1782</v>
      </c>
      <c r="C1822" s="95">
        <v>42547</v>
      </c>
      <c r="D1822" s="82">
        <v>10691000</v>
      </c>
      <c r="E1822" s="82">
        <v>10599000</v>
      </c>
      <c r="F1822" s="82">
        <v>10701000</v>
      </c>
      <c r="G1822" s="82">
        <v>10691000</v>
      </c>
      <c r="I1822" s="82">
        <f>G1822*1.1</f>
        <v>11760100.000000002</v>
      </c>
      <c r="J1822" s="82">
        <f>G1822/3</f>
        <v>3563666.6666666665</v>
      </c>
      <c r="K1822" s="7">
        <f>G2090</f>
        <v>12256500</v>
      </c>
      <c r="L1822" s="7">
        <f>K1822-I1822</f>
        <v>496399.99999999814</v>
      </c>
      <c r="M1822" s="7">
        <f t="shared" si="309"/>
        <v>445458.33333333326</v>
      </c>
      <c r="N1822" s="7">
        <f t="shared" si="318"/>
        <v>941858.33333333139</v>
      </c>
      <c r="O1822" s="7">
        <f t="shared" si="317"/>
        <v>70000</v>
      </c>
      <c r="P1822" s="99">
        <f t="shared" si="310"/>
        <v>6.5907165050371908E-3</v>
      </c>
      <c r="Q1822" s="99">
        <f t="shared" si="319"/>
        <v>1.9682443710949259E-2</v>
      </c>
      <c r="R1822">
        <v>1</v>
      </c>
      <c r="S1822" s="7">
        <f t="shared" si="311"/>
        <v>11760100.000000002</v>
      </c>
      <c r="T1822" s="7">
        <f t="shared" si="312"/>
        <v>3563666.6666666665</v>
      </c>
      <c r="U1822" s="7">
        <f t="shared" si="313"/>
        <v>12256500</v>
      </c>
      <c r="V1822" s="7">
        <f t="shared" si="314"/>
        <v>496399.99999999814</v>
      </c>
      <c r="W1822" s="7">
        <f t="shared" si="315"/>
        <v>445458.33333333326</v>
      </c>
      <c r="X1822" s="7">
        <f t="shared" si="316"/>
        <v>941858.33333333139</v>
      </c>
    </row>
    <row r="1823" spans="1:24">
      <c r="A1823">
        <v>1822</v>
      </c>
      <c r="B1823" s="96" t="s">
        <v>1781</v>
      </c>
      <c r="C1823" s="95">
        <v>42548</v>
      </c>
      <c r="D1823" s="82">
        <v>10757000</v>
      </c>
      <c r="E1823" s="82">
        <v>10696000</v>
      </c>
      <c r="F1823" s="82">
        <v>10846000</v>
      </c>
      <c r="G1823" s="82">
        <v>10757000</v>
      </c>
      <c r="I1823" s="97">
        <v>0</v>
      </c>
      <c r="J1823" s="97">
        <v>0</v>
      </c>
      <c r="K1823" s="97">
        <v>0</v>
      </c>
      <c r="M1823" s="7">
        <f t="shared" si="309"/>
        <v>0</v>
      </c>
      <c r="N1823" s="7">
        <f t="shared" si="318"/>
        <v>0</v>
      </c>
      <c r="O1823" s="7">
        <f t="shared" si="317"/>
        <v>66000</v>
      </c>
      <c r="P1823" s="99">
        <f t="shared" si="310"/>
        <v>6.173416892713497E-3</v>
      </c>
      <c r="Q1823" s="99">
        <f t="shared" si="319"/>
        <v>3.4045926745110332E-2</v>
      </c>
      <c r="S1823" s="7">
        <f t="shared" si="311"/>
        <v>11832700.000000002</v>
      </c>
      <c r="T1823" s="7">
        <f t="shared" si="312"/>
        <v>3585666.6666666665</v>
      </c>
      <c r="U1823" s="7">
        <f t="shared" si="313"/>
        <v>12211000</v>
      </c>
      <c r="V1823" s="7">
        <f t="shared" si="314"/>
        <v>0</v>
      </c>
      <c r="W1823" s="7">
        <f t="shared" si="315"/>
        <v>0</v>
      </c>
      <c r="X1823" s="7">
        <f t="shared" si="316"/>
        <v>0</v>
      </c>
    </row>
    <row r="1824" spans="1:24">
      <c r="A1824">
        <v>1823</v>
      </c>
      <c r="B1824" s="96" t="s">
        <v>1780</v>
      </c>
      <c r="C1824" s="95">
        <v>42549</v>
      </c>
      <c r="D1824" s="82">
        <v>10730000</v>
      </c>
      <c r="E1824" s="82">
        <v>10691000</v>
      </c>
      <c r="F1824" s="82">
        <v>10799000</v>
      </c>
      <c r="G1824" s="82">
        <v>10730000</v>
      </c>
      <c r="I1824" s="97">
        <v>0</v>
      </c>
      <c r="J1824" s="97">
        <v>0</v>
      </c>
      <c r="K1824" s="97">
        <v>0</v>
      </c>
      <c r="M1824" s="7">
        <f t="shared" si="309"/>
        <v>0</v>
      </c>
      <c r="N1824" s="7">
        <f t="shared" si="318"/>
        <v>0</v>
      </c>
      <c r="O1824" s="7">
        <f t="shared" si="317"/>
        <v>-27000</v>
      </c>
      <c r="P1824" s="99">
        <f t="shared" si="310"/>
        <v>-2.5099934926094635E-3</v>
      </c>
      <c r="Q1824" s="99">
        <f t="shared" si="319"/>
        <v>4.5345068976315121E-2</v>
      </c>
      <c r="S1824" s="7">
        <f t="shared" si="311"/>
        <v>11803000.000000002</v>
      </c>
      <c r="T1824" s="7">
        <f t="shared" si="312"/>
        <v>3576666.6666666665</v>
      </c>
      <c r="U1824" s="7">
        <f t="shared" si="313"/>
        <v>12115500</v>
      </c>
      <c r="V1824" s="7">
        <f t="shared" si="314"/>
        <v>0</v>
      </c>
      <c r="W1824" s="7">
        <f t="shared" si="315"/>
        <v>0</v>
      </c>
      <c r="X1824" s="7">
        <f t="shared" si="316"/>
        <v>0</v>
      </c>
    </row>
    <row r="1825" spans="1:24">
      <c r="A1825">
        <v>1824</v>
      </c>
      <c r="B1825" s="96" t="s">
        <v>1779</v>
      </c>
      <c r="C1825" s="95">
        <v>42550</v>
      </c>
      <c r="D1825" s="82">
        <v>10885000</v>
      </c>
      <c r="E1825" s="82">
        <v>10729000</v>
      </c>
      <c r="F1825" s="82">
        <v>10885000</v>
      </c>
      <c r="G1825" s="82">
        <v>10885000</v>
      </c>
      <c r="I1825" s="97">
        <v>0</v>
      </c>
      <c r="J1825" s="97">
        <v>0</v>
      </c>
      <c r="K1825" s="97">
        <v>0</v>
      </c>
      <c r="M1825" s="7">
        <f t="shared" si="309"/>
        <v>0</v>
      </c>
      <c r="N1825" s="7">
        <f t="shared" si="318"/>
        <v>0</v>
      </c>
      <c r="O1825" s="7">
        <f t="shared" si="317"/>
        <v>155000</v>
      </c>
      <c r="P1825" s="99">
        <f t="shared" si="310"/>
        <v>1.4445479962721343E-2</v>
      </c>
      <c r="Q1825" s="99">
        <f t="shared" si="319"/>
        <v>4.3709966122375828E-2</v>
      </c>
      <c r="S1825" s="7">
        <f t="shared" si="311"/>
        <v>11973500.000000002</v>
      </c>
      <c r="T1825" s="7">
        <f t="shared" si="312"/>
        <v>3628333.3333333335</v>
      </c>
      <c r="U1825" s="7">
        <f t="shared" si="313"/>
        <v>12167500</v>
      </c>
      <c r="V1825" s="7">
        <f t="shared" si="314"/>
        <v>0</v>
      </c>
      <c r="W1825" s="7">
        <f t="shared" si="315"/>
        <v>0</v>
      </c>
      <c r="X1825" s="7">
        <f t="shared" si="316"/>
        <v>0</v>
      </c>
    </row>
    <row r="1826" spans="1:24">
      <c r="A1826">
        <v>1825</v>
      </c>
      <c r="B1826" s="96" t="s">
        <v>1778</v>
      </c>
      <c r="C1826" s="95">
        <v>42551</v>
      </c>
      <c r="D1826" s="82">
        <v>10813000</v>
      </c>
      <c r="E1826" s="82">
        <v>10790000</v>
      </c>
      <c r="F1826" s="82">
        <v>10868000</v>
      </c>
      <c r="G1826" s="82">
        <v>10813000</v>
      </c>
      <c r="I1826" s="98">
        <v>0</v>
      </c>
      <c r="J1826" s="98">
        <v>0</v>
      </c>
      <c r="K1826" s="98">
        <v>0</v>
      </c>
      <c r="M1826" s="7">
        <f t="shared" si="309"/>
        <v>0</v>
      </c>
      <c r="N1826" s="7">
        <f t="shared" si="318"/>
        <v>0</v>
      </c>
      <c r="O1826" s="7">
        <f t="shared" si="317"/>
        <v>-72000</v>
      </c>
      <c r="P1826" s="99">
        <f t="shared" si="310"/>
        <v>-6.6146072576940742E-3</v>
      </c>
      <c r="Q1826" s="99">
        <f t="shared" si="319"/>
        <v>6.0490530731915619E-2</v>
      </c>
      <c r="S1826" s="7">
        <f t="shared" si="311"/>
        <v>11894300.000000002</v>
      </c>
      <c r="T1826" s="7">
        <f t="shared" si="312"/>
        <v>3604333.3333333335</v>
      </c>
      <c r="U1826" s="7">
        <f t="shared" si="313"/>
        <v>12059500</v>
      </c>
      <c r="V1826" s="7">
        <f t="shared" si="314"/>
        <v>0</v>
      </c>
      <c r="W1826" s="7">
        <f t="shared" si="315"/>
        <v>0</v>
      </c>
      <c r="X1826" s="7">
        <f t="shared" si="316"/>
        <v>0</v>
      </c>
    </row>
    <row r="1827" spans="1:24">
      <c r="A1827">
        <v>1826</v>
      </c>
      <c r="B1827" s="96" t="s">
        <v>1777</v>
      </c>
      <c r="C1827" s="95">
        <v>42553</v>
      </c>
      <c r="D1827" s="82">
        <v>11026000</v>
      </c>
      <c r="E1827" s="82">
        <v>10982000</v>
      </c>
      <c r="F1827" s="82">
        <v>11065000</v>
      </c>
      <c r="G1827" s="82">
        <v>11026000</v>
      </c>
      <c r="I1827" s="82">
        <f>G1827*1.1</f>
        <v>12128600.000000002</v>
      </c>
      <c r="J1827" s="82">
        <f>G1827/3</f>
        <v>3675333.3333333335</v>
      </c>
      <c r="K1827" s="7">
        <f>G2095</f>
        <v>12151500</v>
      </c>
      <c r="L1827" s="7">
        <f>K1827-I1827</f>
        <v>22899.999999998137</v>
      </c>
      <c r="M1827" s="7">
        <f t="shared" si="309"/>
        <v>459416.66666666674</v>
      </c>
      <c r="N1827" s="7">
        <f t="shared" si="318"/>
        <v>482316.66666666488</v>
      </c>
      <c r="O1827" s="7">
        <f t="shared" si="317"/>
        <v>213000</v>
      </c>
      <c r="P1827" s="99">
        <f t="shared" si="310"/>
        <v>1.9698511051512067E-2</v>
      </c>
      <c r="Q1827" s="99">
        <f t="shared" si="319"/>
        <v>1.808501261016849E-2</v>
      </c>
      <c r="R1827">
        <v>1</v>
      </c>
      <c r="S1827" s="7">
        <f t="shared" si="311"/>
        <v>12128600.000000002</v>
      </c>
      <c r="T1827" s="7">
        <f t="shared" si="312"/>
        <v>3675333.3333333335</v>
      </c>
      <c r="U1827" s="7">
        <f t="shared" si="313"/>
        <v>12151500</v>
      </c>
      <c r="V1827" s="7">
        <f t="shared" si="314"/>
        <v>22899.999999998137</v>
      </c>
      <c r="W1827" s="7">
        <f t="shared" si="315"/>
        <v>459416.66666666674</v>
      </c>
      <c r="X1827" s="7">
        <f t="shared" si="316"/>
        <v>482316.66666666488</v>
      </c>
    </row>
    <row r="1828" spans="1:24">
      <c r="A1828">
        <v>1827</v>
      </c>
      <c r="B1828" s="96" t="s">
        <v>1776</v>
      </c>
      <c r="C1828" s="95">
        <v>42554</v>
      </c>
      <c r="D1828" s="82">
        <v>10974000</v>
      </c>
      <c r="E1828" s="82">
        <v>10969000</v>
      </c>
      <c r="F1828" s="82">
        <v>11002000</v>
      </c>
      <c r="G1828" s="82">
        <v>10974000</v>
      </c>
      <c r="I1828" s="97">
        <v>0</v>
      </c>
      <c r="J1828" s="97">
        <v>0</v>
      </c>
      <c r="K1828" s="97">
        <v>0</v>
      </c>
      <c r="M1828" s="7">
        <f t="shared" si="309"/>
        <v>0</v>
      </c>
      <c r="N1828" s="7">
        <f t="shared" si="318"/>
        <v>0</v>
      </c>
      <c r="O1828" s="7">
        <f t="shared" si="317"/>
        <v>-52000</v>
      </c>
      <c r="P1828" s="99">
        <f t="shared" si="310"/>
        <v>-4.7161255214946494E-3</v>
      </c>
      <c r="Q1828" s="99">
        <f t="shared" si="319"/>
        <v>3.1192807156643368E-2</v>
      </c>
      <c r="S1828" s="7">
        <f t="shared" si="311"/>
        <v>12071400.000000002</v>
      </c>
      <c r="T1828" s="7">
        <f t="shared" si="312"/>
        <v>3658000</v>
      </c>
      <c r="U1828" s="7">
        <f t="shared" si="313"/>
        <v>11984500</v>
      </c>
      <c r="V1828" s="7">
        <f t="shared" si="314"/>
        <v>0</v>
      </c>
      <c r="W1828" s="7">
        <f t="shared" si="315"/>
        <v>0</v>
      </c>
      <c r="X1828" s="7">
        <f t="shared" si="316"/>
        <v>0</v>
      </c>
    </row>
    <row r="1829" spans="1:24">
      <c r="A1829">
        <v>1828</v>
      </c>
      <c r="B1829" s="96" t="s">
        <v>1775</v>
      </c>
      <c r="C1829" s="95">
        <v>42555</v>
      </c>
      <c r="D1829" s="82">
        <v>11002000</v>
      </c>
      <c r="E1829" s="82">
        <v>10952000</v>
      </c>
      <c r="F1829" s="82">
        <v>11026000</v>
      </c>
      <c r="G1829" s="82">
        <v>11002000</v>
      </c>
      <c r="I1829" s="97">
        <v>0</v>
      </c>
      <c r="J1829" s="97">
        <v>0</v>
      </c>
      <c r="K1829" s="97">
        <v>0</v>
      </c>
      <c r="M1829" s="7">
        <f t="shared" si="309"/>
        <v>0</v>
      </c>
      <c r="N1829" s="7">
        <f t="shared" si="318"/>
        <v>0</v>
      </c>
      <c r="O1829" s="7">
        <f t="shared" si="317"/>
        <v>28000</v>
      </c>
      <c r="P1829" s="99">
        <f t="shared" si="310"/>
        <v>2.5514853289593585E-3</v>
      </c>
      <c r="Q1829" s="99">
        <f t="shared" si="319"/>
        <v>2.0303264742435226E-2</v>
      </c>
      <c r="S1829" s="7">
        <f t="shared" si="311"/>
        <v>12102200.000000002</v>
      </c>
      <c r="T1829" s="7">
        <f t="shared" si="312"/>
        <v>3667333.3333333335</v>
      </c>
      <c r="U1829" s="7">
        <f t="shared" si="313"/>
        <v>12029000</v>
      </c>
      <c r="V1829" s="7">
        <f t="shared" si="314"/>
        <v>0</v>
      </c>
      <c r="W1829" s="7">
        <f t="shared" si="315"/>
        <v>0</v>
      </c>
      <c r="X1829" s="7">
        <f t="shared" si="316"/>
        <v>0</v>
      </c>
    </row>
    <row r="1830" spans="1:24">
      <c r="A1830">
        <v>1829</v>
      </c>
      <c r="B1830" s="96" t="s">
        <v>1774</v>
      </c>
      <c r="C1830" s="95">
        <v>42556</v>
      </c>
      <c r="D1830" s="82">
        <v>11008000</v>
      </c>
      <c r="E1830" s="82">
        <v>10947000</v>
      </c>
      <c r="F1830" s="82">
        <v>11023000</v>
      </c>
      <c r="G1830" s="82">
        <v>11008000</v>
      </c>
      <c r="I1830" s="97">
        <v>0</v>
      </c>
      <c r="J1830" s="97">
        <v>0</v>
      </c>
      <c r="K1830" s="97">
        <v>0</v>
      </c>
      <c r="M1830" s="7">
        <f t="shared" si="309"/>
        <v>0</v>
      </c>
      <c r="N1830" s="7">
        <f t="shared" si="318"/>
        <v>0</v>
      </c>
      <c r="O1830" s="7">
        <f t="shared" si="317"/>
        <v>6000</v>
      </c>
      <c r="P1830" s="99">
        <f t="shared" si="310"/>
        <v>5.4535538992910384E-4</v>
      </c>
      <c r="Q1830" s="99">
        <f t="shared" si="319"/>
        <v>2.5364743564004047E-2</v>
      </c>
      <c r="S1830" s="7">
        <f t="shared" si="311"/>
        <v>12108800.000000002</v>
      </c>
      <c r="T1830" s="7">
        <f t="shared" si="312"/>
        <v>3669333.3333333335</v>
      </c>
      <c r="U1830" s="7">
        <f t="shared" si="313"/>
        <v>12055000</v>
      </c>
      <c r="V1830" s="7">
        <f t="shared" si="314"/>
        <v>0</v>
      </c>
      <c r="W1830" s="7">
        <f t="shared" si="315"/>
        <v>0</v>
      </c>
      <c r="X1830" s="7">
        <f t="shared" si="316"/>
        <v>0</v>
      </c>
    </row>
    <row r="1831" spans="1:24">
      <c r="A1831">
        <v>1830</v>
      </c>
      <c r="B1831" s="96" t="s">
        <v>1773</v>
      </c>
      <c r="C1831" s="95">
        <v>42560</v>
      </c>
      <c r="D1831" s="82">
        <v>11203000</v>
      </c>
      <c r="E1831" s="82">
        <v>11130000</v>
      </c>
      <c r="F1831" s="82">
        <v>11217000</v>
      </c>
      <c r="G1831" s="82">
        <v>11203000</v>
      </c>
      <c r="I1831" s="98">
        <v>0</v>
      </c>
      <c r="J1831" s="98">
        <v>0</v>
      </c>
      <c r="K1831" s="98">
        <v>0</v>
      </c>
      <c r="M1831" s="7">
        <f t="shared" si="309"/>
        <v>0</v>
      </c>
      <c r="N1831" s="7">
        <f t="shared" si="318"/>
        <v>0</v>
      </c>
      <c r="O1831" s="7">
        <f t="shared" si="317"/>
        <v>195000</v>
      </c>
      <c r="P1831" s="99">
        <f t="shared" si="310"/>
        <v>1.7714389534883721E-2</v>
      </c>
      <c r="Q1831" s="99">
        <f t="shared" si="319"/>
        <v>1.1464618991211806E-2</v>
      </c>
      <c r="S1831" s="7">
        <f t="shared" si="311"/>
        <v>12323300.000000002</v>
      </c>
      <c r="T1831" s="7">
        <f t="shared" si="312"/>
        <v>3734333.3333333335</v>
      </c>
      <c r="U1831" s="7">
        <f t="shared" si="313"/>
        <v>12065500</v>
      </c>
      <c r="V1831" s="7">
        <f t="shared" si="314"/>
        <v>0</v>
      </c>
      <c r="W1831" s="7">
        <f t="shared" si="315"/>
        <v>0</v>
      </c>
      <c r="X1831" s="7">
        <f t="shared" si="316"/>
        <v>0</v>
      </c>
    </row>
    <row r="1832" spans="1:24">
      <c r="A1832">
        <v>1831</v>
      </c>
      <c r="B1832" s="96" t="s">
        <v>1772</v>
      </c>
      <c r="C1832" s="95">
        <v>42561</v>
      </c>
      <c r="D1832" s="82">
        <v>11187000</v>
      </c>
      <c r="E1832" s="82">
        <v>11168000</v>
      </c>
      <c r="F1832" s="82">
        <v>11220000</v>
      </c>
      <c r="G1832" s="82">
        <v>11187000</v>
      </c>
      <c r="I1832" s="82">
        <f>G1832*1.1</f>
        <v>12305700.000000002</v>
      </c>
      <c r="J1832" s="82">
        <f>G1832/3</f>
        <v>3729000</v>
      </c>
      <c r="K1832" s="7">
        <f>G2100</f>
        <v>12045500</v>
      </c>
      <c r="L1832" s="7">
        <f>K1832-I1832</f>
        <v>-260200.00000000186</v>
      </c>
      <c r="M1832" s="7">
        <f t="shared" si="309"/>
        <v>466125</v>
      </c>
      <c r="N1832" s="7">
        <f t="shared" si="318"/>
        <v>205924.99999999814</v>
      </c>
      <c r="O1832" s="7">
        <f t="shared" si="317"/>
        <v>-16000</v>
      </c>
      <c r="P1832" s="99">
        <f t="shared" si="310"/>
        <v>-1.4281888779791127E-3</v>
      </c>
      <c r="Q1832" s="99">
        <f t="shared" si="319"/>
        <v>3.5793615783789604E-2</v>
      </c>
      <c r="R1832">
        <v>1</v>
      </c>
      <c r="S1832" s="7">
        <f t="shared" si="311"/>
        <v>12305700.000000002</v>
      </c>
      <c r="T1832" s="7">
        <f t="shared" si="312"/>
        <v>3729000</v>
      </c>
      <c r="U1832" s="7">
        <f t="shared" si="313"/>
        <v>12045500</v>
      </c>
      <c r="V1832" s="7">
        <f t="shared" si="314"/>
        <v>-260200.00000000186</v>
      </c>
      <c r="W1832" s="7">
        <f t="shared" si="315"/>
        <v>466125</v>
      </c>
      <c r="X1832" s="7">
        <f t="shared" si="316"/>
        <v>205924.99999999814</v>
      </c>
    </row>
    <row r="1833" spans="1:24">
      <c r="A1833">
        <v>1832</v>
      </c>
      <c r="B1833" s="96" t="s">
        <v>1771</v>
      </c>
      <c r="C1833" s="95">
        <v>42562</v>
      </c>
      <c r="D1833" s="82">
        <v>11164000</v>
      </c>
      <c r="E1833" s="82">
        <v>11139000</v>
      </c>
      <c r="F1833" s="82">
        <v>11182000</v>
      </c>
      <c r="G1833" s="82">
        <v>11164000</v>
      </c>
      <c r="I1833" s="97">
        <v>0</v>
      </c>
      <c r="J1833" s="97">
        <v>0</v>
      </c>
      <c r="K1833" s="97">
        <v>0</v>
      </c>
      <c r="M1833" s="7">
        <f t="shared" si="309"/>
        <v>0</v>
      </c>
      <c r="N1833" s="7">
        <f t="shared" si="318"/>
        <v>0</v>
      </c>
      <c r="O1833" s="7">
        <f t="shared" si="317"/>
        <v>-23000</v>
      </c>
      <c r="P1833" s="99">
        <f t="shared" si="310"/>
        <v>-2.0559578081701976E-3</v>
      </c>
      <c r="Q1833" s="99">
        <f t="shared" si="319"/>
        <v>1.4666915854298419E-2</v>
      </c>
      <c r="S1833" s="7">
        <f t="shared" si="311"/>
        <v>12280400.000000002</v>
      </c>
      <c r="T1833" s="7">
        <f t="shared" si="312"/>
        <v>3721333.3333333335</v>
      </c>
      <c r="U1833" s="7">
        <f t="shared" si="313"/>
        <v>11996000</v>
      </c>
      <c r="V1833" s="7">
        <f t="shared" si="314"/>
        <v>0</v>
      </c>
      <c r="W1833" s="7">
        <f t="shared" si="315"/>
        <v>0</v>
      </c>
      <c r="X1833" s="7">
        <f t="shared" si="316"/>
        <v>0</v>
      </c>
    </row>
    <row r="1834" spans="1:24">
      <c r="A1834">
        <v>1833</v>
      </c>
      <c r="B1834" s="96" t="s">
        <v>1770</v>
      </c>
      <c r="C1834" s="95">
        <v>42563</v>
      </c>
      <c r="D1834" s="82">
        <v>11070000</v>
      </c>
      <c r="E1834" s="82">
        <v>11058500</v>
      </c>
      <c r="F1834" s="82">
        <v>11184000</v>
      </c>
      <c r="G1834" s="82">
        <v>11070000</v>
      </c>
      <c r="I1834" s="97">
        <v>0</v>
      </c>
      <c r="J1834" s="97">
        <v>0</v>
      </c>
      <c r="K1834" s="97">
        <v>0</v>
      </c>
      <c r="M1834" s="7">
        <f t="shared" si="309"/>
        <v>0</v>
      </c>
      <c r="N1834" s="7">
        <f t="shared" si="318"/>
        <v>0</v>
      </c>
      <c r="O1834" s="7">
        <f t="shared" si="317"/>
        <v>-94000</v>
      </c>
      <c r="P1834" s="99">
        <f t="shared" si="310"/>
        <v>-8.4199211752060202E-3</v>
      </c>
      <c r="Q1834" s="99">
        <f t="shared" si="319"/>
        <v>1.7327083567622872E-2</v>
      </c>
      <c r="S1834" s="7">
        <f t="shared" si="311"/>
        <v>12177000.000000002</v>
      </c>
      <c r="T1834" s="7">
        <f t="shared" si="312"/>
        <v>3690000</v>
      </c>
      <c r="U1834" s="7">
        <f t="shared" si="313"/>
        <v>11990000</v>
      </c>
      <c r="V1834" s="7">
        <f t="shared" si="314"/>
        <v>0</v>
      </c>
      <c r="W1834" s="7">
        <f t="shared" si="315"/>
        <v>0</v>
      </c>
      <c r="X1834" s="7">
        <f t="shared" si="316"/>
        <v>0</v>
      </c>
    </row>
    <row r="1835" spans="1:24">
      <c r="A1835">
        <v>1834</v>
      </c>
      <c r="B1835" s="96" t="s">
        <v>1769</v>
      </c>
      <c r="C1835" s="95">
        <v>42564</v>
      </c>
      <c r="D1835" s="82">
        <v>11023000</v>
      </c>
      <c r="E1835" s="82">
        <v>10974000</v>
      </c>
      <c r="F1835" s="82">
        <v>11045000</v>
      </c>
      <c r="G1835" s="82">
        <v>11023000</v>
      </c>
      <c r="I1835" s="97">
        <v>0</v>
      </c>
      <c r="J1835" s="97">
        <v>0</v>
      </c>
      <c r="K1835" s="97">
        <v>0</v>
      </c>
      <c r="M1835" s="7">
        <f t="shared" si="309"/>
        <v>0</v>
      </c>
      <c r="N1835" s="7">
        <f t="shared" si="318"/>
        <v>0</v>
      </c>
      <c r="O1835" s="7">
        <f t="shared" si="317"/>
        <v>-47000</v>
      </c>
      <c r="P1835" s="99">
        <f t="shared" si="310"/>
        <v>-4.2457091237579044E-3</v>
      </c>
      <c r="Q1835" s="99">
        <f t="shared" si="319"/>
        <v>6.3556770634574933E-3</v>
      </c>
      <c r="S1835" s="7">
        <f t="shared" si="311"/>
        <v>12125300.000000002</v>
      </c>
      <c r="T1835" s="7">
        <f t="shared" si="312"/>
        <v>3674333.3333333335</v>
      </c>
      <c r="U1835" s="7">
        <f t="shared" si="313"/>
        <v>12004000</v>
      </c>
      <c r="V1835" s="7">
        <f t="shared" si="314"/>
        <v>0</v>
      </c>
      <c r="W1835" s="7">
        <f t="shared" si="315"/>
        <v>0</v>
      </c>
      <c r="X1835" s="7">
        <f t="shared" si="316"/>
        <v>0</v>
      </c>
    </row>
    <row r="1836" spans="1:24">
      <c r="A1836">
        <v>1835</v>
      </c>
      <c r="B1836" s="96" t="s">
        <v>1768</v>
      </c>
      <c r="C1836" s="95">
        <v>42565</v>
      </c>
      <c r="D1836" s="82">
        <v>10940000</v>
      </c>
      <c r="E1836" s="82">
        <v>10905000</v>
      </c>
      <c r="F1836" s="82">
        <v>11029000</v>
      </c>
      <c r="G1836" s="82">
        <v>10940000</v>
      </c>
      <c r="I1836" s="98">
        <v>0</v>
      </c>
      <c r="J1836" s="98">
        <v>0</v>
      </c>
      <c r="K1836" s="98">
        <v>0</v>
      </c>
      <c r="M1836" s="7">
        <f t="shared" si="309"/>
        <v>0</v>
      </c>
      <c r="N1836" s="7">
        <f t="shared" si="318"/>
        <v>0</v>
      </c>
      <c r="O1836" s="7">
        <f t="shared" si="317"/>
        <v>-83000</v>
      </c>
      <c r="P1836" s="99">
        <f t="shared" si="310"/>
        <v>-7.5297106050984308E-3</v>
      </c>
      <c r="Q1836" s="99">
        <f t="shared" si="319"/>
        <v>1.5646125497704852E-3</v>
      </c>
      <c r="S1836" s="7">
        <f t="shared" si="311"/>
        <v>12034000.000000002</v>
      </c>
      <c r="T1836" s="7">
        <f t="shared" si="312"/>
        <v>3646666.6666666665</v>
      </c>
      <c r="U1836" s="7">
        <f t="shared" si="313"/>
        <v>12027000</v>
      </c>
      <c r="V1836" s="7">
        <f t="shared" si="314"/>
        <v>0</v>
      </c>
      <c r="W1836" s="7">
        <f t="shared" si="315"/>
        <v>0</v>
      </c>
      <c r="X1836" s="7">
        <f t="shared" si="316"/>
        <v>0</v>
      </c>
    </row>
    <row r="1837" spans="1:24">
      <c r="A1837">
        <v>1836</v>
      </c>
      <c r="B1837" s="96" t="s">
        <v>1767</v>
      </c>
      <c r="C1837" s="95">
        <v>42567</v>
      </c>
      <c r="D1837" s="82">
        <v>10914000</v>
      </c>
      <c r="E1837" s="82">
        <v>10914000</v>
      </c>
      <c r="F1837" s="82">
        <v>10980000</v>
      </c>
      <c r="G1837" s="82">
        <v>10914000</v>
      </c>
      <c r="I1837" s="82">
        <f>G1837*1.1</f>
        <v>12005400.000000002</v>
      </c>
      <c r="J1837" s="82">
        <f>G1837/3</f>
        <v>3638000</v>
      </c>
      <c r="K1837" s="7">
        <f>G2105</f>
        <v>12028500</v>
      </c>
      <c r="L1837" s="7">
        <f>K1837-I1837</f>
        <v>23099.999999998137</v>
      </c>
      <c r="M1837" s="7">
        <f t="shared" si="309"/>
        <v>454750</v>
      </c>
      <c r="N1837" s="7">
        <f t="shared" si="318"/>
        <v>477849.99999999814</v>
      </c>
      <c r="O1837" s="7">
        <f t="shared" si="317"/>
        <v>-26000</v>
      </c>
      <c r="P1837" s="99">
        <f t="shared" si="310"/>
        <v>-2.3765996343692872E-3</v>
      </c>
      <c r="Q1837" s="99">
        <f t="shared" si="319"/>
        <v>-2.3679487590211667E-2</v>
      </c>
      <c r="R1837">
        <v>1</v>
      </c>
      <c r="S1837" s="7">
        <f t="shared" si="311"/>
        <v>12005400.000000002</v>
      </c>
      <c r="T1837" s="7">
        <f t="shared" si="312"/>
        <v>3638000</v>
      </c>
      <c r="U1837" s="7">
        <f t="shared" si="313"/>
        <v>12028500</v>
      </c>
      <c r="V1837" s="7">
        <f t="shared" si="314"/>
        <v>23099.999999998137</v>
      </c>
      <c r="W1837" s="7">
        <f t="shared" si="315"/>
        <v>454750</v>
      </c>
      <c r="X1837" s="7">
        <f t="shared" si="316"/>
        <v>477849.99999999814</v>
      </c>
    </row>
    <row r="1838" spans="1:24">
      <c r="A1838">
        <v>1837</v>
      </c>
      <c r="B1838" s="96" t="s">
        <v>1766</v>
      </c>
      <c r="C1838" s="95">
        <v>42568</v>
      </c>
      <c r="D1838" s="82">
        <v>10894000</v>
      </c>
      <c r="E1838" s="82">
        <v>10890000</v>
      </c>
      <c r="F1838" s="82">
        <v>10917000</v>
      </c>
      <c r="G1838" s="82">
        <v>10894000</v>
      </c>
      <c r="I1838" s="97">
        <v>0</v>
      </c>
      <c r="J1838" s="97">
        <v>0</v>
      </c>
      <c r="K1838" s="97">
        <v>0</v>
      </c>
      <c r="M1838" s="7">
        <f t="shared" si="309"/>
        <v>0</v>
      </c>
      <c r="N1838" s="7">
        <f t="shared" si="318"/>
        <v>0</v>
      </c>
      <c r="O1838" s="7">
        <f t="shared" si="317"/>
        <v>-20000</v>
      </c>
      <c r="P1838" s="99">
        <f t="shared" si="310"/>
        <v>-1.8325087044163461E-3</v>
      </c>
      <c r="Q1838" s="99">
        <f t="shared" si="319"/>
        <v>-2.462789834660184E-2</v>
      </c>
      <c r="S1838" s="7">
        <f t="shared" si="311"/>
        <v>11983400.000000002</v>
      </c>
      <c r="T1838" s="7">
        <f t="shared" si="312"/>
        <v>3631333.3333333335</v>
      </c>
      <c r="U1838" s="7">
        <f t="shared" si="313"/>
        <v>12017000</v>
      </c>
      <c r="V1838" s="7">
        <f t="shared" si="314"/>
        <v>0</v>
      </c>
      <c r="W1838" s="7">
        <f t="shared" si="315"/>
        <v>0</v>
      </c>
      <c r="X1838" s="7">
        <f t="shared" si="316"/>
        <v>0</v>
      </c>
    </row>
    <row r="1839" spans="1:24">
      <c r="A1839">
        <v>1838</v>
      </c>
      <c r="B1839" s="96" t="s">
        <v>1765</v>
      </c>
      <c r="C1839" s="95">
        <v>42569</v>
      </c>
      <c r="D1839" s="82">
        <v>10844500</v>
      </c>
      <c r="E1839" s="82">
        <v>10818000</v>
      </c>
      <c r="F1839" s="82">
        <v>10885000</v>
      </c>
      <c r="G1839" s="82">
        <v>10844500</v>
      </c>
      <c r="I1839" s="97">
        <v>0</v>
      </c>
      <c r="J1839" s="97">
        <v>0</v>
      </c>
      <c r="K1839" s="97">
        <v>0</v>
      </c>
      <c r="M1839" s="7">
        <f t="shared" si="309"/>
        <v>0</v>
      </c>
      <c r="N1839" s="7">
        <f t="shared" si="318"/>
        <v>0</v>
      </c>
      <c r="O1839" s="7">
        <f t="shared" si="317"/>
        <v>-49500</v>
      </c>
      <c r="P1839" s="99">
        <f t="shared" si="310"/>
        <v>-4.5437855700385535E-3</v>
      </c>
      <c r="Q1839" s="99">
        <f t="shared" si="319"/>
        <v>-2.4404449242847986E-2</v>
      </c>
      <c r="S1839" s="7">
        <f t="shared" si="311"/>
        <v>11928950.000000002</v>
      </c>
      <c r="T1839" s="7">
        <f t="shared" si="312"/>
        <v>3614833.3333333335</v>
      </c>
      <c r="U1839" s="7">
        <f t="shared" si="313"/>
        <v>12051000</v>
      </c>
      <c r="V1839" s="7">
        <f t="shared" si="314"/>
        <v>0</v>
      </c>
      <c r="W1839" s="7">
        <f t="shared" si="315"/>
        <v>0</v>
      </c>
      <c r="X1839" s="7">
        <f t="shared" si="316"/>
        <v>0</v>
      </c>
    </row>
    <row r="1840" spans="1:24">
      <c r="A1840">
        <v>1839</v>
      </c>
      <c r="B1840" s="96" t="s">
        <v>1764</v>
      </c>
      <c r="C1840" s="95">
        <v>42570</v>
      </c>
      <c r="D1840" s="82">
        <v>10875000</v>
      </c>
      <c r="E1840" s="82">
        <v>10849000</v>
      </c>
      <c r="F1840" s="82">
        <v>10892000</v>
      </c>
      <c r="G1840" s="82">
        <v>10875000</v>
      </c>
      <c r="I1840" s="97">
        <v>0</v>
      </c>
      <c r="J1840" s="97">
        <v>0</v>
      </c>
      <c r="K1840" s="97">
        <v>0</v>
      </c>
      <c r="M1840" s="7">
        <f t="shared" si="309"/>
        <v>0</v>
      </c>
      <c r="N1840" s="7">
        <f t="shared" si="318"/>
        <v>0</v>
      </c>
      <c r="O1840" s="7">
        <f t="shared" si="317"/>
        <v>30500</v>
      </c>
      <c r="P1840" s="99">
        <f t="shared" si="310"/>
        <v>2.8124855917746323E-3</v>
      </c>
      <c r="Q1840" s="99">
        <f t="shared" si="319"/>
        <v>-2.0528313637680519E-2</v>
      </c>
      <c r="S1840" s="7">
        <f t="shared" si="311"/>
        <v>11962500.000000002</v>
      </c>
      <c r="T1840" s="7">
        <f t="shared" si="312"/>
        <v>3625000</v>
      </c>
      <c r="U1840" s="7">
        <f t="shared" si="313"/>
        <v>12052500</v>
      </c>
      <c r="V1840" s="7">
        <f t="shared" si="314"/>
        <v>0</v>
      </c>
      <c r="W1840" s="7">
        <f t="shared" si="315"/>
        <v>0</v>
      </c>
      <c r="X1840" s="7">
        <f t="shared" si="316"/>
        <v>0</v>
      </c>
    </row>
    <row r="1841" spans="1:24">
      <c r="A1841">
        <v>1840</v>
      </c>
      <c r="B1841" s="96" t="s">
        <v>1763</v>
      </c>
      <c r="C1841" s="95">
        <v>42571</v>
      </c>
      <c r="D1841" s="82">
        <v>10822000</v>
      </c>
      <c r="E1841" s="82">
        <v>10821000</v>
      </c>
      <c r="F1841" s="82">
        <v>10877000</v>
      </c>
      <c r="G1841" s="82">
        <v>10822000</v>
      </c>
      <c r="I1841" s="98">
        <v>0</v>
      </c>
      <c r="J1841" s="98">
        <v>0</v>
      </c>
      <c r="K1841" s="98">
        <v>0</v>
      </c>
      <c r="M1841" s="7">
        <f t="shared" si="309"/>
        <v>0</v>
      </c>
      <c r="N1841" s="7">
        <f t="shared" si="318"/>
        <v>0</v>
      </c>
      <c r="O1841" s="7">
        <f t="shared" si="317"/>
        <v>-53000</v>
      </c>
      <c r="P1841" s="99">
        <f t="shared" si="310"/>
        <v>-4.8735632183908046E-3</v>
      </c>
      <c r="Q1841" s="99">
        <f t="shared" si="319"/>
        <v>-1.3470118922147986E-2</v>
      </c>
      <c r="S1841" s="7">
        <f t="shared" si="311"/>
        <v>11904200.000000002</v>
      </c>
      <c r="T1841" s="7">
        <f t="shared" si="312"/>
        <v>3607333.3333333335</v>
      </c>
      <c r="U1841" s="7">
        <f t="shared" si="313"/>
        <v>12029500</v>
      </c>
      <c r="V1841" s="7">
        <f t="shared" si="314"/>
        <v>0</v>
      </c>
      <c r="W1841" s="7">
        <f t="shared" si="315"/>
        <v>0</v>
      </c>
      <c r="X1841" s="7">
        <f t="shared" si="316"/>
        <v>0</v>
      </c>
    </row>
    <row r="1842" spans="1:24">
      <c r="A1842">
        <v>1841</v>
      </c>
      <c r="B1842" s="96" t="s">
        <v>1762</v>
      </c>
      <c r="C1842" s="95">
        <v>42572</v>
      </c>
      <c r="D1842" s="82">
        <v>10896000</v>
      </c>
      <c r="E1842" s="82">
        <v>10814000</v>
      </c>
      <c r="F1842" s="82">
        <v>10896000</v>
      </c>
      <c r="G1842" s="82">
        <v>10896000</v>
      </c>
      <c r="I1842" s="82">
        <f>G1842*1.1</f>
        <v>11985600.000000002</v>
      </c>
      <c r="J1842" s="82">
        <f>G1842/3</f>
        <v>3632000</v>
      </c>
      <c r="K1842" s="7">
        <f>G2110</f>
        <v>11984000</v>
      </c>
      <c r="L1842" s="7">
        <f>K1842-I1842</f>
        <v>-1600.0000000018626</v>
      </c>
      <c r="M1842" s="7">
        <f t="shared" si="309"/>
        <v>454000</v>
      </c>
      <c r="N1842" s="7">
        <f t="shared" si="318"/>
        <v>452399.99999999814</v>
      </c>
      <c r="O1842" s="7">
        <f t="shared" si="317"/>
        <v>74000</v>
      </c>
      <c r="P1842" s="99">
        <f t="shared" si="310"/>
        <v>6.8379227499537976E-3</v>
      </c>
      <c r="Q1842" s="99">
        <f t="shared" si="319"/>
        <v>-1.0813971535440359E-2</v>
      </c>
      <c r="R1842">
        <v>1</v>
      </c>
      <c r="S1842" s="7">
        <f t="shared" si="311"/>
        <v>11985600.000000002</v>
      </c>
      <c r="T1842" s="7">
        <f t="shared" si="312"/>
        <v>3632000</v>
      </c>
      <c r="U1842" s="7">
        <f t="shared" si="313"/>
        <v>11984000</v>
      </c>
      <c r="V1842" s="7">
        <f t="shared" si="314"/>
        <v>-1600.0000000018626</v>
      </c>
      <c r="W1842" s="7">
        <f t="shared" si="315"/>
        <v>454000</v>
      </c>
      <c r="X1842" s="7">
        <f t="shared" si="316"/>
        <v>452399.99999999814</v>
      </c>
    </row>
    <row r="1843" spans="1:24">
      <c r="A1843">
        <v>1842</v>
      </c>
      <c r="B1843" s="96" t="s">
        <v>1761</v>
      </c>
      <c r="C1843" s="95">
        <v>42574</v>
      </c>
      <c r="D1843" s="82">
        <v>10872000</v>
      </c>
      <c r="E1843" s="82">
        <v>10832000</v>
      </c>
      <c r="F1843" s="82">
        <v>10882000</v>
      </c>
      <c r="G1843" s="82">
        <v>10872000</v>
      </c>
      <c r="I1843" s="97">
        <v>0</v>
      </c>
      <c r="J1843" s="97">
        <v>0</v>
      </c>
      <c r="K1843" s="97">
        <v>0</v>
      </c>
      <c r="M1843" s="7">
        <f t="shared" si="309"/>
        <v>0</v>
      </c>
      <c r="N1843" s="7">
        <f t="shared" si="318"/>
        <v>0</v>
      </c>
      <c r="O1843" s="7">
        <f t="shared" si="317"/>
        <v>-24000</v>
      </c>
      <c r="P1843" s="99">
        <f t="shared" si="310"/>
        <v>-2.2026431718061676E-3</v>
      </c>
      <c r="Q1843" s="99">
        <f t="shared" si="319"/>
        <v>-1.5994491511172734E-3</v>
      </c>
      <c r="S1843" s="7">
        <f t="shared" si="311"/>
        <v>11959200.000000002</v>
      </c>
      <c r="T1843" s="7">
        <f t="shared" si="312"/>
        <v>3624000</v>
      </c>
      <c r="U1843" s="7">
        <f t="shared" si="313"/>
        <v>12000000</v>
      </c>
      <c r="V1843" s="7">
        <f t="shared" si="314"/>
        <v>0</v>
      </c>
      <c r="W1843" s="7">
        <f t="shared" si="315"/>
        <v>0</v>
      </c>
      <c r="X1843" s="7">
        <f t="shared" si="316"/>
        <v>0</v>
      </c>
    </row>
    <row r="1844" spans="1:24">
      <c r="A1844">
        <v>1843</v>
      </c>
      <c r="B1844" s="96" t="s">
        <v>1760</v>
      </c>
      <c r="C1844" s="95">
        <v>42575</v>
      </c>
      <c r="D1844" s="82">
        <v>10857000</v>
      </c>
      <c r="E1844" s="82">
        <v>10790000</v>
      </c>
      <c r="F1844" s="82">
        <v>10890000</v>
      </c>
      <c r="G1844" s="82">
        <v>10857000</v>
      </c>
      <c r="I1844" s="97">
        <v>0</v>
      </c>
      <c r="J1844" s="97">
        <v>0</v>
      </c>
      <c r="K1844" s="97">
        <v>0</v>
      </c>
      <c r="M1844" s="7">
        <f t="shared" si="309"/>
        <v>0</v>
      </c>
      <c r="N1844" s="7">
        <f t="shared" si="318"/>
        <v>0</v>
      </c>
      <c r="O1844" s="7">
        <f t="shared" si="317"/>
        <v>-15000</v>
      </c>
      <c r="P1844" s="99">
        <f t="shared" si="310"/>
        <v>-1.3796909492273732E-3</v>
      </c>
      <c r="Q1844" s="99">
        <f t="shared" si="319"/>
        <v>-1.9695836185070962E-3</v>
      </c>
      <c r="S1844" s="7">
        <f t="shared" si="311"/>
        <v>11942700.000000002</v>
      </c>
      <c r="T1844" s="7">
        <f t="shared" si="312"/>
        <v>3619000</v>
      </c>
      <c r="U1844" s="7">
        <f t="shared" si="313"/>
        <v>11990000</v>
      </c>
      <c r="V1844" s="7">
        <f t="shared" si="314"/>
        <v>0</v>
      </c>
      <c r="W1844" s="7">
        <f t="shared" si="315"/>
        <v>0</v>
      </c>
      <c r="X1844" s="7">
        <f t="shared" si="316"/>
        <v>0</v>
      </c>
    </row>
    <row r="1845" spans="1:24">
      <c r="A1845">
        <v>1844</v>
      </c>
      <c r="B1845" s="96" t="s">
        <v>1759</v>
      </c>
      <c r="C1845" s="95">
        <v>42576</v>
      </c>
      <c r="D1845" s="82">
        <v>10875000</v>
      </c>
      <c r="E1845" s="82">
        <v>10835000</v>
      </c>
      <c r="F1845" s="82">
        <v>10875000</v>
      </c>
      <c r="G1845" s="82">
        <v>10875000</v>
      </c>
      <c r="I1845" s="97">
        <v>0</v>
      </c>
      <c r="J1845" s="97">
        <v>0</v>
      </c>
      <c r="K1845" s="97">
        <v>0</v>
      </c>
      <c r="M1845" s="7">
        <f t="shared" si="309"/>
        <v>0</v>
      </c>
      <c r="N1845" s="7">
        <f t="shared" si="318"/>
        <v>0</v>
      </c>
      <c r="O1845" s="7">
        <f t="shared" si="317"/>
        <v>18000</v>
      </c>
      <c r="P1845" s="99">
        <f t="shared" si="310"/>
        <v>1.6579165515335729E-3</v>
      </c>
      <c r="Q1845" s="99">
        <f t="shared" si="319"/>
        <v>1.1945110023040841E-3</v>
      </c>
      <c r="S1845" s="7">
        <f t="shared" si="311"/>
        <v>11962500.000000002</v>
      </c>
      <c r="T1845" s="7">
        <f t="shared" si="312"/>
        <v>3625000</v>
      </c>
      <c r="U1845" s="7">
        <f t="shared" si="313"/>
        <v>12008000</v>
      </c>
      <c r="V1845" s="7">
        <f t="shared" si="314"/>
        <v>0</v>
      </c>
      <c r="W1845" s="7">
        <f t="shared" si="315"/>
        <v>0</v>
      </c>
      <c r="X1845" s="7">
        <f t="shared" si="316"/>
        <v>0</v>
      </c>
    </row>
    <row r="1846" spans="1:24">
      <c r="A1846">
        <v>1845</v>
      </c>
      <c r="B1846" s="96" t="s">
        <v>1758</v>
      </c>
      <c r="C1846" s="95">
        <v>42577</v>
      </c>
      <c r="D1846" s="82">
        <v>10922000</v>
      </c>
      <c r="E1846" s="82">
        <v>10854000</v>
      </c>
      <c r="F1846" s="82">
        <v>10936000</v>
      </c>
      <c r="G1846" s="82">
        <v>10922000</v>
      </c>
      <c r="I1846" s="98">
        <v>0</v>
      </c>
      <c r="J1846" s="98">
        <v>0</v>
      </c>
      <c r="K1846" s="98">
        <v>0</v>
      </c>
      <c r="M1846" s="7">
        <f t="shared" si="309"/>
        <v>0</v>
      </c>
      <c r="N1846" s="7">
        <f t="shared" si="318"/>
        <v>0</v>
      </c>
      <c r="O1846" s="7">
        <f t="shared" si="317"/>
        <v>47000</v>
      </c>
      <c r="P1846" s="99">
        <f t="shared" si="310"/>
        <v>4.32183908045977E-3</v>
      </c>
      <c r="Q1846" s="99">
        <f t="shared" si="319"/>
        <v>3.99419620630251E-5</v>
      </c>
      <c r="S1846" s="7">
        <f t="shared" si="311"/>
        <v>12014200.000000002</v>
      </c>
      <c r="T1846" s="7">
        <f t="shared" si="312"/>
        <v>3640666.6666666665</v>
      </c>
      <c r="U1846" s="7">
        <f t="shared" si="313"/>
        <v>12014500</v>
      </c>
      <c r="V1846" s="7">
        <f t="shared" si="314"/>
        <v>0</v>
      </c>
      <c r="W1846" s="7">
        <f t="shared" si="315"/>
        <v>0</v>
      </c>
      <c r="X1846" s="7">
        <f t="shared" si="316"/>
        <v>0</v>
      </c>
    </row>
    <row r="1847" spans="1:24">
      <c r="A1847">
        <v>1846</v>
      </c>
      <c r="B1847" s="96" t="s">
        <v>1757</v>
      </c>
      <c r="C1847" s="95">
        <v>42578</v>
      </c>
      <c r="D1847" s="82">
        <v>10979000</v>
      </c>
      <c r="E1847" s="82">
        <v>10897000</v>
      </c>
      <c r="F1847" s="82">
        <v>10982000</v>
      </c>
      <c r="G1847" s="82">
        <v>10979000</v>
      </c>
      <c r="I1847" s="82">
        <f>G1847*1.1</f>
        <v>12076900.000000002</v>
      </c>
      <c r="J1847" s="82">
        <f>G1847/3</f>
        <v>3659666.6666666665</v>
      </c>
      <c r="K1847" s="7">
        <f>G2115</f>
        <v>12000000</v>
      </c>
      <c r="L1847" s="7">
        <f>K1847-I1847</f>
        <v>-76900.000000001863</v>
      </c>
      <c r="M1847" s="7">
        <f t="shared" si="309"/>
        <v>457458.33333333326</v>
      </c>
      <c r="N1847" s="7">
        <f t="shared" si="318"/>
        <v>380558.33333333139</v>
      </c>
      <c r="O1847" s="7">
        <f t="shared" si="317"/>
        <v>57000</v>
      </c>
      <c r="P1847" s="99">
        <f t="shared" si="310"/>
        <v>5.2188243911371543E-3</v>
      </c>
      <c r="Q1847" s="99">
        <f t="shared" si="319"/>
        <v>9.2353442609135993E-3</v>
      </c>
      <c r="R1847">
        <v>1</v>
      </c>
      <c r="S1847" s="7">
        <f t="shared" si="311"/>
        <v>12076900.000000002</v>
      </c>
      <c r="T1847" s="7">
        <f t="shared" si="312"/>
        <v>3659666.6666666665</v>
      </c>
      <c r="U1847" s="7">
        <f t="shared" si="313"/>
        <v>12000000</v>
      </c>
      <c r="V1847" s="7">
        <f t="shared" si="314"/>
        <v>-76900.000000001863</v>
      </c>
      <c r="W1847" s="7">
        <f t="shared" si="315"/>
        <v>457458.33333333326</v>
      </c>
      <c r="X1847" s="7">
        <f t="shared" si="316"/>
        <v>380558.33333333139</v>
      </c>
    </row>
    <row r="1848" spans="1:24">
      <c r="A1848">
        <v>1847</v>
      </c>
      <c r="B1848" s="96" t="s">
        <v>1756</v>
      </c>
      <c r="C1848" s="95">
        <v>42579</v>
      </c>
      <c r="D1848" s="82">
        <v>11062000</v>
      </c>
      <c r="E1848" s="82">
        <v>11055000</v>
      </c>
      <c r="F1848" s="82">
        <v>11129000</v>
      </c>
      <c r="G1848" s="82">
        <v>11062000</v>
      </c>
      <c r="I1848" s="97">
        <v>0</v>
      </c>
      <c r="J1848" s="97">
        <v>0</v>
      </c>
      <c r="K1848" s="97">
        <v>0</v>
      </c>
      <c r="M1848" s="7">
        <f t="shared" si="309"/>
        <v>0</v>
      </c>
      <c r="N1848" s="7">
        <f t="shared" si="318"/>
        <v>0</v>
      </c>
      <c r="O1848" s="7">
        <f t="shared" si="317"/>
        <v>83000</v>
      </c>
      <c r="P1848" s="99">
        <f t="shared" si="310"/>
        <v>7.5598870571090262E-3</v>
      </c>
      <c r="Q1848" s="99">
        <f t="shared" si="319"/>
        <v>7.6162459020969568E-3</v>
      </c>
      <c r="S1848" s="7">
        <f t="shared" si="311"/>
        <v>12168200.000000002</v>
      </c>
      <c r="T1848" s="7">
        <f t="shared" si="312"/>
        <v>3687333.3333333335</v>
      </c>
      <c r="U1848" s="7">
        <f t="shared" si="313"/>
        <v>12164500</v>
      </c>
      <c r="V1848" s="7">
        <f t="shared" si="314"/>
        <v>0</v>
      </c>
      <c r="W1848" s="7">
        <f t="shared" si="315"/>
        <v>0</v>
      </c>
      <c r="X1848" s="7">
        <f t="shared" si="316"/>
        <v>0</v>
      </c>
    </row>
    <row r="1849" spans="1:24">
      <c r="A1849">
        <v>1848</v>
      </c>
      <c r="B1849" s="96" t="s">
        <v>1755</v>
      </c>
      <c r="C1849" s="95">
        <v>42581</v>
      </c>
      <c r="D1849" s="82">
        <v>11162000</v>
      </c>
      <c r="E1849" s="82">
        <v>11145000</v>
      </c>
      <c r="F1849" s="82">
        <v>11165000</v>
      </c>
      <c r="G1849" s="82">
        <v>11162000</v>
      </c>
      <c r="I1849" s="97">
        <v>0</v>
      </c>
      <c r="J1849" s="97">
        <v>0</v>
      </c>
      <c r="K1849" s="97">
        <v>0</v>
      </c>
      <c r="M1849" s="7">
        <f t="shared" si="309"/>
        <v>0</v>
      </c>
      <c r="N1849" s="7">
        <f t="shared" si="318"/>
        <v>0</v>
      </c>
      <c r="O1849" s="7">
        <f t="shared" si="317"/>
        <v>100000</v>
      </c>
      <c r="P1849" s="99">
        <f t="shared" si="310"/>
        <v>9.0399566082082806E-3</v>
      </c>
      <c r="Q1849" s="99">
        <f t="shared" si="319"/>
        <v>1.7378776131012151E-2</v>
      </c>
      <c r="S1849" s="7">
        <f t="shared" si="311"/>
        <v>12278200.000000002</v>
      </c>
      <c r="T1849" s="7">
        <f t="shared" si="312"/>
        <v>3720666.6666666665</v>
      </c>
      <c r="U1849" s="7">
        <f t="shared" si="313"/>
        <v>12195000</v>
      </c>
      <c r="V1849" s="7">
        <f t="shared" si="314"/>
        <v>0</v>
      </c>
      <c r="W1849" s="7">
        <f t="shared" si="315"/>
        <v>0</v>
      </c>
      <c r="X1849" s="7">
        <f t="shared" si="316"/>
        <v>0</v>
      </c>
    </row>
    <row r="1850" spans="1:24">
      <c r="A1850">
        <v>1849</v>
      </c>
      <c r="B1850" s="96" t="s">
        <v>1754</v>
      </c>
      <c r="C1850" s="95">
        <v>42582</v>
      </c>
      <c r="D1850" s="82">
        <v>11157000</v>
      </c>
      <c r="E1850" s="82">
        <v>11137000</v>
      </c>
      <c r="F1850" s="82">
        <v>11168000</v>
      </c>
      <c r="G1850" s="82">
        <v>11157000</v>
      </c>
      <c r="I1850" s="97">
        <v>0</v>
      </c>
      <c r="J1850" s="97">
        <v>0</v>
      </c>
      <c r="K1850" s="97">
        <v>0</v>
      </c>
      <c r="M1850" s="7">
        <f t="shared" si="309"/>
        <v>0</v>
      </c>
      <c r="N1850" s="7">
        <f t="shared" si="318"/>
        <v>0</v>
      </c>
      <c r="O1850" s="7">
        <f t="shared" si="317"/>
        <v>-5000</v>
      </c>
      <c r="P1850" s="99">
        <f t="shared" si="310"/>
        <v>-4.4794839634474109E-4</v>
      </c>
      <c r="Q1850" s="99">
        <f t="shared" si="319"/>
        <v>2.7798423688447805E-2</v>
      </c>
      <c r="S1850" s="7">
        <f t="shared" si="311"/>
        <v>12272700.000000002</v>
      </c>
      <c r="T1850" s="7">
        <f t="shared" si="312"/>
        <v>3719000</v>
      </c>
      <c r="U1850" s="7">
        <f t="shared" si="313"/>
        <v>12118500</v>
      </c>
      <c r="V1850" s="7">
        <f t="shared" si="314"/>
        <v>0</v>
      </c>
      <c r="W1850" s="7">
        <f t="shared" si="315"/>
        <v>0</v>
      </c>
      <c r="X1850" s="7">
        <f t="shared" si="316"/>
        <v>0</v>
      </c>
    </row>
    <row r="1851" spans="1:24">
      <c r="A1851">
        <v>1850</v>
      </c>
      <c r="B1851" s="96" t="s">
        <v>1753</v>
      </c>
      <c r="C1851" s="95">
        <v>42583</v>
      </c>
      <c r="D1851" s="82">
        <v>11174000</v>
      </c>
      <c r="E1851" s="82">
        <v>11130000</v>
      </c>
      <c r="F1851" s="82">
        <v>11181000</v>
      </c>
      <c r="G1851" s="82">
        <v>11174000</v>
      </c>
      <c r="I1851" s="98">
        <v>0</v>
      </c>
      <c r="J1851" s="98">
        <v>0</v>
      </c>
      <c r="K1851" s="98">
        <v>0</v>
      </c>
      <c r="M1851" s="7">
        <f t="shared" si="309"/>
        <v>0</v>
      </c>
      <c r="N1851" s="7">
        <f t="shared" si="318"/>
        <v>0</v>
      </c>
      <c r="O1851" s="7">
        <f t="shared" si="317"/>
        <v>17000</v>
      </c>
      <c r="P1851" s="99">
        <f t="shared" si="310"/>
        <v>1.5237070897194587E-3</v>
      </c>
      <c r="Q1851" s="99">
        <f t="shared" si="319"/>
        <v>2.5692558740569488E-2</v>
      </c>
      <c r="S1851" s="7">
        <f t="shared" si="311"/>
        <v>12291400.000000002</v>
      </c>
      <c r="T1851" s="7">
        <f t="shared" si="312"/>
        <v>3724666.6666666665</v>
      </c>
      <c r="U1851" s="7">
        <f t="shared" si="313"/>
        <v>12119000</v>
      </c>
      <c r="V1851" s="7">
        <f t="shared" si="314"/>
        <v>0</v>
      </c>
      <c r="W1851" s="7">
        <f t="shared" si="315"/>
        <v>0</v>
      </c>
      <c r="X1851" s="7">
        <f t="shared" si="316"/>
        <v>0</v>
      </c>
    </row>
    <row r="1852" spans="1:24">
      <c r="A1852">
        <v>1851</v>
      </c>
      <c r="B1852" s="96" t="s">
        <v>1752</v>
      </c>
      <c r="C1852" s="95">
        <v>42584</v>
      </c>
      <c r="D1852" s="82">
        <v>11287000</v>
      </c>
      <c r="E1852" s="82">
        <v>11174000</v>
      </c>
      <c r="F1852" s="82">
        <v>11297000</v>
      </c>
      <c r="G1852" s="82">
        <v>11287000</v>
      </c>
      <c r="I1852" s="82">
        <f>G1852*1.1</f>
        <v>12415700.000000002</v>
      </c>
      <c r="J1852" s="82">
        <f>G1852/3</f>
        <v>3762333.3333333335</v>
      </c>
      <c r="K1852" s="7">
        <f>G2120</f>
        <v>12089500</v>
      </c>
      <c r="L1852" s="7">
        <f>K1852-I1852</f>
        <v>-326200.00000000186</v>
      </c>
      <c r="M1852" s="7">
        <f t="shared" si="309"/>
        <v>470291.66666666674</v>
      </c>
      <c r="N1852" s="7">
        <f t="shared" si="318"/>
        <v>144091.66666666488</v>
      </c>
      <c r="O1852" s="7">
        <f t="shared" si="317"/>
        <v>113000</v>
      </c>
      <c r="P1852" s="99">
        <f t="shared" si="310"/>
        <v>1.0112761768390908E-2</v>
      </c>
      <c r="Q1852" s="99">
        <f t="shared" si="319"/>
        <v>2.289442674982918E-2</v>
      </c>
      <c r="R1852">
        <v>1</v>
      </c>
      <c r="S1852" s="7">
        <f t="shared" si="311"/>
        <v>12415700.000000002</v>
      </c>
      <c r="T1852" s="7">
        <f t="shared" si="312"/>
        <v>3762333.3333333335</v>
      </c>
      <c r="U1852" s="7">
        <f t="shared" si="313"/>
        <v>12089500</v>
      </c>
      <c r="V1852" s="7">
        <f t="shared" si="314"/>
        <v>-326200.00000000186</v>
      </c>
      <c r="W1852" s="7">
        <f t="shared" si="315"/>
        <v>470291.66666666674</v>
      </c>
      <c r="X1852" s="7">
        <f t="shared" si="316"/>
        <v>144091.66666666488</v>
      </c>
    </row>
    <row r="1853" spans="1:24">
      <c r="A1853">
        <v>1852</v>
      </c>
      <c r="B1853" s="96" t="s">
        <v>1751</v>
      </c>
      <c r="C1853" s="95">
        <v>42585</v>
      </c>
      <c r="D1853" s="82">
        <v>11198000</v>
      </c>
      <c r="E1853" s="82">
        <v>11189000</v>
      </c>
      <c r="F1853" s="82">
        <v>11292000</v>
      </c>
      <c r="G1853" s="82">
        <v>11198000</v>
      </c>
      <c r="I1853" s="97">
        <v>0</v>
      </c>
      <c r="J1853" s="97">
        <v>0</v>
      </c>
      <c r="K1853" s="97">
        <v>0</v>
      </c>
      <c r="M1853" s="7">
        <f t="shared" si="309"/>
        <v>0</v>
      </c>
      <c r="N1853" s="7">
        <f t="shared" si="318"/>
        <v>0</v>
      </c>
      <c r="O1853" s="7">
        <f t="shared" si="317"/>
        <v>-89000</v>
      </c>
      <c r="P1853" s="99">
        <f t="shared" si="310"/>
        <v>-7.8851776379906084E-3</v>
      </c>
      <c r="Q1853" s="99">
        <f t="shared" si="319"/>
        <v>2.7788364127082934E-2</v>
      </c>
      <c r="S1853" s="7">
        <f t="shared" si="311"/>
        <v>12317800.000000002</v>
      </c>
      <c r="T1853" s="7">
        <f t="shared" si="312"/>
        <v>3732666.6666666665</v>
      </c>
      <c r="U1853" s="7">
        <f t="shared" si="313"/>
        <v>12117000</v>
      </c>
      <c r="V1853" s="7">
        <f t="shared" si="314"/>
        <v>0</v>
      </c>
      <c r="W1853" s="7">
        <f t="shared" si="315"/>
        <v>0</v>
      </c>
      <c r="X1853" s="7">
        <f t="shared" si="316"/>
        <v>0</v>
      </c>
    </row>
    <row r="1854" spans="1:24">
      <c r="A1854">
        <v>1853</v>
      </c>
      <c r="B1854" s="96" t="s">
        <v>1750</v>
      </c>
      <c r="C1854" s="95">
        <v>42586</v>
      </c>
      <c r="D1854" s="82">
        <v>11205000</v>
      </c>
      <c r="E1854" s="82">
        <v>11140000</v>
      </c>
      <c r="F1854" s="82">
        <v>11223000</v>
      </c>
      <c r="G1854" s="82">
        <v>11205000</v>
      </c>
      <c r="I1854" s="97">
        <v>0</v>
      </c>
      <c r="J1854" s="97">
        <v>0</v>
      </c>
      <c r="K1854" s="97">
        <v>0</v>
      </c>
      <c r="M1854" s="7">
        <f t="shared" si="309"/>
        <v>0</v>
      </c>
      <c r="N1854" s="7">
        <f t="shared" si="318"/>
        <v>0</v>
      </c>
      <c r="O1854" s="7">
        <f t="shared" si="317"/>
        <v>7000</v>
      </c>
      <c r="P1854" s="99">
        <f t="shared" si="310"/>
        <v>6.2511162707626366E-4</v>
      </c>
      <c r="Q1854" s="99">
        <f t="shared" si="319"/>
        <v>1.2343299431983295E-2</v>
      </c>
      <c r="S1854" s="7">
        <f t="shared" si="311"/>
        <v>12325500.000000002</v>
      </c>
      <c r="T1854" s="7">
        <f t="shared" si="312"/>
        <v>3735000</v>
      </c>
      <c r="U1854" s="7">
        <f t="shared" si="313"/>
        <v>12109000</v>
      </c>
      <c r="V1854" s="7">
        <f t="shared" si="314"/>
        <v>0</v>
      </c>
      <c r="W1854" s="7">
        <f t="shared" si="315"/>
        <v>0</v>
      </c>
      <c r="X1854" s="7">
        <f t="shared" si="316"/>
        <v>0</v>
      </c>
    </row>
    <row r="1855" spans="1:24">
      <c r="A1855">
        <v>1854</v>
      </c>
      <c r="B1855" s="96" t="s">
        <v>1749</v>
      </c>
      <c r="C1855" s="95">
        <v>42588</v>
      </c>
      <c r="D1855" s="82">
        <v>11047000</v>
      </c>
      <c r="E1855" s="82">
        <v>11030000</v>
      </c>
      <c r="F1855" s="82">
        <v>11055000</v>
      </c>
      <c r="G1855" s="82">
        <v>11047000</v>
      </c>
      <c r="I1855" s="97">
        <v>0</v>
      </c>
      <c r="J1855" s="97">
        <v>0</v>
      </c>
      <c r="K1855" s="97">
        <v>0</v>
      </c>
      <c r="M1855" s="7">
        <f t="shared" si="309"/>
        <v>0</v>
      </c>
      <c r="N1855" s="7">
        <f t="shared" si="318"/>
        <v>0</v>
      </c>
      <c r="O1855" s="7">
        <f t="shared" si="317"/>
        <v>-158000</v>
      </c>
      <c r="P1855" s="99">
        <f t="shared" si="310"/>
        <v>-1.4100847835787595E-2</v>
      </c>
      <c r="Q1855" s="99">
        <f t="shared" si="319"/>
        <v>3.9284544508512813E-3</v>
      </c>
      <c r="S1855" s="7">
        <f t="shared" si="311"/>
        <v>12151700.000000002</v>
      </c>
      <c r="T1855" s="7">
        <f t="shared" si="312"/>
        <v>3682333.3333333335</v>
      </c>
      <c r="U1855" s="7">
        <f t="shared" si="313"/>
        <v>12138000</v>
      </c>
      <c r="V1855" s="7">
        <f t="shared" si="314"/>
        <v>0</v>
      </c>
      <c r="W1855" s="7">
        <f t="shared" si="315"/>
        <v>0</v>
      </c>
      <c r="X1855" s="7">
        <f t="shared" si="316"/>
        <v>0</v>
      </c>
    </row>
    <row r="1856" spans="1:24">
      <c r="A1856">
        <v>1855</v>
      </c>
      <c r="B1856" s="96" t="s">
        <v>1748</v>
      </c>
      <c r="C1856" s="95">
        <v>42589</v>
      </c>
      <c r="D1856" s="82">
        <v>11060000</v>
      </c>
      <c r="E1856" s="82">
        <v>11053000</v>
      </c>
      <c r="F1856" s="82">
        <v>11074000</v>
      </c>
      <c r="G1856" s="82">
        <v>11060000</v>
      </c>
      <c r="I1856" s="98">
        <v>0</v>
      </c>
      <c r="J1856" s="98">
        <v>0</v>
      </c>
      <c r="K1856" s="98">
        <v>0</v>
      </c>
      <c r="M1856" s="7">
        <f t="shared" si="309"/>
        <v>0</v>
      </c>
      <c r="N1856" s="7">
        <f t="shared" si="318"/>
        <v>0</v>
      </c>
      <c r="O1856" s="7">
        <f t="shared" si="317"/>
        <v>13000</v>
      </c>
      <c r="P1856" s="99">
        <f t="shared" si="310"/>
        <v>1.176790078754413E-3</v>
      </c>
      <c r="Q1856" s="99">
        <f t="shared" si="319"/>
        <v>-9.7244449885915737E-3</v>
      </c>
      <c r="S1856" s="7">
        <f t="shared" si="311"/>
        <v>12166000.000000002</v>
      </c>
      <c r="T1856" s="7">
        <f t="shared" si="312"/>
        <v>3686666.6666666665</v>
      </c>
      <c r="U1856" s="7">
        <f t="shared" si="313"/>
        <v>12125500</v>
      </c>
      <c r="V1856" s="7">
        <f t="shared" si="314"/>
        <v>0</v>
      </c>
      <c r="W1856" s="7">
        <f t="shared" si="315"/>
        <v>0</v>
      </c>
      <c r="X1856" s="7">
        <f t="shared" si="316"/>
        <v>0</v>
      </c>
    </row>
    <row r="1857" spans="1:24">
      <c r="A1857">
        <v>1856</v>
      </c>
      <c r="B1857" s="96" t="s">
        <v>1747</v>
      </c>
      <c r="C1857" s="95">
        <v>42590</v>
      </c>
      <c r="D1857" s="82">
        <v>11071000</v>
      </c>
      <c r="E1857" s="82">
        <v>11053000</v>
      </c>
      <c r="F1857" s="82">
        <v>11080000</v>
      </c>
      <c r="G1857" s="82">
        <v>11071000</v>
      </c>
      <c r="I1857" s="82">
        <f>G1857*1.1</f>
        <v>12178100.000000002</v>
      </c>
      <c r="J1857" s="82">
        <f>G1857/3</f>
        <v>3690333.3333333335</v>
      </c>
      <c r="K1857" s="7">
        <f>G2125</f>
        <v>12130000</v>
      </c>
      <c r="L1857" s="7">
        <f>K1857-I1857</f>
        <v>-48100.000000001863</v>
      </c>
      <c r="M1857" s="7">
        <f t="shared" si="309"/>
        <v>461291.66666666674</v>
      </c>
      <c r="N1857" s="7">
        <f t="shared" si="318"/>
        <v>413191.66666666488</v>
      </c>
      <c r="O1857" s="7">
        <f t="shared" si="317"/>
        <v>11000</v>
      </c>
      <c r="P1857" s="99">
        <f t="shared" si="310"/>
        <v>9.9457504520795667E-4</v>
      </c>
      <c r="Q1857" s="99">
        <f t="shared" si="319"/>
        <v>-1.0071361999556619E-2</v>
      </c>
      <c r="R1857">
        <v>1</v>
      </c>
      <c r="S1857" s="7">
        <f t="shared" si="311"/>
        <v>12178100.000000002</v>
      </c>
      <c r="T1857" s="7">
        <f t="shared" si="312"/>
        <v>3690333.3333333335</v>
      </c>
      <c r="U1857" s="7">
        <f t="shared" si="313"/>
        <v>12130000</v>
      </c>
      <c r="V1857" s="7">
        <f t="shared" si="314"/>
        <v>-48100.000000001863</v>
      </c>
      <c r="W1857" s="7">
        <f t="shared" si="315"/>
        <v>461291.66666666674</v>
      </c>
      <c r="X1857" s="7">
        <f t="shared" si="316"/>
        <v>413191.66666666488</v>
      </c>
    </row>
    <row r="1858" spans="1:24">
      <c r="A1858">
        <v>1857</v>
      </c>
      <c r="B1858" s="96" t="s">
        <v>1746</v>
      </c>
      <c r="C1858" s="95">
        <v>42591</v>
      </c>
      <c r="D1858" s="82">
        <v>11141000</v>
      </c>
      <c r="E1858" s="82">
        <v>11056000</v>
      </c>
      <c r="F1858" s="82">
        <v>11143000</v>
      </c>
      <c r="G1858" s="82">
        <v>11141000</v>
      </c>
      <c r="I1858" s="97">
        <v>0</v>
      </c>
      <c r="J1858" s="97">
        <v>0</v>
      </c>
      <c r="K1858" s="97">
        <v>0</v>
      </c>
      <c r="M1858" s="7">
        <f t="shared" ref="M1858:M1921" si="320">J1858*$AI$6/200</f>
        <v>0</v>
      </c>
      <c r="N1858" s="7">
        <f t="shared" si="318"/>
        <v>0</v>
      </c>
      <c r="O1858" s="7">
        <f t="shared" si="317"/>
        <v>70000</v>
      </c>
      <c r="P1858" s="99">
        <f t="shared" si="310"/>
        <v>6.3228253996928914E-3</v>
      </c>
      <c r="Q1858" s="99">
        <f t="shared" si="319"/>
        <v>-1.918954872273957E-2</v>
      </c>
      <c r="S1858" s="7">
        <f t="shared" si="311"/>
        <v>12255100.000000002</v>
      </c>
      <c r="T1858" s="7">
        <f t="shared" si="312"/>
        <v>3713666.6666666665</v>
      </c>
      <c r="U1858" s="7">
        <f t="shared" si="313"/>
        <v>12148500</v>
      </c>
      <c r="V1858" s="7">
        <f t="shared" si="314"/>
        <v>0</v>
      </c>
      <c r="W1858" s="7">
        <f t="shared" si="315"/>
        <v>0</v>
      </c>
      <c r="X1858" s="7">
        <f t="shared" si="316"/>
        <v>0</v>
      </c>
    </row>
    <row r="1859" spans="1:24">
      <c r="A1859">
        <v>1858</v>
      </c>
      <c r="B1859" s="96" t="s">
        <v>1745</v>
      </c>
      <c r="C1859" s="95">
        <v>42592</v>
      </c>
      <c r="D1859" s="82">
        <v>11210000</v>
      </c>
      <c r="E1859" s="82">
        <v>11207000</v>
      </c>
      <c r="F1859" s="82">
        <v>11263000</v>
      </c>
      <c r="G1859" s="82">
        <v>11210000</v>
      </c>
      <c r="I1859" s="97">
        <v>0</v>
      </c>
      <c r="J1859" s="97">
        <v>0</v>
      </c>
      <c r="K1859" s="97">
        <v>0</v>
      </c>
      <c r="M1859" s="7">
        <f t="shared" si="320"/>
        <v>0</v>
      </c>
      <c r="N1859" s="7">
        <f t="shared" si="318"/>
        <v>0</v>
      </c>
      <c r="O1859" s="7">
        <f t="shared" si="317"/>
        <v>69000</v>
      </c>
      <c r="P1859" s="99">
        <f t="shared" ref="P1859:P1922" si="321">O1859/G1858</f>
        <v>6.1933399156269631E-3</v>
      </c>
      <c r="Q1859" s="99">
        <f t="shared" si="319"/>
        <v>-4.9815456850560704E-3</v>
      </c>
      <c r="S1859" s="7">
        <f t="shared" ref="S1859:S1922" si="322">G1859*1.1</f>
        <v>12331000.000000002</v>
      </c>
      <c r="T1859" s="7">
        <f t="shared" ref="T1859:T1922" si="323">G1859/3</f>
        <v>3736666.6666666665</v>
      </c>
      <c r="U1859" s="7">
        <f t="shared" ref="U1859:U1922" si="324">G2127</f>
        <v>12159000</v>
      </c>
      <c r="V1859" s="7">
        <f t="shared" ref="V1859:V1922" si="325">(U1859-S1859)*R1859</f>
        <v>0</v>
      </c>
      <c r="W1859" s="7">
        <f t="shared" ref="W1859:W1922" si="326">(T1859*$AI$6/200)*R1859</f>
        <v>0</v>
      </c>
      <c r="X1859" s="7">
        <f t="shared" ref="X1859:X1922" si="327">V1859+W1859</f>
        <v>0</v>
      </c>
    </row>
    <row r="1860" spans="1:24">
      <c r="A1860">
        <v>1859</v>
      </c>
      <c r="B1860" s="96" t="s">
        <v>1744</v>
      </c>
      <c r="C1860" s="95">
        <v>42593</v>
      </c>
      <c r="D1860" s="82">
        <v>11195000</v>
      </c>
      <c r="E1860" s="82">
        <v>11185000</v>
      </c>
      <c r="F1860" s="82">
        <v>11210000</v>
      </c>
      <c r="G1860" s="82">
        <v>11195000</v>
      </c>
      <c r="I1860" s="97">
        <v>0</v>
      </c>
      <c r="J1860" s="97">
        <v>0</v>
      </c>
      <c r="K1860" s="97">
        <v>0</v>
      </c>
      <c r="M1860" s="7">
        <f t="shared" si="320"/>
        <v>0</v>
      </c>
      <c r="N1860" s="7">
        <f t="shared" si="318"/>
        <v>0</v>
      </c>
      <c r="O1860" s="7">
        <f t="shared" ref="O1860:O1923" si="328">G1860-G1859</f>
        <v>-15000</v>
      </c>
      <c r="P1860" s="99">
        <f t="shared" si="321"/>
        <v>-1.3380909901873326E-3</v>
      </c>
      <c r="Q1860" s="99">
        <f t="shared" si="319"/>
        <v>5.866826034946291E-4</v>
      </c>
      <c r="S1860" s="7">
        <f t="shared" si="322"/>
        <v>12314500.000000002</v>
      </c>
      <c r="T1860" s="7">
        <f t="shared" si="323"/>
        <v>3731666.6666666665</v>
      </c>
      <c r="U1860" s="7">
        <f t="shared" si="324"/>
        <v>12181000</v>
      </c>
      <c r="V1860" s="7">
        <f t="shared" si="325"/>
        <v>0</v>
      </c>
      <c r="W1860" s="7">
        <f t="shared" si="326"/>
        <v>0</v>
      </c>
      <c r="X1860" s="7">
        <f t="shared" si="327"/>
        <v>0</v>
      </c>
    </row>
    <row r="1861" spans="1:24">
      <c r="A1861">
        <v>1860</v>
      </c>
      <c r="B1861" s="96" t="s">
        <v>1743</v>
      </c>
      <c r="C1861" s="95">
        <v>42595</v>
      </c>
      <c r="D1861" s="82">
        <v>11089000</v>
      </c>
      <c r="E1861" s="82">
        <v>11086000</v>
      </c>
      <c r="F1861" s="82">
        <v>11134000</v>
      </c>
      <c r="G1861" s="82">
        <v>11089000</v>
      </c>
      <c r="I1861" s="98">
        <v>0</v>
      </c>
      <c r="J1861" s="98">
        <v>0</v>
      </c>
      <c r="K1861" s="98">
        <v>0</v>
      </c>
      <c r="M1861" s="7">
        <f t="shared" si="320"/>
        <v>0</v>
      </c>
      <c r="N1861" s="7">
        <f t="shared" si="318"/>
        <v>0</v>
      </c>
      <c r="O1861" s="7">
        <f t="shared" si="328"/>
        <v>-106000</v>
      </c>
      <c r="P1861" s="99">
        <f t="shared" si="321"/>
        <v>-9.4685127288968284E-3</v>
      </c>
      <c r="Q1861" s="99">
        <f t="shared" si="319"/>
        <v>1.3349439449094889E-2</v>
      </c>
      <c r="S1861" s="7">
        <f t="shared" si="322"/>
        <v>12197900.000000002</v>
      </c>
      <c r="T1861" s="7">
        <f t="shared" si="323"/>
        <v>3696333.3333333335</v>
      </c>
      <c r="U1861" s="7">
        <f t="shared" si="324"/>
        <v>12185000</v>
      </c>
      <c r="V1861" s="7">
        <f t="shared" si="325"/>
        <v>0</v>
      </c>
      <c r="W1861" s="7">
        <f t="shared" si="326"/>
        <v>0</v>
      </c>
      <c r="X1861" s="7">
        <f t="shared" si="327"/>
        <v>0</v>
      </c>
    </row>
    <row r="1862" spans="1:24">
      <c r="A1862">
        <v>1861</v>
      </c>
      <c r="B1862" s="96" t="s">
        <v>1742</v>
      </c>
      <c r="C1862" s="95">
        <v>42596</v>
      </c>
      <c r="D1862" s="82">
        <v>11086000</v>
      </c>
      <c r="E1862" s="82">
        <v>11083000</v>
      </c>
      <c r="F1862" s="82">
        <v>11104000</v>
      </c>
      <c r="G1862" s="82">
        <v>11086000</v>
      </c>
      <c r="I1862" s="82">
        <f>G1862*1.1</f>
        <v>12194600.000000002</v>
      </c>
      <c r="J1862" s="82">
        <f>G1862/3</f>
        <v>3695333.3333333335</v>
      </c>
      <c r="K1862" s="7">
        <f>G2130</f>
        <v>12142500</v>
      </c>
      <c r="L1862" s="7">
        <f>K1862-I1862</f>
        <v>-52100.000000001863</v>
      </c>
      <c r="M1862" s="7">
        <f t="shared" si="320"/>
        <v>461916.66666666674</v>
      </c>
      <c r="N1862" s="7">
        <f t="shared" si="318"/>
        <v>409816.66666666488</v>
      </c>
      <c r="O1862" s="7">
        <f t="shared" si="328"/>
        <v>-3000</v>
      </c>
      <c r="P1862" s="99">
        <f t="shared" si="321"/>
        <v>-2.7053837135900444E-4</v>
      </c>
      <c r="Q1862" s="99">
        <f t="shared" si="319"/>
        <v>2.7041366414436493E-3</v>
      </c>
      <c r="R1862">
        <v>1</v>
      </c>
      <c r="S1862" s="7">
        <f t="shared" si="322"/>
        <v>12194600.000000002</v>
      </c>
      <c r="T1862" s="7">
        <f t="shared" si="323"/>
        <v>3695333.3333333335</v>
      </c>
      <c r="U1862" s="7">
        <f t="shared" si="324"/>
        <v>12142500</v>
      </c>
      <c r="V1862" s="7">
        <f t="shared" si="325"/>
        <v>-52100.000000001863</v>
      </c>
      <c r="W1862" s="7">
        <f t="shared" si="326"/>
        <v>461916.66666666674</v>
      </c>
      <c r="X1862" s="7">
        <f t="shared" si="327"/>
        <v>409816.66666666488</v>
      </c>
    </row>
    <row r="1863" spans="1:24">
      <c r="A1863">
        <v>1862</v>
      </c>
      <c r="B1863" s="96" t="s">
        <v>1741</v>
      </c>
      <c r="C1863" s="95">
        <v>42597</v>
      </c>
      <c r="D1863" s="82">
        <v>11126000</v>
      </c>
      <c r="E1863" s="82">
        <v>11090000</v>
      </c>
      <c r="F1863" s="82">
        <v>11135000</v>
      </c>
      <c r="G1863" s="82">
        <v>11126000</v>
      </c>
      <c r="I1863" s="97">
        <v>0</v>
      </c>
      <c r="J1863" s="97">
        <v>0</v>
      </c>
      <c r="K1863" s="97">
        <v>0</v>
      </c>
      <c r="M1863" s="7">
        <f t="shared" si="320"/>
        <v>0</v>
      </c>
      <c r="N1863" s="7">
        <f t="shared" si="318"/>
        <v>0</v>
      </c>
      <c r="O1863" s="7">
        <f t="shared" si="328"/>
        <v>40000</v>
      </c>
      <c r="P1863" s="99">
        <f t="shared" si="321"/>
        <v>3.6081544290095615E-3</v>
      </c>
      <c r="Q1863" s="99">
        <f t="shared" si="319"/>
        <v>1.4390232248766884E-3</v>
      </c>
      <c r="S1863" s="7">
        <f t="shared" si="322"/>
        <v>12238600.000000002</v>
      </c>
      <c r="T1863" s="7">
        <f t="shared" si="323"/>
        <v>3708666.6666666665</v>
      </c>
      <c r="U1863" s="7">
        <f t="shared" si="324"/>
        <v>12119000</v>
      </c>
      <c r="V1863" s="7">
        <f t="shared" si="325"/>
        <v>0</v>
      </c>
      <c r="W1863" s="7">
        <f t="shared" si="326"/>
        <v>0</v>
      </c>
      <c r="X1863" s="7">
        <f t="shared" si="327"/>
        <v>0</v>
      </c>
    </row>
    <row r="1864" spans="1:24">
      <c r="A1864">
        <v>1863</v>
      </c>
      <c r="B1864" s="96" t="s">
        <v>1740</v>
      </c>
      <c r="C1864" s="95">
        <v>42598</v>
      </c>
      <c r="D1864" s="82">
        <v>11188000</v>
      </c>
      <c r="E1864" s="82">
        <v>11167000</v>
      </c>
      <c r="F1864" s="82">
        <v>11230000</v>
      </c>
      <c r="G1864" s="82">
        <v>11188000</v>
      </c>
      <c r="I1864" s="97">
        <v>0</v>
      </c>
      <c r="J1864" s="97">
        <v>0</v>
      </c>
      <c r="K1864" s="97">
        <v>0</v>
      </c>
      <c r="M1864" s="7">
        <f t="shared" si="320"/>
        <v>0</v>
      </c>
      <c r="N1864" s="7">
        <f t="shared" ref="N1864:N1927" si="329">L1864+M1864</f>
        <v>0</v>
      </c>
      <c r="O1864" s="7">
        <f t="shared" si="328"/>
        <v>62000</v>
      </c>
      <c r="P1864" s="99">
        <f t="shared" si="321"/>
        <v>5.5725328060399065E-3</v>
      </c>
      <c r="Q1864" s="99">
        <f t="shared" ref="Q1864:Q1927" si="330">SUM(P1859:P1863)</f>
        <v>-1.2756477458066404E-3</v>
      </c>
      <c r="S1864" s="7">
        <f t="shared" si="322"/>
        <v>12306800.000000002</v>
      </c>
      <c r="T1864" s="7">
        <f t="shared" si="323"/>
        <v>3729333.3333333335</v>
      </c>
      <c r="U1864" s="7">
        <f t="shared" si="324"/>
        <v>12122000</v>
      </c>
      <c r="V1864" s="7">
        <f t="shared" si="325"/>
        <v>0</v>
      </c>
      <c r="W1864" s="7">
        <f t="shared" si="326"/>
        <v>0</v>
      </c>
      <c r="X1864" s="7">
        <f t="shared" si="327"/>
        <v>0</v>
      </c>
    </row>
    <row r="1865" spans="1:24">
      <c r="A1865">
        <v>1864</v>
      </c>
      <c r="B1865" s="96" t="s">
        <v>1739</v>
      </c>
      <c r="C1865" s="95">
        <v>42599</v>
      </c>
      <c r="D1865" s="82">
        <v>11184000</v>
      </c>
      <c r="E1865" s="82">
        <v>11171000</v>
      </c>
      <c r="F1865" s="82">
        <v>11210000</v>
      </c>
      <c r="G1865" s="82">
        <v>11184000</v>
      </c>
      <c r="I1865" s="97">
        <v>0</v>
      </c>
      <c r="J1865" s="97">
        <v>0</v>
      </c>
      <c r="K1865" s="97">
        <v>0</v>
      </c>
      <c r="M1865" s="7">
        <f t="shared" si="320"/>
        <v>0</v>
      </c>
      <c r="N1865" s="7">
        <f t="shared" si="329"/>
        <v>0</v>
      </c>
      <c r="O1865" s="7">
        <f t="shared" si="328"/>
        <v>-4000</v>
      </c>
      <c r="P1865" s="99">
        <f t="shared" si="321"/>
        <v>-3.5752592062924561E-4</v>
      </c>
      <c r="Q1865" s="99">
        <f t="shared" si="330"/>
        <v>-1.8964548553936991E-3</v>
      </c>
      <c r="S1865" s="7">
        <f t="shared" si="322"/>
        <v>12302400.000000002</v>
      </c>
      <c r="T1865" s="7">
        <f t="shared" si="323"/>
        <v>3728000</v>
      </c>
      <c r="U1865" s="7">
        <f t="shared" si="324"/>
        <v>12119000</v>
      </c>
      <c r="V1865" s="7">
        <f t="shared" si="325"/>
        <v>0</v>
      </c>
      <c r="W1865" s="7">
        <f t="shared" si="326"/>
        <v>0</v>
      </c>
      <c r="X1865" s="7">
        <f t="shared" si="327"/>
        <v>0</v>
      </c>
    </row>
    <row r="1866" spans="1:24">
      <c r="A1866">
        <v>1865</v>
      </c>
      <c r="B1866" s="96" t="s">
        <v>1738</v>
      </c>
      <c r="C1866" s="95">
        <v>42600</v>
      </c>
      <c r="D1866" s="82">
        <v>11205000</v>
      </c>
      <c r="E1866" s="82">
        <v>11196000</v>
      </c>
      <c r="F1866" s="82">
        <v>11242000</v>
      </c>
      <c r="G1866" s="82">
        <v>11205000</v>
      </c>
      <c r="I1866" s="98">
        <v>0</v>
      </c>
      <c r="J1866" s="98">
        <v>0</v>
      </c>
      <c r="K1866" s="98">
        <v>0</v>
      </c>
      <c r="M1866" s="7">
        <f t="shared" si="320"/>
        <v>0</v>
      </c>
      <c r="N1866" s="7">
        <f t="shared" si="329"/>
        <v>0</v>
      </c>
      <c r="O1866" s="7">
        <f t="shared" si="328"/>
        <v>21000</v>
      </c>
      <c r="P1866" s="99">
        <f t="shared" si="321"/>
        <v>1.8776824034334764E-3</v>
      </c>
      <c r="Q1866" s="99">
        <f t="shared" si="330"/>
        <v>-9.1588978583561145E-4</v>
      </c>
      <c r="S1866" s="7">
        <f t="shared" si="322"/>
        <v>12325500.000000002</v>
      </c>
      <c r="T1866" s="7">
        <f t="shared" si="323"/>
        <v>3735000</v>
      </c>
      <c r="U1866" s="7">
        <f t="shared" si="324"/>
        <v>12064500</v>
      </c>
      <c r="V1866" s="7">
        <f t="shared" si="325"/>
        <v>0</v>
      </c>
      <c r="W1866" s="7">
        <f t="shared" si="326"/>
        <v>0</v>
      </c>
      <c r="X1866" s="7">
        <f t="shared" si="327"/>
        <v>0</v>
      </c>
    </row>
    <row r="1867" spans="1:24">
      <c r="A1867">
        <v>1866</v>
      </c>
      <c r="B1867" s="96" t="s">
        <v>1737</v>
      </c>
      <c r="C1867" s="95">
        <v>42602</v>
      </c>
      <c r="D1867" s="82">
        <v>11140000</v>
      </c>
      <c r="E1867" s="82">
        <v>11127000</v>
      </c>
      <c r="F1867" s="82">
        <v>11161000</v>
      </c>
      <c r="G1867" s="82">
        <v>11140000</v>
      </c>
      <c r="I1867" s="82">
        <f>G1867*1.1</f>
        <v>12254000.000000002</v>
      </c>
      <c r="J1867" s="82">
        <f>G1867/3</f>
        <v>3713333.3333333335</v>
      </c>
      <c r="K1867" s="7">
        <f>G2135</f>
        <v>12107500</v>
      </c>
      <c r="L1867" s="7">
        <f>K1867-I1867</f>
        <v>-146500.00000000186</v>
      </c>
      <c r="M1867" s="7">
        <f t="shared" si="320"/>
        <v>464166.66666666674</v>
      </c>
      <c r="N1867" s="7">
        <f t="shared" si="329"/>
        <v>317666.66666666488</v>
      </c>
      <c r="O1867" s="7">
        <f t="shared" si="328"/>
        <v>-65000</v>
      </c>
      <c r="P1867" s="99">
        <f t="shared" si="321"/>
        <v>-5.8009817045961629E-3</v>
      </c>
      <c r="Q1867" s="99">
        <f t="shared" si="330"/>
        <v>1.0430305346494693E-2</v>
      </c>
      <c r="R1867">
        <v>1</v>
      </c>
      <c r="S1867" s="7">
        <f t="shared" si="322"/>
        <v>12254000.000000002</v>
      </c>
      <c r="T1867" s="7">
        <f t="shared" si="323"/>
        <v>3713333.3333333335</v>
      </c>
      <c r="U1867" s="7">
        <f t="shared" si="324"/>
        <v>12107500</v>
      </c>
      <c r="V1867" s="7">
        <f t="shared" si="325"/>
        <v>-146500.00000000186</v>
      </c>
      <c r="W1867" s="7">
        <f t="shared" si="326"/>
        <v>464166.66666666674</v>
      </c>
      <c r="X1867" s="7">
        <f t="shared" si="327"/>
        <v>317666.66666666488</v>
      </c>
    </row>
    <row r="1868" spans="1:24">
      <c r="A1868">
        <v>1867</v>
      </c>
      <c r="B1868" s="96" t="s">
        <v>1736</v>
      </c>
      <c r="C1868" s="95">
        <v>42603</v>
      </c>
      <c r="D1868" s="82">
        <v>11147000</v>
      </c>
      <c r="E1868" s="82">
        <v>11113800</v>
      </c>
      <c r="F1868" s="82">
        <v>11154000</v>
      </c>
      <c r="G1868" s="82">
        <v>11147000</v>
      </c>
      <c r="I1868" s="97">
        <v>0</v>
      </c>
      <c r="J1868" s="97">
        <v>0</v>
      </c>
      <c r="K1868" s="97">
        <v>0</v>
      </c>
      <c r="M1868" s="7">
        <f t="shared" si="320"/>
        <v>0</v>
      </c>
      <c r="N1868" s="7">
        <f t="shared" si="329"/>
        <v>0</v>
      </c>
      <c r="O1868" s="7">
        <f t="shared" si="328"/>
        <v>7000</v>
      </c>
      <c r="P1868" s="99">
        <f t="shared" si="321"/>
        <v>6.2836624775583483E-4</v>
      </c>
      <c r="Q1868" s="99">
        <f t="shared" si="330"/>
        <v>4.8998620132575353E-3</v>
      </c>
      <c r="S1868" s="7">
        <f t="shared" si="322"/>
        <v>12261700.000000002</v>
      </c>
      <c r="T1868" s="7">
        <f t="shared" si="323"/>
        <v>3715666.6666666665</v>
      </c>
      <c r="U1868" s="7">
        <f t="shared" si="324"/>
        <v>12108500</v>
      </c>
      <c r="V1868" s="7">
        <f t="shared" si="325"/>
        <v>0</v>
      </c>
      <c r="W1868" s="7">
        <f t="shared" si="326"/>
        <v>0</v>
      </c>
      <c r="X1868" s="7">
        <f t="shared" si="327"/>
        <v>0</v>
      </c>
    </row>
    <row r="1869" spans="1:24">
      <c r="A1869">
        <v>1868</v>
      </c>
      <c r="B1869" s="96" t="s">
        <v>1735</v>
      </c>
      <c r="C1869" s="95">
        <v>42604</v>
      </c>
      <c r="D1869" s="82">
        <v>11134000</v>
      </c>
      <c r="E1869" s="82">
        <v>11107000</v>
      </c>
      <c r="F1869" s="82">
        <v>11137000</v>
      </c>
      <c r="G1869" s="82">
        <v>11134000</v>
      </c>
      <c r="I1869" s="97">
        <v>0</v>
      </c>
      <c r="J1869" s="97">
        <v>0</v>
      </c>
      <c r="K1869" s="97">
        <v>0</v>
      </c>
      <c r="M1869" s="7">
        <f t="shared" si="320"/>
        <v>0</v>
      </c>
      <c r="N1869" s="7">
        <f t="shared" si="329"/>
        <v>0</v>
      </c>
      <c r="O1869" s="7">
        <f t="shared" si="328"/>
        <v>-13000</v>
      </c>
      <c r="P1869" s="99">
        <f t="shared" si="321"/>
        <v>-1.1662330671929667E-3</v>
      </c>
      <c r="Q1869" s="99">
        <f t="shared" si="330"/>
        <v>1.9200738320038092E-3</v>
      </c>
      <c r="S1869" s="7">
        <f t="shared" si="322"/>
        <v>12247400.000000002</v>
      </c>
      <c r="T1869" s="7">
        <f t="shared" si="323"/>
        <v>3711333.3333333335</v>
      </c>
      <c r="U1869" s="7">
        <f t="shared" si="324"/>
        <v>12106000</v>
      </c>
      <c r="V1869" s="7">
        <f t="shared" si="325"/>
        <v>0</v>
      </c>
      <c r="W1869" s="7">
        <f t="shared" si="326"/>
        <v>0</v>
      </c>
      <c r="X1869" s="7">
        <f t="shared" si="327"/>
        <v>0</v>
      </c>
    </row>
    <row r="1870" spans="1:24">
      <c r="A1870">
        <v>1869</v>
      </c>
      <c r="B1870" s="96" t="s">
        <v>1734</v>
      </c>
      <c r="C1870" s="95">
        <v>42605</v>
      </c>
      <c r="D1870" s="82">
        <v>11163000</v>
      </c>
      <c r="E1870" s="82">
        <v>11127000</v>
      </c>
      <c r="F1870" s="82">
        <v>11174000</v>
      </c>
      <c r="G1870" s="82">
        <v>11163000</v>
      </c>
      <c r="I1870" s="97">
        <v>0</v>
      </c>
      <c r="J1870" s="97">
        <v>0</v>
      </c>
      <c r="K1870" s="97">
        <v>0</v>
      </c>
      <c r="M1870" s="7">
        <f t="shared" si="320"/>
        <v>0</v>
      </c>
      <c r="N1870" s="7">
        <f t="shared" si="329"/>
        <v>0</v>
      </c>
      <c r="O1870" s="7">
        <f t="shared" si="328"/>
        <v>29000</v>
      </c>
      <c r="P1870" s="99">
        <f t="shared" si="321"/>
        <v>2.6046344530267647E-3</v>
      </c>
      <c r="Q1870" s="99">
        <f t="shared" si="330"/>
        <v>-4.8186920412290639E-3</v>
      </c>
      <c r="S1870" s="7">
        <f t="shared" si="322"/>
        <v>12279300.000000002</v>
      </c>
      <c r="T1870" s="7">
        <f t="shared" si="323"/>
        <v>3721000</v>
      </c>
      <c r="U1870" s="7">
        <f t="shared" si="324"/>
        <v>12095500</v>
      </c>
      <c r="V1870" s="7">
        <f t="shared" si="325"/>
        <v>0</v>
      </c>
      <c r="W1870" s="7">
        <f t="shared" si="326"/>
        <v>0</v>
      </c>
      <c r="X1870" s="7">
        <f t="shared" si="327"/>
        <v>0</v>
      </c>
    </row>
    <row r="1871" spans="1:24">
      <c r="A1871">
        <v>1870</v>
      </c>
      <c r="B1871" s="96" t="s">
        <v>1733</v>
      </c>
      <c r="C1871" s="95">
        <v>42606</v>
      </c>
      <c r="D1871" s="82">
        <v>11097000</v>
      </c>
      <c r="E1871" s="82">
        <v>11082000</v>
      </c>
      <c r="F1871" s="82">
        <v>11165000</v>
      </c>
      <c r="G1871" s="82">
        <v>11097000</v>
      </c>
      <c r="I1871" s="98">
        <v>0</v>
      </c>
      <c r="J1871" s="98">
        <v>0</v>
      </c>
      <c r="K1871" s="98">
        <v>0</v>
      </c>
      <c r="M1871" s="7">
        <f t="shared" si="320"/>
        <v>0</v>
      </c>
      <c r="N1871" s="7">
        <f t="shared" si="329"/>
        <v>0</v>
      </c>
      <c r="O1871" s="7">
        <f t="shared" si="328"/>
        <v>-66000</v>
      </c>
      <c r="P1871" s="99">
        <f t="shared" si="321"/>
        <v>-5.9123891427035743E-3</v>
      </c>
      <c r="Q1871" s="99">
        <f t="shared" si="330"/>
        <v>-1.8565316675730535E-3</v>
      </c>
      <c r="S1871" s="7">
        <f t="shared" si="322"/>
        <v>12206700.000000002</v>
      </c>
      <c r="T1871" s="7">
        <f t="shared" si="323"/>
        <v>3699000</v>
      </c>
      <c r="U1871" s="7">
        <f t="shared" si="324"/>
        <v>12067500</v>
      </c>
      <c r="V1871" s="7">
        <f t="shared" si="325"/>
        <v>0</v>
      </c>
      <c r="W1871" s="7">
        <f t="shared" si="326"/>
        <v>0</v>
      </c>
      <c r="X1871" s="7">
        <f t="shared" si="327"/>
        <v>0</v>
      </c>
    </row>
    <row r="1872" spans="1:24">
      <c r="A1872">
        <v>1871</v>
      </c>
      <c r="B1872" s="96" t="s">
        <v>1732</v>
      </c>
      <c r="C1872" s="95">
        <v>42607</v>
      </c>
      <c r="D1872" s="82">
        <v>11090000</v>
      </c>
      <c r="E1872" s="82">
        <v>11081000</v>
      </c>
      <c r="F1872" s="82">
        <v>11112000</v>
      </c>
      <c r="G1872" s="82">
        <v>11090000</v>
      </c>
      <c r="I1872" s="82">
        <f>G1872*1.1</f>
        <v>12199000.000000002</v>
      </c>
      <c r="J1872" s="82">
        <f>G1872/3</f>
        <v>3696666.6666666665</v>
      </c>
      <c r="K1872" s="7">
        <f>G2140</f>
        <v>12086500</v>
      </c>
      <c r="L1872" s="7">
        <f>K1872-I1872</f>
        <v>-112500.00000000186</v>
      </c>
      <c r="M1872" s="7">
        <f t="shared" si="320"/>
        <v>462083.33333333326</v>
      </c>
      <c r="N1872" s="7">
        <f t="shared" si="329"/>
        <v>349583.33333333139</v>
      </c>
      <c r="O1872" s="7">
        <f t="shared" si="328"/>
        <v>-7000</v>
      </c>
      <c r="P1872" s="99">
        <f t="shared" si="321"/>
        <v>-6.3080111741912234E-4</v>
      </c>
      <c r="Q1872" s="99">
        <f t="shared" si="330"/>
        <v>-9.6466032137101036E-3</v>
      </c>
      <c r="R1872">
        <v>1</v>
      </c>
      <c r="S1872" s="7">
        <f t="shared" si="322"/>
        <v>12199000.000000002</v>
      </c>
      <c r="T1872" s="7">
        <f t="shared" si="323"/>
        <v>3696666.6666666665</v>
      </c>
      <c r="U1872" s="7">
        <f t="shared" si="324"/>
        <v>12086500</v>
      </c>
      <c r="V1872" s="7">
        <f t="shared" si="325"/>
        <v>-112500.00000000186</v>
      </c>
      <c r="W1872" s="7">
        <f t="shared" si="326"/>
        <v>462083.33333333326</v>
      </c>
      <c r="X1872" s="7">
        <f t="shared" si="327"/>
        <v>349583.33333333139</v>
      </c>
    </row>
    <row r="1873" spans="1:24">
      <c r="A1873">
        <v>1872</v>
      </c>
      <c r="B1873" s="96" t="s">
        <v>1731</v>
      </c>
      <c r="C1873" s="95">
        <v>42609</v>
      </c>
      <c r="D1873" s="82">
        <v>11115000</v>
      </c>
      <c r="E1873" s="82">
        <v>11095000</v>
      </c>
      <c r="F1873" s="82">
        <v>11119000</v>
      </c>
      <c r="G1873" s="82">
        <v>11115000</v>
      </c>
      <c r="I1873" s="97">
        <v>0</v>
      </c>
      <c r="J1873" s="97">
        <v>0</v>
      </c>
      <c r="K1873" s="97">
        <v>0</v>
      </c>
      <c r="M1873" s="7">
        <f t="shared" si="320"/>
        <v>0</v>
      </c>
      <c r="N1873" s="7">
        <f t="shared" si="329"/>
        <v>0</v>
      </c>
      <c r="O1873" s="7">
        <f t="shared" si="328"/>
        <v>25000</v>
      </c>
      <c r="P1873" s="99">
        <f t="shared" si="321"/>
        <v>2.254283137962128E-3</v>
      </c>
      <c r="Q1873" s="99">
        <f t="shared" si="330"/>
        <v>-4.476422626533064E-3</v>
      </c>
      <c r="S1873" s="7">
        <f t="shared" si="322"/>
        <v>12226500.000000002</v>
      </c>
      <c r="T1873" s="7">
        <f t="shared" si="323"/>
        <v>3705000</v>
      </c>
      <c r="U1873" s="7">
        <f t="shared" si="324"/>
        <v>12072000</v>
      </c>
      <c r="V1873" s="7">
        <f t="shared" si="325"/>
        <v>0</v>
      </c>
      <c r="W1873" s="7">
        <f t="shared" si="326"/>
        <v>0</v>
      </c>
      <c r="X1873" s="7">
        <f t="shared" si="327"/>
        <v>0</v>
      </c>
    </row>
    <row r="1874" spans="1:24">
      <c r="A1874">
        <v>1873</v>
      </c>
      <c r="B1874" s="96" t="s">
        <v>1730</v>
      </c>
      <c r="C1874" s="95">
        <v>42610</v>
      </c>
      <c r="D1874" s="82">
        <v>11114000</v>
      </c>
      <c r="E1874" s="82">
        <v>11107000</v>
      </c>
      <c r="F1874" s="82">
        <v>11123000</v>
      </c>
      <c r="G1874" s="82">
        <v>11114000</v>
      </c>
      <c r="I1874" s="97">
        <v>0</v>
      </c>
      <c r="J1874" s="97">
        <v>0</v>
      </c>
      <c r="K1874" s="97">
        <v>0</v>
      </c>
      <c r="M1874" s="7">
        <f t="shared" si="320"/>
        <v>0</v>
      </c>
      <c r="N1874" s="7">
        <f t="shared" si="329"/>
        <v>0</v>
      </c>
      <c r="O1874" s="7">
        <f t="shared" si="328"/>
        <v>-1000</v>
      </c>
      <c r="P1874" s="99">
        <f t="shared" si="321"/>
        <v>-8.9968511021142601E-5</v>
      </c>
      <c r="Q1874" s="99">
        <f t="shared" si="330"/>
        <v>-2.850505736326771E-3</v>
      </c>
      <c r="S1874" s="7">
        <f t="shared" si="322"/>
        <v>12225400.000000002</v>
      </c>
      <c r="T1874" s="7">
        <f t="shared" si="323"/>
        <v>3704666.6666666665</v>
      </c>
      <c r="U1874" s="7">
        <f t="shared" si="324"/>
        <v>12060500</v>
      </c>
      <c r="V1874" s="7">
        <f t="shared" si="325"/>
        <v>0</v>
      </c>
      <c r="W1874" s="7">
        <f t="shared" si="326"/>
        <v>0</v>
      </c>
      <c r="X1874" s="7">
        <f t="shared" si="327"/>
        <v>0</v>
      </c>
    </row>
    <row r="1875" spans="1:24">
      <c r="A1875">
        <v>1874</v>
      </c>
      <c r="B1875" s="96" t="s">
        <v>1729</v>
      </c>
      <c r="C1875" s="95">
        <v>42611</v>
      </c>
      <c r="D1875" s="82">
        <v>11150000</v>
      </c>
      <c r="E1875" s="82">
        <v>11102000</v>
      </c>
      <c r="F1875" s="82">
        <v>11160000</v>
      </c>
      <c r="G1875" s="82">
        <v>11150000</v>
      </c>
      <c r="I1875" s="97">
        <v>0</v>
      </c>
      <c r="J1875" s="97">
        <v>0</v>
      </c>
      <c r="K1875" s="97">
        <v>0</v>
      </c>
      <c r="M1875" s="7">
        <f t="shared" si="320"/>
        <v>0</v>
      </c>
      <c r="N1875" s="7">
        <f t="shared" si="329"/>
        <v>0</v>
      </c>
      <c r="O1875" s="7">
        <f t="shared" si="328"/>
        <v>36000</v>
      </c>
      <c r="P1875" s="99">
        <f t="shared" si="321"/>
        <v>3.2391578189670685E-3</v>
      </c>
      <c r="Q1875" s="99">
        <f t="shared" si="330"/>
        <v>-1.7742411801549463E-3</v>
      </c>
      <c r="S1875" s="7">
        <f t="shared" si="322"/>
        <v>12265000.000000002</v>
      </c>
      <c r="T1875" s="7">
        <f t="shared" si="323"/>
        <v>3716666.6666666665</v>
      </c>
      <c r="U1875" s="7">
        <f t="shared" si="324"/>
        <v>12050000</v>
      </c>
      <c r="V1875" s="7">
        <f t="shared" si="325"/>
        <v>0</v>
      </c>
      <c r="W1875" s="7">
        <f t="shared" si="326"/>
        <v>0</v>
      </c>
      <c r="X1875" s="7">
        <f t="shared" si="327"/>
        <v>0</v>
      </c>
    </row>
    <row r="1876" spans="1:24">
      <c r="A1876">
        <v>1875</v>
      </c>
      <c r="B1876" s="96" t="s">
        <v>1728</v>
      </c>
      <c r="C1876" s="95">
        <v>42612</v>
      </c>
      <c r="D1876" s="82">
        <v>11127000</v>
      </c>
      <c r="E1876" s="82">
        <v>11127000</v>
      </c>
      <c r="F1876" s="82">
        <v>11156000</v>
      </c>
      <c r="G1876" s="82">
        <v>11127000</v>
      </c>
      <c r="I1876" s="98">
        <v>0</v>
      </c>
      <c r="J1876" s="98">
        <v>0</v>
      </c>
      <c r="K1876" s="98">
        <v>0</v>
      </c>
      <c r="M1876" s="7">
        <f t="shared" si="320"/>
        <v>0</v>
      </c>
      <c r="N1876" s="7">
        <f t="shared" si="329"/>
        <v>0</v>
      </c>
      <c r="O1876" s="7">
        <f t="shared" si="328"/>
        <v>-23000</v>
      </c>
      <c r="P1876" s="99">
        <f t="shared" si="321"/>
        <v>-2.0627802690582958E-3</v>
      </c>
      <c r="Q1876" s="99">
        <f t="shared" si="330"/>
        <v>-1.1397178142146425E-3</v>
      </c>
      <c r="S1876" s="7">
        <f t="shared" si="322"/>
        <v>12239700.000000002</v>
      </c>
      <c r="T1876" s="7">
        <f t="shared" si="323"/>
        <v>3709000</v>
      </c>
      <c r="U1876" s="7">
        <f t="shared" si="324"/>
        <v>12045000</v>
      </c>
      <c r="V1876" s="7">
        <f t="shared" si="325"/>
        <v>0</v>
      </c>
      <c r="W1876" s="7">
        <f t="shared" si="326"/>
        <v>0</v>
      </c>
      <c r="X1876" s="7">
        <f t="shared" si="327"/>
        <v>0</v>
      </c>
    </row>
    <row r="1877" spans="1:24">
      <c r="A1877">
        <v>1876</v>
      </c>
      <c r="B1877" s="96" t="s">
        <v>1727</v>
      </c>
      <c r="C1877" s="95">
        <v>42613</v>
      </c>
      <c r="D1877" s="82">
        <v>11094000</v>
      </c>
      <c r="E1877" s="82">
        <v>11087000</v>
      </c>
      <c r="F1877" s="82">
        <v>11129000</v>
      </c>
      <c r="G1877" s="82">
        <v>11094000</v>
      </c>
      <c r="I1877" s="82">
        <f>G1877*1.1</f>
        <v>12203400.000000002</v>
      </c>
      <c r="J1877" s="82">
        <f>G1877/3</f>
        <v>3698000</v>
      </c>
      <c r="K1877" s="7">
        <f>G2145</f>
        <v>12046500</v>
      </c>
      <c r="L1877" s="7">
        <f>K1877-I1877</f>
        <v>-156900.00000000186</v>
      </c>
      <c r="M1877" s="7">
        <f t="shared" si="320"/>
        <v>462250</v>
      </c>
      <c r="N1877" s="7">
        <f t="shared" si="329"/>
        <v>305349.99999999814</v>
      </c>
      <c r="O1877" s="7">
        <f t="shared" si="328"/>
        <v>-33000</v>
      </c>
      <c r="P1877" s="99">
        <f t="shared" si="321"/>
        <v>-2.9657589646805067E-3</v>
      </c>
      <c r="Q1877" s="99">
        <f t="shared" si="330"/>
        <v>2.7098910594306356E-3</v>
      </c>
      <c r="R1877">
        <v>1</v>
      </c>
      <c r="S1877" s="7">
        <f t="shared" si="322"/>
        <v>12203400.000000002</v>
      </c>
      <c r="T1877" s="7">
        <f t="shared" si="323"/>
        <v>3698000</v>
      </c>
      <c r="U1877" s="7">
        <f t="shared" si="324"/>
        <v>12046500</v>
      </c>
      <c r="V1877" s="7">
        <f t="shared" si="325"/>
        <v>-156900.00000000186</v>
      </c>
      <c r="W1877" s="7">
        <f t="shared" si="326"/>
        <v>462250</v>
      </c>
      <c r="X1877" s="7">
        <f t="shared" si="327"/>
        <v>305349.99999999814</v>
      </c>
    </row>
    <row r="1878" spans="1:24">
      <c r="A1878">
        <v>1877</v>
      </c>
      <c r="B1878" s="96" t="s">
        <v>1726</v>
      </c>
      <c r="C1878" s="95">
        <v>42614</v>
      </c>
      <c r="D1878" s="82">
        <v>11115000</v>
      </c>
      <c r="E1878" s="82">
        <v>11085000</v>
      </c>
      <c r="F1878" s="82">
        <v>11122000</v>
      </c>
      <c r="G1878" s="82">
        <v>11115000</v>
      </c>
      <c r="I1878" s="97">
        <v>0</v>
      </c>
      <c r="J1878" s="97">
        <v>0</v>
      </c>
      <c r="K1878" s="97">
        <v>0</v>
      </c>
      <c r="M1878" s="7">
        <f t="shared" si="320"/>
        <v>0</v>
      </c>
      <c r="N1878" s="7">
        <f t="shared" si="329"/>
        <v>0</v>
      </c>
      <c r="O1878" s="7">
        <f t="shared" si="328"/>
        <v>21000</v>
      </c>
      <c r="P1878" s="99">
        <f t="shared" si="321"/>
        <v>1.8929150892374256E-3</v>
      </c>
      <c r="Q1878" s="99">
        <f t="shared" si="330"/>
        <v>3.7493321216925139E-4</v>
      </c>
      <c r="S1878" s="7">
        <f t="shared" si="322"/>
        <v>12226500.000000002</v>
      </c>
      <c r="T1878" s="7">
        <f t="shared" si="323"/>
        <v>3705000</v>
      </c>
      <c r="U1878" s="7">
        <f t="shared" si="324"/>
        <v>12007500</v>
      </c>
      <c r="V1878" s="7">
        <f t="shared" si="325"/>
        <v>0</v>
      </c>
      <c r="W1878" s="7">
        <f t="shared" si="326"/>
        <v>0</v>
      </c>
      <c r="X1878" s="7">
        <f t="shared" si="327"/>
        <v>0</v>
      </c>
    </row>
    <row r="1879" spans="1:24">
      <c r="A1879">
        <v>1878</v>
      </c>
      <c r="B1879" s="96" t="s">
        <v>1725</v>
      </c>
      <c r="C1879" s="95">
        <v>42616</v>
      </c>
      <c r="D1879" s="82">
        <v>11198000</v>
      </c>
      <c r="E1879" s="82">
        <v>11169000</v>
      </c>
      <c r="F1879" s="82">
        <v>11214000</v>
      </c>
      <c r="G1879" s="82">
        <v>11198000</v>
      </c>
      <c r="I1879" s="97">
        <v>0</v>
      </c>
      <c r="J1879" s="97">
        <v>0</v>
      </c>
      <c r="K1879" s="97">
        <v>0</v>
      </c>
      <c r="M1879" s="7">
        <f t="shared" si="320"/>
        <v>0</v>
      </c>
      <c r="N1879" s="7">
        <f t="shared" si="329"/>
        <v>0</v>
      </c>
      <c r="O1879" s="7">
        <f t="shared" si="328"/>
        <v>83000</v>
      </c>
      <c r="P1879" s="99">
        <f t="shared" si="321"/>
        <v>7.4673864147548358E-3</v>
      </c>
      <c r="Q1879" s="99">
        <f t="shared" si="330"/>
        <v>1.3565163444549016E-5</v>
      </c>
      <c r="S1879" s="7">
        <f t="shared" si="322"/>
        <v>12317800.000000002</v>
      </c>
      <c r="T1879" s="7">
        <f t="shared" si="323"/>
        <v>3732666.6666666665</v>
      </c>
      <c r="U1879" s="7">
        <f t="shared" si="324"/>
        <v>12023000</v>
      </c>
      <c r="V1879" s="7">
        <f t="shared" si="325"/>
        <v>0</v>
      </c>
      <c r="W1879" s="7">
        <f t="shared" si="326"/>
        <v>0</v>
      </c>
      <c r="X1879" s="7">
        <f t="shared" si="327"/>
        <v>0</v>
      </c>
    </row>
    <row r="1880" spans="1:24">
      <c r="A1880">
        <v>1879</v>
      </c>
      <c r="B1880" s="96" t="s">
        <v>1724</v>
      </c>
      <c r="C1880" s="95">
        <v>42617</v>
      </c>
      <c r="D1880" s="82">
        <v>11197000</v>
      </c>
      <c r="E1880" s="82">
        <v>11192000</v>
      </c>
      <c r="F1880" s="82">
        <v>11210000</v>
      </c>
      <c r="G1880" s="82">
        <v>11197000</v>
      </c>
      <c r="I1880" s="97">
        <v>0</v>
      </c>
      <c r="J1880" s="97">
        <v>0</v>
      </c>
      <c r="K1880" s="97">
        <v>0</v>
      </c>
      <c r="M1880" s="7">
        <f t="shared" si="320"/>
        <v>0</v>
      </c>
      <c r="N1880" s="7">
        <f t="shared" si="329"/>
        <v>0</v>
      </c>
      <c r="O1880" s="7">
        <f t="shared" si="328"/>
        <v>-1000</v>
      </c>
      <c r="P1880" s="99">
        <f t="shared" si="321"/>
        <v>-8.9301661010894801E-5</v>
      </c>
      <c r="Q1880" s="99">
        <f t="shared" si="330"/>
        <v>7.5709200892205277E-3</v>
      </c>
      <c r="S1880" s="7">
        <f t="shared" si="322"/>
        <v>12316700.000000002</v>
      </c>
      <c r="T1880" s="7">
        <f t="shared" si="323"/>
        <v>3732333.3333333335</v>
      </c>
      <c r="U1880" s="7">
        <f t="shared" si="324"/>
        <v>11993000</v>
      </c>
      <c r="V1880" s="7">
        <f t="shared" si="325"/>
        <v>0</v>
      </c>
      <c r="W1880" s="7">
        <f t="shared" si="326"/>
        <v>0</v>
      </c>
      <c r="X1880" s="7">
        <f t="shared" si="327"/>
        <v>0</v>
      </c>
    </row>
    <row r="1881" spans="1:24">
      <c r="A1881">
        <v>1880</v>
      </c>
      <c r="B1881" s="96" t="s">
        <v>1723</v>
      </c>
      <c r="C1881" s="95">
        <v>42618</v>
      </c>
      <c r="D1881" s="82">
        <v>11164000</v>
      </c>
      <c r="E1881" s="82">
        <v>11144000</v>
      </c>
      <c r="F1881" s="82">
        <v>11207000</v>
      </c>
      <c r="G1881" s="82">
        <v>11164000</v>
      </c>
      <c r="I1881" s="98">
        <v>0</v>
      </c>
      <c r="J1881" s="98">
        <v>0</v>
      </c>
      <c r="K1881" s="98">
        <v>0</v>
      </c>
      <c r="M1881" s="7">
        <f t="shared" si="320"/>
        <v>0</v>
      </c>
      <c r="N1881" s="7">
        <f t="shared" si="329"/>
        <v>0</v>
      </c>
      <c r="O1881" s="7">
        <f t="shared" si="328"/>
        <v>-33000</v>
      </c>
      <c r="P1881" s="99">
        <f t="shared" si="321"/>
        <v>-2.9472180048227205E-3</v>
      </c>
      <c r="Q1881" s="99">
        <f t="shared" si="330"/>
        <v>4.2424606092425644E-3</v>
      </c>
      <c r="S1881" s="7">
        <f t="shared" si="322"/>
        <v>12280400.000000002</v>
      </c>
      <c r="T1881" s="7">
        <f t="shared" si="323"/>
        <v>3721333.3333333335</v>
      </c>
      <c r="U1881" s="7">
        <f t="shared" si="324"/>
        <v>12025500</v>
      </c>
      <c r="V1881" s="7">
        <f t="shared" si="325"/>
        <v>0</v>
      </c>
      <c r="W1881" s="7">
        <f t="shared" si="326"/>
        <v>0</v>
      </c>
      <c r="X1881" s="7">
        <f t="shared" si="327"/>
        <v>0</v>
      </c>
    </row>
    <row r="1882" spans="1:24">
      <c r="A1882">
        <v>1881</v>
      </c>
      <c r="B1882" s="96" t="s">
        <v>1722</v>
      </c>
      <c r="C1882" s="95">
        <v>42619</v>
      </c>
      <c r="D1882" s="82">
        <v>11230000</v>
      </c>
      <c r="E1882" s="82">
        <v>11157000</v>
      </c>
      <c r="F1882" s="82">
        <v>11231000</v>
      </c>
      <c r="G1882" s="82">
        <v>11230000</v>
      </c>
      <c r="I1882" s="82">
        <f>G1882*1.1</f>
        <v>12353000.000000002</v>
      </c>
      <c r="J1882" s="82">
        <f>G1882/3</f>
        <v>3743333.3333333335</v>
      </c>
      <c r="K1882" s="7">
        <f>G2150</f>
        <v>12117500</v>
      </c>
      <c r="L1882" s="7">
        <f>K1882-I1882</f>
        <v>-235500.00000000186</v>
      </c>
      <c r="M1882" s="7">
        <f t="shared" si="320"/>
        <v>467916.66666666674</v>
      </c>
      <c r="N1882" s="7">
        <f t="shared" si="329"/>
        <v>232416.66666666488</v>
      </c>
      <c r="O1882" s="7">
        <f t="shared" si="328"/>
        <v>66000</v>
      </c>
      <c r="P1882" s="99">
        <f t="shared" si="321"/>
        <v>5.911859548548907E-3</v>
      </c>
      <c r="Q1882" s="99">
        <f t="shared" si="330"/>
        <v>3.3580228734781396E-3</v>
      </c>
      <c r="R1882">
        <v>1</v>
      </c>
      <c r="S1882" s="7">
        <f t="shared" si="322"/>
        <v>12353000.000000002</v>
      </c>
      <c r="T1882" s="7">
        <f t="shared" si="323"/>
        <v>3743333.3333333335</v>
      </c>
      <c r="U1882" s="7">
        <f t="shared" si="324"/>
        <v>12117500</v>
      </c>
      <c r="V1882" s="7">
        <f t="shared" si="325"/>
        <v>-235500.00000000186</v>
      </c>
      <c r="W1882" s="7">
        <f t="shared" si="326"/>
        <v>467916.66666666674</v>
      </c>
      <c r="X1882" s="7">
        <f t="shared" si="327"/>
        <v>232416.66666666488</v>
      </c>
    </row>
    <row r="1883" spans="1:24">
      <c r="A1883">
        <v>1882</v>
      </c>
      <c r="B1883" s="96" t="s">
        <v>1721</v>
      </c>
      <c r="C1883" s="95">
        <v>42620</v>
      </c>
      <c r="D1883" s="82">
        <v>11216000</v>
      </c>
      <c r="E1883" s="82">
        <v>11209000</v>
      </c>
      <c r="F1883" s="82">
        <v>11275000</v>
      </c>
      <c r="G1883" s="82">
        <v>11216000</v>
      </c>
      <c r="I1883" s="97">
        <v>0</v>
      </c>
      <c r="J1883" s="97">
        <v>0</v>
      </c>
      <c r="K1883" s="97">
        <v>0</v>
      </c>
      <c r="M1883" s="7">
        <f t="shared" si="320"/>
        <v>0</v>
      </c>
      <c r="N1883" s="7">
        <f t="shared" si="329"/>
        <v>0</v>
      </c>
      <c r="O1883" s="7">
        <f t="shared" si="328"/>
        <v>-14000</v>
      </c>
      <c r="P1883" s="99">
        <f t="shared" si="321"/>
        <v>-1.2466607301869991E-3</v>
      </c>
      <c r="Q1883" s="99">
        <f t="shared" si="330"/>
        <v>1.2235641386707553E-2</v>
      </c>
      <c r="S1883" s="7">
        <f t="shared" si="322"/>
        <v>12337600.000000002</v>
      </c>
      <c r="T1883" s="7">
        <f t="shared" si="323"/>
        <v>3738666.6666666665</v>
      </c>
      <c r="U1883" s="7">
        <f t="shared" si="324"/>
        <v>12128000</v>
      </c>
      <c r="V1883" s="7">
        <f t="shared" si="325"/>
        <v>0</v>
      </c>
      <c r="W1883" s="7">
        <f t="shared" si="326"/>
        <v>0</v>
      </c>
      <c r="X1883" s="7">
        <f t="shared" si="327"/>
        <v>0</v>
      </c>
    </row>
    <row r="1884" spans="1:24">
      <c r="A1884">
        <v>1883</v>
      </c>
      <c r="B1884" s="96" t="s">
        <v>1720</v>
      </c>
      <c r="C1884" s="95">
        <v>42621</v>
      </c>
      <c r="D1884" s="82">
        <v>11219000</v>
      </c>
      <c r="E1884" s="82">
        <v>11216000</v>
      </c>
      <c r="F1884" s="82">
        <v>11262000</v>
      </c>
      <c r="G1884" s="82">
        <v>11219000</v>
      </c>
      <c r="I1884" s="97">
        <v>0</v>
      </c>
      <c r="J1884" s="97">
        <v>0</v>
      </c>
      <c r="K1884" s="97">
        <v>0</v>
      </c>
      <c r="M1884" s="7">
        <f t="shared" si="320"/>
        <v>0</v>
      </c>
      <c r="N1884" s="7">
        <f t="shared" si="329"/>
        <v>0</v>
      </c>
      <c r="O1884" s="7">
        <f t="shared" si="328"/>
        <v>3000</v>
      </c>
      <c r="P1884" s="99">
        <f t="shared" si="321"/>
        <v>2.674750356633381E-4</v>
      </c>
      <c r="Q1884" s="99">
        <f t="shared" si="330"/>
        <v>9.0960655672831289E-3</v>
      </c>
      <c r="S1884" s="7">
        <f t="shared" si="322"/>
        <v>12340900.000000002</v>
      </c>
      <c r="T1884" s="7">
        <f t="shared" si="323"/>
        <v>3739666.6666666665</v>
      </c>
      <c r="U1884" s="7">
        <f t="shared" si="324"/>
        <v>12215000</v>
      </c>
      <c r="V1884" s="7">
        <f t="shared" si="325"/>
        <v>0</v>
      </c>
      <c r="W1884" s="7">
        <f t="shared" si="326"/>
        <v>0</v>
      </c>
      <c r="X1884" s="7">
        <f t="shared" si="327"/>
        <v>0</v>
      </c>
    </row>
    <row r="1885" spans="1:24">
      <c r="A1885">
        <v>1884</v>
      </c>
      <c r="B1885" s="96" t="s">
        <v>1719</v>
      </c>
      <c r="C1885" s="95">
        <v>42623</v>
      </c>
      <c r="D1885" s="82">
        <v>11148000</v>
      </c>
      <c r="E1885" s="82">
        <v>11137000</v>
      </c>
      <c r="F1885" s="82">
        <v>11178000</v>
      </c>
      <c r="G1885" s="82">
        <v>11148000</v>
      </c>
      <c r="I1885" s="97">
        <v>0</v>
      </c>
      <c r="J1885" s="97">
        <v>0</v>
      </c>
      <c r="K1885" s="97">
        <v>0</v>
      </c>
      <c r="M1885" s="7">
        <f t="shared" si="320"/>
        <v>0</v>
      </c>
      <c r="N1885" s="7">
        <f t="shared" si="329"/>
        <v>0</v>
      </c>
      <c r="O1885" s="7">
        <f t="shared" si="328"/>
        <v>-71000</v>
      </c>
      <c r="P1885" s="99">
        <f t="shared" si="321"/>
        <v>-6.3285497816204656E-3</v>
      </c>
      <c r="Q1885" s="99">
        <f t="shared" si="330"/>
        <v>1.8961541881916306E-3</v>
      </c>
      <c r="S1885" s="7">
        <f t="shared" si="322"/>
        <v>12262800.000000002</v>
      </c>
      <c r="T1885" s="7">
        <f t="shared" si="323"/>
        <v>3716000</v>
      </c>
      <c r="U1885" s="7">
        <f t="shared" si="324"/>
        <v>12193000</v>
      </c>
      <c r="V1885" s="7">
        <f t="shared" si="325"/>
        <v>0</v>
      </c>
      <c r="W1885" s="7">
        <f t="shared" si="326"/>
        <v>0</v>
      </c>
      <c r="X1885" s="7">
        <f t="shared" si="327"/>
        <v>0</v>
      </c>
    </row>
    <row r="1886" spans="1:24">
      <c r="A1886">
        <v>1885</v>
      </c>
      <c r="B1886" s="96" t="s">
        <v>1718</v>
      </c>
      <c r="C1886" s="95">
        <v>42624</v>
      </c>
      <c r="D1886" s="82">
        <v>11170000</v>
      </c>
      <c r="E1886" s="82">
        <v>11148000</v>
      </c>
      <c r="F1886" s="82">
        <v>11171000</v>
      </c>
      <c r="G1886" s="82">
        <v>11170000</v>
      </c>
      <c r="I1886" s="98">
        <v>0</v>
      </c>
      <c r="J1886" s="98">
        <v>0</v>
      </c>
      <c r="K1886" s="98">
        <v>0</v>
      </c>
      <c r="M1886" s="7">
        <f t="shared" si="320"/>
        <v>0</v>
      </c>
      <c r="N1886" s="7">
        <f t="shared" si="329"/>
        <v>0</v>
      </c>
      <c r="O1886" s="7">
        <f t="shared" si="328"/>
        <v>22000</v>
      </c>
      <c r="P1886" s="99">
        <f t="shared" si="321"/>
        <v>1.9734481521349119E-3</v>
      </c>
      <c r="Q1886" s="99">
        <f t="shared" si="330"/>
        <v>-4.3430939324179399E-3</v>
      </c>
      <c r="S1886" s="7">
        <f t="shared" si="322"/>
        <v>12287000.000000002</v>
      </c>
      <c r="T1886" s="7">
        <f t="shared" si="323"/>
        <v>3723333.3333333335</v>
      </c>
      <c r="U1886" s="7">
        <f t="shared" si="324"/>
        <v>12168500</v>
      </c>
      <c r="V1886" s="7">
        <f t="shared" si="325"/>
        <v>0</v>
      </c>
      <c r="W1886" s="7">
        <f t="shared" si="326"/>
        <v>0</v>
      </c>
      <c r="X1886" s="7">
        <f t="shared" si="327"/>
        <v>0</v>
      </c>
    </row>
    <row r="1887" spans="1:24">
      <c r="A1887">
        <v>1886</v>
      </c>
      <c r="B1887" s="96" t="s">
        <v>1717</v>
      </c>
      <c r="C1887" s="95">
        <v>42625</v>
      </c>
      <c r="D1887" s="82">
        <v>11155000</v>
      </c>
      <c r="E1887" s="82">
        <v>11152000</v>
      </c>
      <c r="F1887" s="82">
        <v>11189000</v>
      </c>
      <c r="G1887" s="82">
        <v>11155000</v>
      </c>
      <c r="I1887" s="82">
        <f>G1887*1.1</f>
        <v>12270500.000000002</v>
      </c>
      <c r="J1887" s="82">
        <f>G1887/3</f>
        <v>3718333.3333333335</v>
      </c>
      <c r="K1887" s="7">
        <f>G2155</f>
        <v>12177500</v>
      </c>
      <c r="L1887" s="7">
        <f>K1887-I1887</f>
        <v>-93000.000000001863</v>
      </c>
      <c r="M1887" s="7">
        <f t="shared" si="320"/>
        <v>464791.66666666674</v>
      </c>
      <c r="N1887" s="7">
        <f t="shared" si="329"/>
        <v>371791.66666666488</v>
      </c>
      <c r="O1887" s="7">
        <f t="shared" si="328"/>
        <v>-15000</v>
      </c>
      <c r="P1887" s="99">
        <f t="shared" si="321"/>
        <v>-1.3428827215756492E-3</v>
      </c>
      <c r="Q1887" s="99">
        <f t="shared" si="330"/>
        <v>5.7757222453969298E-4</v>
      </c>
      <c r="R1887">
        <v>1</v>
      </c>
      <c r="S1887" s="7">
        <f t="shared" si="322"/>
        <v>12270500.000000002</v>
      </c>
      <c r="T1887" s="7">
        <f t="shared" si="323"/>
        <v>3718333.3333333335</v>
      </c>
      <c r="U1887" s="7">
        <f t="shared" si="324"/>
        <v>12177500</v>
      </c>
      <c r="V1887" s="7">
        <f t="shared" si="325"/>
        <v>-93000.000000001863</v>
      </c>
      <c r="W1887" s="7">
        <f t="shared" si="326"/>
        <v>464791.66666666674</v>
      </c>
      <c r="X1887" s="7">
        <f t="shared" si="327"/>
        <v>371791.66666666488</v>
      </c>
    </row>
    <row r="1888" spans="1:24">
      <c r="A1888">
        <v>1887</v>
      </c>
      <c r="B1888" s="96" t="s">
        <v>1716</v>
      </c>
      <c r="C1888" s="95">
        <v>42626</v>
      </c>
      <c r="D1888" s="82">
        <v>11161000</v>
      </c>
      <c r="E1888" s="82">
        <v>11140000</v>
      </c>
      <c r="F1888" s="82">
        <v>11171000</v>
      </c>
      <c r="G1888" s="82">
        <v>11161000</v>
      </c>
      <c r="I1888" s="97">
        <v>0</v>
      </c>
      <c r="J1888" s="97">
        <v>0</v>
      </c>
      <c r="K1888" s="97">
        <v>0</v>
      </c>
      <c r="M1888" s="7">
        <f t="shared" si="320"/>
        <v>0</v>
      </c>
      <c r="N1888" s="7">
        <f t="shared" si="329"/>
        <v>0</v>
      </c>
      <c r="O1888" s="7">
        <f t="shared" si="328"/>
        <v>6000</v>
      </c>
      <c r="P1888" s="99">
        <f t="shared" si="321"/>
        <v>5.3787539220080682E-4</v>
      </c>
      <c r="Q1888" s="99">
        <f t="shared" si="330"/>
        <v>-6.6771700455848645E-3</v>
      </c>
      <c r="S1888" s="7">
        <f t="shared" si="322"/>
        <v>12277100.000000002</v>
      </c>
      <c r="T1888" s="7">
        <f t="shared" si="323"/>
        <v>3720333.3333333335</v>
      </c>
      <c r="U1888" s="7">
        <f t="shared" si="324"/>
        <v>12203500</v>
      </c>
      <c r="V1888" s="7">
        <f t="shared" si="325"/>
        <v>0</v>
      </c>
      <c r="W1888" s="7">
        <f t="shared" si="326"/>
        <v>0</v>
      </c>
      <c r="X1888" s="7">
        <f t="shared" si="327"/>
        <v>0</v>
      </c>
    </row>
    <row r="1889" spans="1:24">
      <c r="A1889">
        <v>1888</v>
      </c>
      <c r="B1889" s="96" t="s">
        <v>1715</v>
      </c>
      <c r="C1889" s="95">
        <v>42627</v>
      </c>
      <c r="D1889" s="82">
        <v>11155000</v>
      </c>
      <c r="E1889" s="82">
        <v>11149000</v>
      </c>
      <c r="F1889" s="82">
        <v>11172000</v>
      </c>
      <c r="G1889" s="82">
        <v>11155000</v>
      </c>
      <c r="I1889" s="97">
        <v>0</v>
      </c>
      <c r="J1889" s="97">
        <v>0</v>
      </c>
      <c r="K1889" s="97">
        <v>0</v>
      </c>
      <c r="M1889" s="7">
        <f t="shared" si="320"/>
        <v>0</v>
      </c>
      <c r="N1889" s="7">
        <f t="shared" si="329"/>
        <v>0</v>
      </c>
      <c r="O1889" s="7">
        <f t="shared" si="328"/>
        <v>-6000</v>
      </c>
      <c r="P1889" s="99">
        <f t="shared" si="321"/>
        <v>-5.3758623779231248E-4</v>
      </c>
      <c r="Q1889" s="99">
        <f t="shared" si="330"/>
        <v>-4.8926339231970583E-3</v>
      </c>
      <c r="S1889" s="7">
        <f t="shared" si="322"/>
        <v>12270500.000000002</v>
      </c>
      <c r="T1889" s="7">
        <f t="shared" si="323"/>
        <v>3718333.3333333335</v>
      </c>
      <c r="U1889" s="7">
        <f t="shared" si="324"/>
        <v>12196500</v>
      </c>
      <c r="V1889" s="7">
        <f t="shared" si="325"/>
        <v>0</v>
      </c>
      <c r="W1889" s="7">
        <f t="shared" si="326"/>
        <v>0</v>
      </c>
      <c r="X1889" s="7">
        <f t="shared" si="327"/>
        <v>0</v>
      </c>
    </row>
    <row r="1890" spans="1:24">
      <c r="A1890">
        <v>1889</v>
      </c>
      <c r="B1890" s="96" t="s">
        <v>1714</v>
      </c>
      <c r="C1890" s="95">
        <v>42628</v>
      </c>
      <c r="D1890" s="82">
        <v>11155000</v>
      </c>
      <c r="E1890" s="82">
        <v>11132000</v>
      </c>
      <c r="F1890" s="82">
        <v>11190000</v>
      </c>
      <c r="G1890" s="82">
        <v>11155000</v>
      </c>
      <c r="I1890" s="97">
        <v>0</v>
      </c>
      <c r="J1890" s="97">
        <v>0</v>
      </c>
      <c r="K1890" s="97">
        <v>0</v>
      </c>
      <c r="M1890" s="7">
        <f t="shared" si="320"/>
        <v>0</v>
      </c>
      <c r="N1890" s="7">
        <f t="shared" si="329"/>
        <v>0</v>
      </c>
      <c r="O1890" s="7">
        <f t="shared" si="328"/>
        <v>0</v>
      </c>
      <c r="P1890" s="99">
        <f t="shared" si="321"/>
        <v>0</v>
      </c>
      <c r="Q1890" s="99">
        <f t="shared" si="330"/>
        <v>-5.6976951966527089E-3</v>
      </c>
      <c r="S1890" s="7">
        <f t="shared" si="322"/>
        <v>12270500.000000002</v>
      </c>
      <c r="T1890" s="7">
        <f t="shared" si="323"/>
        <v>3718333.3333333335</v>
      </c>
      <c r="U1890" s="7">
        <f t="shared" si="324"/>
        <v>12181500</v>
      </c>
      <c r="V1890" s="7">
        <f t="shared" si="325"/>
        <v>0</v>
      </c>
      <c r="W1890" s="7">
        <f t="shared" si="326"/>
        <v>0</v>
      </c>
      <c r="X1890" s="7">
        <f t="shared" si="327"/>
        <v>0</v>
      </c>
    </row>
    <row r="1891" spans="1:24">
      <c r="A1891">
        <v>1890</v>
      </c>
      <c r="B1891" s="96" t="s">
        <v>1713</v>
      </c>
      <c r="C1891" s="95">
        <v>42630</v>
      </c>
      <c r="D1891" s="82">
        <v>11126000</v>
      </c>
      <c r="E1891" s="82">
        <v>11112000</v>
      </c>
      <c r="F1891" s="82">
        <v>11130000</v>
      </c>
      <c r="G1891" s="82">
        <v>11126000</v>
      </c>
      <c r="I1891" s="98">
        <v>0</v>
      </c>
      <c r="J1891" s="98">
        <v>0</v>
      </c>
      <c r="K1891" s="98">
        <v>0</v>
      </c>
      <c r="M1891" s="7">
        <f t="shared" si="320"/>
        <v>0</v>
      </c>
      <c r="N1891" s="7">
        <f t="shared" si="329"/>
        <v>0</v>
      </c>
      <c r="O1891" s="7">
        <f t="shared" si="328"/>
        <v>-29000</v>
      </c>
      <c r="P1891" s="99">
        <f t="shared" si="321"/>
        <v>-2.5997310623038995E-3</v>
      </c>
      <c r="Q1891" s="99">
        <f t="shared" si="330"/>
        <v>6.3085458496775699E-4</v>
      </c>
      <c r="S1891" s="7">
        <f t="shared" si="322"/>
        <v>12238600.000000002</v>
      </c>
      <c r="T1891" s="7">
        <f t="shared" si="323"/>
        <v>3708666.6666666665</v>
      </c>
      <c r="U1891" s="7">
        <f t="shared" si="324"/>
        <v>12147500</v>
      </c>
      <c r="V1891" s="7">
        <f t="shared" si="325"/>
        <v>0</v>
      </c>
      <c r="W1891" s="7">
        <f t="shared" si="326"/>
        <v>0</v>
      </c>
      <c r="X1891" s="7">
        <f t="shared" si="327"/>
        <v>0</v>
      </c>
    </row>
    <row r="1892" spans="1:24">
      <c r="A1892">
        <v>1891</v>
      </c>
      <c r="B1892" s="96" t="s">
        <v>1712</v>
      </c>
      <c r="C1892" s="95">
        <v>42631</v>
      </c>
      <c r="D1892" s="82">
        <v>11136000</v>
      </c>
      <c r="E1892" s="82">
        <v>11121000</v>
      </c>
      <c r="F1892" s="82">
        <v>11138000</v>
      </c>
      <c r="G1892" s="82">
        <v>11136000</v>
      </c>
      <c r="I1892" s="82">
        <f>G1892*1.1</f>
        <v>12249600.000000002</v>
      </c>
      <c r="J1892" s="82">
        <f>G1892/3</f>
        <v>3712000</v>
      </c>
      <c r="K1892" s="7">
        <f>G2160</f>
        <v>12182500</v>
      </c>
      <c r="L1892" s="7">
        <f>K1892-I1892</f>
        <v>-67100.000000001863</v>
      </c>
      <c r="M1892" s="7">
        <f t="shared" si="320"/>
        <v>464000</v>
      </c>
      <c r="N1892" s="7">
        <f t="shared" si="329"/>
        <v>396899.99999999814</v>
      </c>
      <c r="O1892" s="7">
        <f t="shared" si="328"/>
        <v>10000</v>
      </c>
      <c r="P1892" s="99">
        <f t="shared" si="321"/>
        <v>8.9879561387740429E-4</v>
      </c>
      <c r="Q1892" s="99">
        <f t="shared" si="330"/>
        <v>-3.9423246294710539E-3</v>
      </c>
      <c r="R1892">
        <v>1</v>
      </c>
      <c r="S1892" s="7">
        <f t="shared" si="322"/>
        <v>12249600.000000002</v>
      </c>
      <c r="T1892" s="7">
        <f t="shared" si="323"/>
        <v>3712000</v>
      </c>
      <c r="U1892" s="7">
        <f t="shared" si="324"/>
        <v>12182500</v>
      </c>
      <c r="V1892" s="7">
        <f t="shared" si="325"/>
        <v>-67100.000000001863</v>
      </c>
      <c r="W1892" s="7">
        <f t="shared" si="326"/>
        <v>464000</v>
      </c>
      <c r="X1892" s="7">
        <f t="shared" si="327"/>
        <v>396899.99999999814</v>
      </c>
    </row>
    <row r="1893" spans="1:24">
      <c r="A1893">
        <v>1892</v>
      </c>
      <c r="B1893" s="96" t="s">
        <v>1711</v>
      </c>
      <c r="C1893" s="95">
        <v>42632</v>
      </c>
      <c r="D1893" s="82">
        <v>11130000</v>
      </c>
      <c r="E1893" s="82">
        <v>11126000</v>
      </c>
      <c r="F1893" s="82">
        <v>11166000</v>
      </c>
      <c r="G1893" s="82">
        <v>11130000</v>
      </c>
      <c r="I1893" s="97">
        <v>0</v>
      </c>
      <c r="J1893" s="97">
        <v>0</v>
      </c>
      <c r="K1893" s="97">
        <v>0</v>
      </c>
      <c r="M1893" s="7">
        <f t="shared" si="320"/>
        <v>0</v>
      </c>
      <c r="N1893" s="7">
        <f t="shared" si="329"/>
        <v>0</v>
      </c>
      <c r="O1893" s="7">
        <f t="shared" si="328"/>
        <v>-6000</v>
      </c>
      <c r="P1893" s="99">
        <f t="shared" si="321"/>
        <v>-5.3879310344827585E-4</v>
      </c>
      <c r="Q1893" s="99">
        <f t="shared" si="330"/>
        <v>-1.700646294018001E-3</v>
      </c>
      <c r="S1893" s="7">
        <f t="shared" si="322"/>
        <v>12243000.000000002</v>
      </c>
      <c r="T1893" s="7">
        <f t="shared" si="323"/>
        <v>3710000</v>
      </c>
      <c r="U1893" s="7">
        <f t="shared" si="324"/>
        <v>12204500</v>
      </c>
      <c r="V1893" s="7">
        <f t="shared" si="325"/>
        <v>0</v>
      </c>
      <c r="W1893" s="7">
        <f t="shared" si="326"/>
        <v>0</v>
      </c>
      <c r="X1893" s="7">
        <f t="shared" si="327"/>
        <v>0</v>
      </c>
    </row>
    <row r="1894" spans="1:24">
      <c r="A1894">
        <v>1893</v>
      </c>
      <c r="B1894" s="96" t="s">
        <v>1710</v>
      </c>
      <c r="C1894" s="95">
        <v>42633</v>
      </c>
      <c r="D1894" s="82">
        <v>11136000</v>
      </c>
      <c r="E1894" s="82">
        <v>11112000</v>
      </c>
      <c r="F1894" s="82">
        <v>11143000</v>
      </c>
      <c r="G1894" s="82">
        <v>11136000</v>
      </c>
      <c r="I1894" s="97">
        <v>0</v>
      </c>
      <c r="J1894" s="97">
        <v>0</v>
      </c>
      <c r="K1894" s="97">
        <v>0</v>
      </c>
      <c r="M1894" s="7">
        <f t="shared" si="320"/>
        <v>0</v>
      </c>
      <c r="N1894" s="7">
        <f t="shared" si="329"/>
        <v>0</v>
      </c>
      <c r="O1894" s="7">
        <f t="shared" si="328"/>
        <v>6000</v>
      </c>
      <c r="P1894" s="99">
        <f t="shared" si="321"/>
        <v>5.3908355795148253E-4</v>
      </c>
      <c r="Q1894" s="99">
        <f t="shared" si="330"/>
        <v>-2.7773147896670838E-3</v>
      </c>
      <c r="S1894" s="7">
        <f t="shared" si="322"/>
        <v>12249600.000000002</v>
      </c>
      <c r="T1894" s="7">
        <f t="shared" si="323"/>
        <v>3712000</v>
      </c>
      <c r="U1894" s="7">
        <f t="shared" si="324"/>
        <v>12199000</v>
      </c>
      <c r="V1894" s="7">
        <f t="shared" si="325"/>
        <v>0</v>
      </c>
      <c r="W1894" s="7">
        <f t="shared" si="326"/>
        <v>0</v>
      </c>
      <c r="X1894" s="7">
        <f t="shared" si="327"/>
        <v>0</v>
      </c>
    </row>
    <row r="1895" spans="1:24">
      <c r="A1895">
        <v>1894</v>
      </c>
      <c r="B1895" s="96" t="s">
        <v>1709</v>
      </c>
      <c r="C1895" s="95">
        <v>42635</v>
      </c>
      <c r="D1895" s="82">
        <v>11202000</v>
      </c>
      <c r="E1895" s="82">
        <v>11196000</v>
      </c>
      <c r="F1895" s="82">
        <v>11230000</v>
      </c>
      <c r="G1895" s="82">
        <v>11202000</v>
      </c>
      <c r="I1895" s="97">
        <v>0</v>
      </c>
      <c r="J1895" s="97">
        <v>0</v>
      </c>
      <c r="K1895" s="97">
        <v>0</v>
      </c>
      <c r="M1895" s="7">
        <f t="shared" si="320"/>
        <v>0</v>
      </c>
      <c r="N1895" s="7">
        <f t="shared" si="329"/>
        <v>0</v>
      </c>
      <c r="O1895" s="7">
        <f t="shared" si="328"/>
        <v>66000</v>
      </c>
      <c r="P1895" s="99">
        <f t="shared" si="321"/>
        <v>5.9267241379310342E-3</v>
      </c>
      <c r="Q1895" s="99">
        <f t="shared" si="330"/>
        <v>-1.700644993923289E-3</v>
      </c>
      <c r="S1895" s="7">
        <f t="shared" si="322"/>
        <v>12322200.000000002</v>
      </c>
      <c r="T1895" s="7">
        <f t="shared" si="323"/>
        <v>3734000</v>
      </c>
      <c r="U1895" s="7">
        <f t="shared" si="324"/>
        <v>12219000</v>
      </c>
      <c r="V1895" s="7">
        <f t="shared" si="325"/>
        <v>0</v>
      </c>
      <c r="W1895" s="7">
        <f t="shared" si="326"/>
        <v>0</v>
      </c>
      <c r="X1895" s="7">
        <f t="shared" si="327"/>
        <v>0</v>
      </c>
    </row>
    <row r="1896" spans="1:24">
      <c r="A1896">
        <v>1895</v>
      </c>
      <c r="B1896" s="96" t="s">
        <v>1708</v>
      </c>
      <c r="C1896" s="95">
        <v>42634</v>
      </c>
      <c r="D1896" s="82">
        <v>11177000</v>
      </c>
      <c r="E1896" s="82">
        <v>11142000</v>
      </c>
      <c r="F1896" s="82">
        <v>11183000</v>
      </c>
      <c r="G1896" s="82">
        <v>11177000</v>
      </c>
      <c r="I1896" s="98">
        <v>0</v>
      </c>
      <c r="J1896" s="98">
        <v>0</v>
      </c>
      <c r="K1896" s="98">
        <v>0</v>
      </c>
      <c r="M1896" s="7">
        <f t="shared" si="320"/>
        <v>0</v>
      </c>
      <c r="N1896" s="7">
        <f t="shared" si="329"/>
        <v>0</v>
      </c>
      <c r="O1896" s="7">
        <f t="shared" si="328"/>
        <v>-25000</v>
      </c>
      <c r="P1896" s="99">
        <f t="shared" si="321"/>
        <v>-2.2317443313693984E-3</v>
      </c>
      <c r="Q1896" s="99">
        <f t="shared" si="330"/>
        <v>4.2260791440077456E-3</v>
      </c>
      <c r="S1896" s="7">
        <f t="shared" si="322"/>
        <v>12294700.000000002</v>
      </c>
      <c r="T1896" s="7">
        <f t="shared" si="323"/>
        <v>3725666.6666666665</v>
      </c>
      <c r="U1896" s="7">
        <f t="shared" si="324"/>
        <v>12235500</v>
      </c>
      <c r="V1896" s="7">
        <f t="shared" si="325"/>
        <v>0</v>
      </c>
      <c r="W1896" s="7">
        <f t="shared" si="326"/>
        <v>0</v>
      </c>
      <c r="X1896" s="7">
        <f t="shared" si="327"/>
        <v>0</v>
      </c>
    </row>
    <row r="1897" spans="1:24">
      <c r="A1897">
        <v>1896</v>
      </c>
      <c r="B1897" s="96" t="s">
        <v>1707</v>
      </c>
      <c r="C1897" s="95">
        <v>42637</v>
      </c>
      <c r="D1897" s="82">
        <v>11177000</v>
      </c>
      <c r="E1897" s="82">
        <v>11174000</v>
      </c>
      <c r="F1897" s="82">
        <v>11216000</v>
      </c>
      <c r="G1897" s="82">
        <v>11177000</v>
      </c>
      <c r="I1897" s="82">
        <f>G1897*1.1</f>
        <v>12294700.000000002</v>
      </c>
      <c r="J1897" s="82">
        <f>G1897/3</f>
        <v>3725666.6666666665</v>
      </c>
      <c r="K1897" s="7">
        <f>G2165</f>
        <v>12226000</v>
      </c>
      <c r="L1897" s="7">
        <f>K1897-I1897</f>
        <v>-68700.000000001863</v>
      </c>
      <c r="M1897" s="7">
        <f t="shared" si="320"/>
        <v>465708.33333333326</v>
      </c>
      <c r="N1897" s="7">
        <f t="shared" si="329"/>
        <v>397008.33333333139</v>
      </c>
      <c r="O1897" s="7">
        <f t="shared" si="328"/>
        <v>0</v>
      </c>
      <c r="P1897" s="99">
        <f t="shared" si="321"/>
        <v>0</v>
      </c>
      <c r="Q1897" s="99">
        <f t="shared" si="330"/>
        <v>4.5940658749422467E-3</v>
      </c>
      <c r="R1897">
        <v>1</v>
      </c>
      <c r="S1897" s="7">
        <f t="shared" si="322"/>
        <v>12294700.000000002</v>
      </c>
      <c r="T1897" s="7">
        <f t="shared" si="323"/>
        <v>3725666.6666666665</v>
      </c>
      <c r="U1897" s="7">
        <f t="shared" si="324"/>
        <v>12226000</v>
      </c>
      <c r="V1897" s="7">
        <f t="shared" si="325"/>
        <v>-68700.000000001863</v>
      </c>
      <c r="W1897" s="7">
        <f t="shared" si="326"/>
        <v>465708.33333333326</v>
      </c>
      <c r="X1897" s="7">
        <f t="shared" si="327"/>
        <v>397008.33333333139</v>
      </c>
    </row>
    <row r="1898" spans="1:24">
      <c r="A1898">
        <v>1897</v>
      </c>
      <c r="B1898" s="96" t="s">
        <v>1706</v>
      </c>
      <c r="C1898" s="95">
        <v>42638</v>
      </c>
      <c r="D1898" s="82">
        <v>11192000</v>
      </c>
      <c r="E1898" s="82">
        <v>11175000</v>
      </c>
      <c r="F1898" s="82">
        <v>11200000</v>
      </c>
      <c r="G1898" s="82">
        <v>11192000</v>
      </c>
      <c r="I1898" s="97">
        <v>0</v>
      </c>
      <c r="J1898" s="97">
        <v>0</v>
      </c>
      <c r="K1898" s="97">
        <v>0</v>
      </c>
      <c r="M1898" s="7">
        <f t="shared" si="320"/>
        <v>0</v>
      </c>
      <c r="N1898" s="7">
        <f t="shared" si="329"/>
        <v>0</v>
      </c>
      <c r="O1898" s="7">
        <f t="shared" si="328"/>
        <v>15000</v>
      </c>
      <c r="P1898" s="99">
        <f t="shared" si="321"/>
        <v>1.3420416927619218E-3</v>
      </c>
      <c r="Q1898" s="99">
        <f t="shared" si="330"/>
        <v>3.6952702610648426E-3</v>
      </c>
      <c r="S1898" s="7">
        <f t="shared" si="322"/>
        <v>12311200.000000002</v>
      </c>
      <c r="T1898" s="7">
        <f t="shared" si="323"/>
        <v>3730666.6666666665</v>
      </c>
      <c r="U1898" s="7">
        <f t="shared" si="324"/>
        <v>12177000</v>
      </c>
      <c r="V1898" s="7">
        <f t="shared" si="325"/>
        <v>0</v>
      </c>
      <c r="W1898" s="7">
        <f t="shared" si="326"/>
        <v>0</v>
      </c>
      <c r="X1898" s="7">
        <f t="shared" si="327"/>
        <v>0</v>
      </c>
    </row>
    <row r="1899" spans="1:24">
      <c r="A1899">
        <v>1898</v>
      </c>
      <c r="B1899" s="96" t="s">
        <v>1705</v>
      </c>
      <c r="C1899" s="95">
        <v>42639</v>
      </c>
      <c r="D1899" s="82">
        <v>11187000</v>
      </c>
      <c r="E1899" s="82">
        <v>11156000</v>
      </c>
      <c r="F1899" s="82">
        <v>11193000</v>
      </c>
      <c r="G1899" s="82">
        <v>11187000</v>
      </c>
      <c r="I1899" s="97">
        <v>0</v>
      </c>
      <c r="J1899" s="97">
        <v>0</v>
      </c>
      <c r="K1899" s="97">
        <v>0</v>
      </c>
      <c r="M1899" s="7">
        <f t="shared" si="320"/>
        <v>0</v>
      </c>
      <c r="N1899" s="7">
        <f t="shared" si="329"/>
        <v>0</v>
      </c>
      <c r="O1899" s="7">
        <f t="shared" si="328"/>
        <v>-5000</v>
      </c>
      <c r="P1899" s="99">
        <f t="shared" si="321"/>
        <v>-4.4674767691208004E-4</v>
      </c>
      <c r="Q1899" s="99">
        <f t="shared" si="330"/>
        <v>5.5761050572750411E-3</v>
      </c>
      <c r="S1899" s="7">
        <f t="shared" si="322"/>
        <v>12305700.000000002</v>
      </c>
      <c r="T1899" s="7">
        <f t="shared" si="323"/>
        <v>3729000</v>
      </c>
      <c r="U1899" s="7">
        <f t="shared" si="324"/>
        <v>12130000</v>
      </c>
      <c r="V1899" s="7">
        <f t="shared" si="325"/>
        <v>0</v>
      </c>
      <c r="W1899" s="7">
        <f t="shared" si="326"/>
        <v>0</v>
      </c>
      <c r="X1899" s="7">
        <f t="shared" si="327"/>
        <v>0</v>
      </c>
    </row>
    <row r="1900" spans="1:24">
      <c r="A1900">
        <v>1899</v>
      </c>
      <c r="B1900" s="96" t="s">
        <v>1704</v>
      </c>
      <c r="C1900" s="95">
        <v>42640</v>
      </c>
      <c r="D1900" s="82">
        <v>11166000</v>
      </c>
      <c r="E1900" s="82">
        <v>11157000</v>
      </c>
      <c r="F1900" s="82">
        <v>11185000</v>
      </c>
      <c r="G1900" s="82">
        <v>11166000</v>
      </c>
      <c r="I1900" s="97">
        <v>0</v>
      </c>
      <c r="J1900" s="97">
        <v>0</v>
      </c>
      <c r="K1900" s="97">
        <v>0</v>
      </c>
      <c r="M1900" s="7">
        <f t="shared" si="320"/>
        <v>0</v>
      </c>
      <c r="N1900" s="7">
        <f t="shared" si="329"/>
        <v>0</v>
      </c>
      <c r="O1900" s="7">
        <f t="shared" si="328"/>
        <v>-21000</v>
      </c>
      <c r="P1900" s="99">
        <f t="shared" si="321"/>
        <v>-1.8771788683293108E-3</v>
      </c>
      <c r="Q1900" s="99">
        <f t="shared" si="330"/>
        <v>4.5902738224114772E-3</v>
      </c>
      <c r="S1900" s="7">
        <f t="shared" si="322"/>
        <v>12282600.000000002</v>
      </c>
      <c r="T1900" s="7">
        <f t="shared" si="323"/>
        <v>3722000</v>
      </c>
      <c r="U1900" s="7">
        <f t="shared" si="324"/>
        <v>12122000</v>
      </c>
      <c r="V1900" s="7">
        <f t="shared" si="325"/>
        <v>0</v>
      </c>
      <c r="W1900" s="7">
        <f t="shared" si="326"/>
        <v>0</v>
      </c>
      <c r="X1900" s="7">
        <f t="shared" si="327"/>
        <v>0</v>
      </c>
    </row>
    <row r="1901" spans="1:24">
      <c r="A1901">
        <v>1900</v>
      </c>
      <c r="B1901" s="96" t="s">
        <v>1703</v>
      </c>
      <c r="C1901" s="95">
        <v>42641</v>
      </c>
      <c r="D1901" s="82">
        <v>11145000</v>
      </c>
      <c r="E1901" s="82">
        <v>11135000</v>
      </c>
      <c r="F1901" s="82">
        <v>11164000</v>
      </c>
      <c r="G1901" s="82">
        <v>11145000</v>
      </c>
      <c r="I1901" s="98">
        <v>0</v>
      </c>
      <c r="J1901" s="98">
        <v>0</v>
      </c>
      <c r="K1901" s="98">
        <v>0</v>
      </c>
      <c r="M1901" s="7">
        <f t="shared" si="320"/>
        <v>0</v>
      </c>
      <c r="N1901" s="7">
        <f t="shared" si="329"/>
        <v>0</v>
      </c>
      <c r="O1901" s="7">
        <f t="shared" si="328"/>
        <v>-21000</v>
      </c>
      <c r="P1901" s="99">
        <f t="shared" si="321"/>
        <v>-1.8807092960773778E-3</v>
      </c>
      <c r="Q1901" s="99">
        <f t="shared" si="330"/>
        <v>-3.2136291838488675E-3</v>
      </c>
      <c r="S1901" s="7">
        <f t="shared" si="322"/>
        <v>12259500.000000002</v>
      </c>
      <c r="T1901" s="7">
        <f t="shared" si="323"/>
        <v>3715000</v>
      </c>
      <c r="U1901" s="7">
        <f t="shared" si="324"/>
        <v>12122000</v>
      </c>
      <c r="V1901" s="7">
        <f t="shared" si="325"/>
        <v>0</v>
      </c>
      <c r="W1901" s="7">
        <f t="shared" si="326"/>
        <v>0</v>
      </c>
      <c r="X1901" s="7">
        <f t="shared" si="327"/>
        <v>0</v>
      </c>
    </row>
    <row r="1902" spans="1:24">
      <c r="A1902">
        <v>1901</v>
      </c>
      <c r="B1902" s="96" t="s">
        <v>1702</v>
      </c>
      <c r="C1902" s="95">
        <v>42642</v>
      </c>
      <c r="D1902" s="82">
        <v>11151000</v>
      </c>
      <c r="E1902" s="82">
        <v>11136000</v>
      </c>
      <c r="F1902" s="82">
        <v>11153000</v>
      </c>
      <c r="G1902" s="82">
        <v>11151000</v>
      </c>
      <c r="I1902" s="82">
        <f>G1902*1.1</f>
        <v>12266100.000000002</v>
      </c>
      <c r="J1902" s="82">
        <f>G1902/3</f>
        <v>3717000</v>
      </c>
      <c r="K1902" s="7">
        <f>G2170</f>
        <v>12088000</v>
      </c>
      <c r="L1902" s="7">
        <f>K1902-I1902</f>
        <v>-178100.00000000186</v>
      </c>
      <c r="M1902" s="7">
        <f t="shared" si="320"/>
        <v>464625</v>
      </c>
      <c r="N1902" s="7">
        <f t="shared" si="329"/>
        <v>286524.99999999814</v>
      </c>
      <c r="O1902" s="7">
        <f t="shared" si="328"/>
        <v>6000</v>
      </c>
      <c r="P1902" s="99">
        <f t="shared" si="321"/>
        <v>5.3835800807537008E-4</v>
      </c>
      <c r="Q1902" s="99">
        <f t="shared" si="330"/>
        <v>-2.8625941485568469E-3</v>
      </c>
      <c r="R1902">
        <v>1</v>
      </c>
      <c r="S1902" s="7">
        <f t="shared" si="322"/>
        <v>12266100.000000002</v>
      </c>
      <c r="T1902" s="7">
        <f t="shared" si="323"/>
        <v>3717000</v>
      </c>
      <c r="U1902" s="7">
        <f t="shared" si="324"/>
        <v>12088000</v>
      </c>
      <c r="V1902" s="7">
        <f t="shared" si="325"/>
        <v>-178100.00000000186</v>
      </c>
      <c r="W1902" s="7">
        <f t="shared" si="326"/>
        <v>464625</v>
      </c>
      <c r="X1902" s="7">
        <f t="shared" si="327"/>
        <v>286524.99999999814</v>
      </c>
    </row>
    <row r="1903" spans="1:24">
      <c r="A1903">
        <v>1902</v>
      </c>
      <c r="B1903" s="96" t="s">
        <v>1701</v>
      </c>
      <c r="C1903" s="95">
        <v>42644</v>
      </c>
      <c r="D1903" s="82">
        <v>11156000</v>
      </c>
      <c r="E1903" s="82">
        <v>11137000</v>
      </c>
      <c r="F1903" s="82">
        <v>11160000</v>
      </c>
      <c r="G1903" s="82">
        <v>11156000</v>
      </c>
      <c r="I1903" s="97">
        <v>0</v>
      </c>
      <c r="J1903" s="97">
        <v>0</v>
      </c>
      <c r="K1903" s="97">
        <v>0</v>
      </c>
      <c r="M1903" s="7">
        <f t="shared" si="320"/>
        <v>0</v>
      </c>
      <c r="N1903" s="7">
        <f t="shared" si="329"/>
        <v>0</v>
      </c>
      <c r="O1903" s="7">
        <f t="shared" si="328"/>
        <v>5000</v>
      </c>
      <c r="P1903" s="99">
        <f t="shared" si="321"/>
        <v>4.4839027889875349E-4</v>
      </c>
      <c r="Q1903" s="99">
        <f t="shared" si="330"/>
        <v>-2.3242361404814766E-3</v>
      </c>
      <c r="S1903" s="7">
        <f t="shared" si="322"/>
        <v>12271600.000000002</v>
      </c>
      <c r="T1903" s="7">
        <f t="shared" si="323"/>
        <v>3718666.6666666665</v>
      </c>
      <c r="U1903" s="7">
        <f t="shared" si="324"/>
        <v>12073000</v>
      </c>
      <c r="V1903" s="7">
        <f t="shared" si="325"/>
        <v>0</v>
      </c>
      <c r="W1903" s="7">
        <f t="shared" si="326"/>
        <v>0</v>
      </c>
      <c r="X1903" s="7">
        <f t="shared" si="327"/>
        <v>0</v>
      </c>
    </row>
    <row r="1904" spans="1:24">
      <c r="A1904">
        <v>1903</v>
      </c>
      <c r="B1904" s="96" t="s">
        <v>1700</v>
      </c>
      <c r="C1904" s="95">
        <v>42645</v>
      </c>
      <c r="D1904" s="82">
        <v>11168000</v>
      </c>
      <c r="E1904" s="82">
        <v>11147000</v>
      </c>
      <c r="F1904" s="82">
        <v>11170000</v>
      </c>
      <c r="G1904" s="82">
        <v>11168000</v>
      </c>
      <c r="I1904" s="97">
        <v>0</v>
      </c>
      <c r="J1904" s="97">
        <v>0</v>
      </c>
      <c r="K1904" s="97">
        <v>0</v>
      </c>
      <c r="M1904" s="7">
        <f t="shared" si="320"/>
        <v>0</v>
      </c>
      <c r="N1904" s="7">
        <f t="shared" si="329"/>
        <v>0</v>
      </c>
      <c r="O1904" s="7">
        <f t="shared" si="328"/>
        <v>12000</v>
      </c>
      <c r="P1904" s="99">
        <f t="shared" si="321"/>
        <v>1.0756543564001434E-3</v>
      </c>
      <c r="Q1904" s="99">
        <f t="shared" si="330"/>
        <v>-3.2178875543446444E-3</v>
      </c>
      <c r="S1904" s="7">
        <f t="shared" si="322"/>
        <v>12284800.000000002</v>
      </c>
      <c r="T1904" s="7">
        <f t="shared" si="323"/>
        <v>3722666.6666666665</v>
      </c>
      <c r="U1904" s="7">
        <f t="shared" si="324"/>
        <v>12141000</v>
      </c>
      <c r="V1904" s="7">
        <f t="shared" si="325"/>
        <v>0</v>
      </c>
      <c r="W1904" s="7">
        <f t="shared" si="326"/>
        <v>0</v>
      </c>
      <c r="X1904" s="7">
        <f t="shared" si="327"/>
        <v>0</v>
      </c>
    </row>
    <row r="1905" spans="1:24">
      <c r="A1905">
        <v>1904</v>
      </c>
      <c r="B1905" s="96" t="s">
        <v>1699</v>
      </c>
      <c r="C1905" s="95">
        <v>42646</v>
      </c>
      <c r="D1905" s="82">
        <v>11160000</v>
      </c>
      <c r="E1905" s="82">
        <v>11155000</v>
      </c>
      <c r="F1905" s="82">
        <v>11183000</v>
      </c>
      <c r="G1905" s="82">
        <v>11160000</v>
      </c>
      <c r="I1905" s="97">
        <v>0</v>
      </c>
      <c r="J1905" s="97">
        <v>0</v>
      </c>
      <c r="K1905" s="97">
        <v>0</v>
      </c>
      <c r="M1905" s="7">
        <f t="shared" si="320"/>
        <v>0</v>
      </c>
      <c r="N1905" s="7">
        <f t="shared" si="329"/>
        <v>0</v>
      </c>
      <c r="O1905" s="7">
        <f t="shared" si="328"/>
        <v>-8000</v>
      </c>
      <c r="P1905" s="99">
        <f t="shared" si="321"/>
        <v>-7.1633237822349568E-4</v>
      </c>
      <c r="Q1905" s="99">
        <f t="shared" si="330"/>
        <v>-1.6954855210324217E-3</v>
      </c>
      <c r="S1905" s="7">
        <f t="shared" si="322"/>
        <v>12276000.000000002</v>
      </c>
      <c r="T1905" s="7">
        <f t="shared" si="323"/>
        <v>3720000</v>
      </c>
      <c r="U1905" s="7">
        <f t="shared" si="324"/>
        <v>12107000</v>
      </c>
      <c r="V1905" s="7">
        <f t="shared" si="325"/>
        <v>0</v>
      </c>
      <c r="W1905" s="7">
        <f t="shared" si="326"/>
        <v>0</v>
      </c>
      <c r="X1905" s="7">
        <f t="shared" si="327"/>
        <v>0</v>
      </c>
    </row>
    <row r="1906" spans="1:24">
      <c r="A1906">
        <v>1905</v>
      </c>
      <c r="B1906" s="96" t="s">
        <v>1698</v>
      </c>
      <c r="C1906" s="95">
        <v>42647</v>
      </c>
      <c r="D1906" s="82">
        <v>10907000</v>
      </c>
      <c r="E1906" s="82">
        <v>10889000</v>
      </c>
      <c r="F1906" s="82">
        <v>11150000</v>
      </c>
      <c r="G1906" s="82">
        <v>10907000</v>
      </c>
      <c r="I1906" s="98">
        <v>0</v>
      </c>
      <c r="J1906" s="98">
        <v>0</v>
      </c>
      <c r="K1906" s="98">
        <v>0</v>
      </c>
      <c r="M1906" s="7">
        <f t="shared" si="320"/>
        <v>0</v>
      </c>
      <c r="N1906" s="7">
        <f t="shared" si="329"/>
        <v>0</v>
      </c>
      <c r="O1906" s="7">
        <f t="shared" si="328"/>
        <v>-253000</v>
      </c>
      <c r="P1906" s="99">
        <f t="shared" si="321"/>
        <v>-2.2670250896057349E-2</v>
      </c>
      <c r="Q1906" s="99">
        <f t="shared" si="330"/>
        <v>-5.3463903092660649E-4</v>
      </c>
      <c r="S1906" s="7">
        <f t="shared" si="322"/>
        <v>11997700.000000002</v>
      </c>
      <c r="T1906" s="7">
        <f t="shared" si="323"/>
        <v>3635666.6666666665</v>
      </c>
      <c r="U1906" s="7">
        <f t="shared" si="324"/>
        <v>12106000</v>
      </c>
      <c r="V1906" s="7">
        <f t="shared" si="325"/>
        <v>0</v>
      </c>
      <c r="W1906" s="7">
        <f t="shared" si="326"/>
        <v>0</v>
      </c>
      <c r="X1906" s="7">
        <f t="shared" si="327"/>
        <v>0</v>
      </c>
    </row>
    <row r="1907" spans="1:24">
      <c r="A1907">
        <v>1906</v>
      </c>
      <c r="B1907" s="96" t="s">
        <v>1697</v>
      </c>
      <c r="C1907" s="95">
        <v>42648</v>
      </c>
      <c r="D1907" s="82">
        <v>10875000</v>
      </c>
      <c r="E1907" s="82">
        <v>10837000</v>
      </c>
      <c r="F1907" s="82">
        <v>10930000</v>
      </c>
      <c r="G1907" s="82">
        <v>10875000</v>
      </c>
      <c r="I1907" s="82">
        <f>G1907*1.1</f>
        <v>11962500.000000002</v>
      </c>
      <c r="J1907" s="82">
        <f>G1907/3</f>
        <v>3625000</v>
      </c>
      <c r="K1907" s="7">
        <f>G2175</f>
        <v>12122000</v>
      </c>
      <c r="L1907" s="7">
        <f>K1907-I1907</f>
        <v>159499.99999999814</v>
      </c>
      <c r="M1907" s="7">
        <f t="shared" si="320"/>
        <v>453125</v>
      </c>
      <c r="N1907" s="7">
        <f t="shared" si="329"/>
        <v>612624.99999999814</v>
      </c>
      <c r="O1907" s="7">
        <f t="shared" si="328"/>
        <v>-32000</v>
      </c>
      <c r="P1907" s="99">
        <f t="shared" si="321"/>
        <v>-2.9338956633354727E-3</v>
      </c>
      <c r="Q1907" s="99">
        <f t="shared" si="330"/>
        <v>-2.1324180630906579E-2</v>
      </c>
      <c r="R1907">
        <v>1</v>
      </c>
      <c r="S1907" s="7">
        <f t="shared" si="322"/>
        <v>11962500.000000002</v>
      </c>
      <c r="T1907" s="7">
        <f t="shared" si="323"/>
        <v>3625000</v>
      </c>
      <c r="U1907" s="7">
        <f t="shared" si="324"/>
        <v>12122000</v>
      </c>
      <c r="V1907" s="7">
        <f t="shared" si="325"/>
        <v>159499.99999999814</v>
      </c>
      <c r="W1907" s="7">
        <f t="shared" si="326"/>
        <v>453125</v>
      </c>
      <c r="X1907" s="7">
        <f t="shared" si="327"/>
        <v>612624.99999999814</v>
      </c>
    </row>
    <row r="1908" spans="1:24">
      <c r="A1908">
        <v>1907</v>
      </c>
      <c r="B1908" s="96" t="s">
        <v>1696</v>
      </c>
      <c r="C1908" s="95">
        <v>42649</v>
      </c>
      <c r="D1908" s="82">
        <v>10833000</v>
      </c>
      <c r="E1908" s="82">
        <v>10821000</v>
      </c>
      <c r="F1908" s="82">
        <v>10894000</v>
      </c>
      <c r="G1908" s="82">
        <v>10833000</v>
      </c>
      <c r="I1908" s="97">
        <v>0</v>
      </c>
      <c r="J1908" s="97">
        <v>0</v>
      </c>
      <c r="K1908" s="97">
        <v>0</v>
      </c>
      <c r="M1908" s="7">
        <f t="shared" si="320"/>
        <v>0</v>
      </c>
      <c r="N1908" s="7">
        <f t="shared" si="329"/>
        <v>0</v>
      </c>
      <c r="O1908" s="7">
        <f t="shared" si="328"/>
        <v>-42000</v>
      </c>
      <c r="P1908" s="99">
        <f t="shared" si="321"/>
        <v>-3.8620689655172414E-3</v>
      </c>
      <c r="Q1908" s="99">
        <f t="shared" si="330"/>
        <v>-2.479643430231742E-2</v>
      </c>
      <c r="S1908" s="7">
        <f t="shared" si="322"/>
        <v>11916300.000000002</v>
      </c>
      <c r="T1908" s="7">
        <f t="shared" si="323"/>
        <v>3611000</v>
      </c>
      <c r="U1908" s="7">
        <f t="shared" si="324"/>
        <v>12173000</v>
      </c>
      <c r="V1908" s="7">
        <f t="shared" si="325"/>
        <v>0</v>
      </c>
      <c r="W1908" s="7">
        <f t="shared" si="326"/>
        <v>0</v>
      </c>
      <c r="X1908" s="7">
        <f t="shared" si="327"/>
        <v>0</v>
      </c>
    </row>
    <row r="1909" spans="1:24">
      <c r="A1909">
        <v>1908</v>
      </c>
      <c r="B1909" s="96" t="s">
        <v>1695</v>
      </c>
      <c r="C1909" s="95">
        <v>42651</v>
      </c>
      <c r="D1909" s="82">
        <v>10828000</v>
      </c>
      <c r="E1909" s="82">
        <v>10825000</v>
      </c>
      <c r="F1909" s="82">
        <v>10835000</v>
      </c>
      <c r="G1909" s="82">
        <v>10828000</v>
      </c>
      <c r="I1909" s="97">
        <v>0</v>
      </c>
      <c r="J1909" s="97">
        <v>0</v>
      </c>
      <c r="K1909" s="97">
        <v>0</v>
      </c>
      <c r="M1909" s="7">
        <f t="shared" si="320"/>
        <v>0</v>
      </c>
      <c r="N1909" s="7">
        <f t="shared" si="329"/>
        <v>0</v>
      </c>
      <c r="O1909" s="7">
        <f t="shared" si="328"/>
        <v>-5000</v>
      </c>
      <c r="P1909" s="99">
        <f t="shared" si="321"/>
        <v>-4.6155266315886642E-4</v>
      </c>
      <c r="Q1909" s="99">
        <f t="shared" si="330"/>
        <v>-2.9106893546733417E-2</v>
      </c>
      <c r="S1909" s="7">
        <f t="shared" si="322"/>
        <v>11910800.000000002</v>
      </c>
      <c r="T1909" s="7">
        <f t="shared" si="323"/>
        <v>3609333.3333333335</v>
      </c>
      <c r="U1909" s="7">
        <f t="shared" si="324"/>
        <v>12208000</v>
      </c>
      <c r="V1909" s="7">
        <f t="shared" si="325"/>
        <v>0</v>
      </c>
      <c r="W1909" s="7">
        <f t="shared" si="326"/>
        <v>0</v>
      </c>
      <c r="X1909" s="7">
        <f t="shared" si="327"/>
        <v>0</v>
      </c>
    </row>
    <row r="1910" spans="1:24">
      <c r="A1910">
        <v>1909</v>
      </c>
      <c r="B1910" s="96" t="s">
        <v>1694</v>
      </c>
      <c r="C1910" s="95">
        <v>42652</v>
      </c>
      <c r="D1910" s="82">
        <v>10835000</v>
      </c>
      <c r="E1910" s="82">
        <v>10822000</v>
      </c>
      <c r="F1910" s="82">
        <v>10840000</v>
      </c>
      <c r="G1910" s="82">
        <v>10835000</v>
      </c>
      <c r="I1910" s="97">
        <v>0</v>
      </c>
      <c r="J1910" s="97">
        <v>0</v>
      </c>
      <c r="K1910" s="97">
        <v>0</v>
      </c>
      <c r="M1910" s="7">
        <f t="shared" si="320"/>
        <v>0</v>
      </c>
      <c r="N1910" s="7">
        <f t="shared" si="329"/>
        <v>0</v>
      </c>
      <c r="O1910" s="7">
        <f t="shared" si="328"/>
        <v>7000</v>
      </c>
      <c r="P1910" s="99">
        <f t="shared" si="321"/>
        <v>6.4647210934613961E-4</v>
      </c>
      <c r="Q1910" s="99">
        <f t="shared" si="330"/>
        <v>-3.0644100566292423E-2</v>
      </c>
      <c r="S1910" s="7">
        <f t="shared" si="322"/>
        <v>11918500.000000002</v>
      </c>
      <c r="T1910" s="7">
        <f t="shared" si="323"/>
        <v>3611666.6666666665</v>
      </c>
      <c r="U1910" s="7">
        <f t="shared" si="324"/>
        <v>12256000</v>
      </c>
      <c r="V1910" s="7">
        <f t="shared" si="325"/>
        <v>0</v>
      </c>
      <c r="W1910" s="7">
        <f t="shared" si="326"/>
        <v>0</v>
      </c>
      <c r="X1910" s="7">
        <f t="shared" si="327"/>
        <v>0</v>
      </c>
    </row>
    <row r="1911" spans="1:24">
      <c r="A1911">
        <v>1910</v>
      </c>
      <c r="B1911" s="96" t="s">
        <v>1693</v>
      </c>
      <c r="C1911" s="95">
        <v>42653</v>
      </c>
      <c r="D1911" s="82">
        <v>10848000</v>
      </c>
      <c r="E1911" s="82">
        <v>10845000</v>
      </c>
      <c r="F1911" s="82">
        <v>10864000</v>
      </c>
      <c r="G1911" s="82">
        <v>10848000</v>
      </c>
      <c r="I1911" s="98">
        <v>0</v>
      </c>
      <c r="J1911" s="98">
        <v>0</v>
      </c>
      <c r="K1911" s="98">
        <v>0</v>
      </c>
      <c r="M1911" s="7">
        <f t="shared" si="320"/>
        <v>0</v>
      </c>
      <c r="N1911" s="7">
        <f t="shared" si="329"/>
        <v>0</v>
      </c>
      <c r="O1911" s="7">
        <f t="shared" si="328"/>
        <v>13000</v>
      </c>
      <c r="P1911" s="99">
        <f t="shared" si="321"/>
        <v>1.1998154130133825E-3</v>
      </c>
      <c r="Q1911" s="99">
        <f t="shared" si="330"/>
        <v>-2.928129607872279E-2</v>
      </c>
      <c r="S1911" s="7">
        <f t="shared" si="322"/>
        <v>11932800.000000002</v>
      </c>
      <c r="T1911" s="7">
        <f t="shared" si="323"/>
        <v>3616000</v>
      </c>
      <c r="U1911" s="7">
        <f t="shared" si="324"/>
        <v>12266000</v>
      </c>
      <c r="V1911" s="7">
        <f t="shared" si="325"/>
        <v>0</v>
      </c>
      <c r="W1911" s="7">
        <f t="shared" si="326"/>
        <v>0</v>
      </c>
      <c r="X1911" s="7">
        <f t="shared" si="327"/>
        <v>0</v>
      </c>
    </row>
    <row r="1912" spans="1:24">
      <c r="A1912">
        <v>1911</v>
      </c>
      <c r="B1912" s="96" t="s">
        <v>1692</v>
      </c>
      <c r="C1912" s="95">
        <v>42654</v>
      </c>
      <c r="D1912" s="82">
        <v>10851000</v>
      </c>
      <c r="E1912" s="82">
        <v>10851000</v>
      </c>
      <c r="F1912" s="82">
        <v>10851000</v>
      </c>
      <c r="G1912" s="82">
        <v>10851000</v>
      </c>
      <c r="I1912" s="82">
        <f>G1912*1.1</f>
        <v>11936100.000000002</v>
      </c>
      <c r="J1912" s="82">
        <f>G1912/3</f>
        <v>3617000</v>
      </c>
      <c r="K1912" s="7">
        <f>G2180</f>
        <v>12228000</v>
      </c>
      <c r="L1912" s="7">
        <f>K1912-I1912</f>
        <v>291899.99999999814</v>
      </c>
      <c r="M1912" s="7">
        <f t="shared" si="320"/>
        <v>452125</v>
      </c>
      <c r="N1912" s="7">
        <f t="shared" si="329"/>
        <v>744024.99999999814</v>
      </c>
      <c r="O1912" s="7">
        <f t="shared" si="328"/>
        <v>3000</v>
      </c>
      <c r="P1912" s="99">
        <f t="shared" si="321"/>
        <v>2.7654867256637168E-4</v>
      </c>
      <c r="Q1912" s="99">
        <f t="shared" si="330"/>
        <v>-5.4112297696520591E-3</v>
      </c>
      <c r="R1912">
        <v>1</v>
      </c>
      <c r="S1912" s="7">
        <f t="shared" si="322"/>
        <v>11936100.000000002</v>
      </c>
      <c r="T1912" s="7">
        <f t="shared" si="323"/>
        <v>3617000</v>
      </c>
      <c r="U1912" s="7">
        <f t="shared" si="324"/>
        <v>12228000</v>
      </c>
      <c r="V1912" s="7">
        <f t="shared" si="325"/>
        <v>291899.99999999814</v>
      </c>
      <c r="W1912" s="7">
        <f t="shared" si="326"/>
        <v>452125</v>
      </c>
      <c r="X1912" s="7">
        <f t="shared" si="327"/>
        <v>744024.99999999814</v>
      </c>
    </row>
    <row r="1913" spans="1:24">
      <c r="A1913">
        <v>1912</v>
      </c>
      <c r="B1913" s="96" t="s">
        <v>1691</v>
      </c>
      <c r="C1913" s="95">
        <v>42655</v>
      </c>
      <c r="D1913" s="82">
        <v>10835000</v>
      </c>
      <c r="E1913" s="82">
        <v>10830000</v>
      </c>
      <c r="F1913" s="82">
        <v>10835000</v>
      </c>
      <c r="G1913" s="82">
        <v>10835000</v>
      </c>
      <c r="I1913" s="97">
        <v>0</v>
      </c>
      <c r="J1913" s="97">
        <v>0</v>
      </c>
      <c r="K1913" s="97">
        <v>0</v>
      </c>
      <c r="M1913" s="7">
        <f t="shared" si="320"/>
        <v>0</v>
      </c>
      <c r="N1913" s="7">
        <f t="shared" si="329"/>
        <v>0</v>
      </c>
      <c r="O1913" s="7">
        <f t="shared" si="328"/>
        <v>-16000</v>
      </c>
      <c r="P1913" s="99">
        <f t="shared" si="321"/>
        <v>-1.4745184775596719E-3</v>
      </c>
      <c r="Q1913" s="99">
        <f t="shared" si="330"/>
        <v>-2.2007854337502135E-3</v>
      </c>
      <c r="S1913" s="7">
        <f t="shared" si="322"/>
        <v>11918500.000000002</v>
      </c>
      <c r="T1913" s="7">
        <f t="shared" si="323"/>
        <v>3611666.6666666665</v>
      </c>
      <c r="U1913" s="7">
        <f t="shared" si="324"/>
        <v>12263000</v>
      </c>
      <c r="V1913" s="7">
        <f t="shared" si="325"/>
        <v>0</v>
      </c>
      <c r="W1913" s="7">
        <f t="shared" si="326"/>
        <v>0</v>
      </c>
      <c r="X1913" s="7">
        <f t="shared" si="327"/>
        <v>0</v>
      </c>
    </row>
    <row r="1914" spans="1:24">
      <c r="A1914">
        <v>1913</v>
      </c>
      <c r="B1914" s="96" t="s">
        <v>1690</v>
      </c>
      <c r="C1914" s="95">
        <v>42656</v>
      </c>
      <c r="D1914" s="82">
        <v>10852000</v>
      </c>
      <c r="E1914" s="82">
        <v>10836000</v>
      </c>
      <c r="F1914" s="82">
        <v>10860000</v>
      </c>
      <c r="G1914" s="82">
        <v>10852000</v>
      </c>
      <c r="I1914" s="97">
        <v>0</v>
      </c>
      <c r="J1914" s="97">
        <v>0</v>
      </c>
      <c r="K1914" s="97">
        <v>0</v>
      </c>
      <c r="M1914" s="7">
        <f t="shared" si="320"/>
        <v>0</v>
      </c>
      <c r="N1914" s="7">
        <f t="shared" si="329"/>
        <v>0</v>
      </c>
      <c r="O1914" s="7">
        <f t="shared" si="328"/>
        <v>17000</v>
      </c>
      <c r="P1914" s="99">
        <f t="shared" si="321"/>
        <v>1.5689893862482695E-3</v>
      </c>
      <c r="Q1914" s="99">
        <f t="shared" si="330"/>
        <v>1.867650542073556E-4</v>
      </c>
      <c r="S1914" s="7">
        <f t="shared" si="322"/>
        <v>11937200.000000002</v>
      </c>
      <c r="T1914" s="7">
        <f t="shared" si="323"/>
        <v>3617333.3333333335</v>
      </c>
      <c r="U1914" s="7">
        <f t="shared" si="324"/>
        <v>12531000</v>
      </c>
      <c r="V1914" s="7">
        <f t="shared" si="325"/>
        <v>0</v>
      </c>
      <c r="W1914" s="7">
        <f t="shared" si="326"/>
        <v>0</v>
      </c>
      <c r="X1914" s="7">
        <f t="shared" si="327"/>
        <v>0</v>
      </c>
    </row>
    <row r="1915" spans="1:24">
      <c r="A1915">
        <v>1914</v>
      </c>
      <c r="B1915" s="96" t="s">
        <v>1689</v>
      </c>
      <c r="C1915" s="95">
        <v>42658</v>
      </c>
      <c r="D1915" s="82">
        <v>10838000</v>
      </c>
      <c r="E1915" s="82">
        <v>10812000</v>
      </c>
      <c r="F1915" s="82">
        <v>10850000</v>
      </c>
      <c r="G1915" s="82">
        <v>10838000</v>
      </c>
      <c r="I1915" s="97">
        <v>0</v>
      </c>
      <c r="J1915" s="97">
        <v>0</v>
      </c>
      <c r="K1915" s="97">
        <v>0</v>
      </c>
      <c r="M1915" s="7">
        <f t="shared" si="320"/>
        <v>0</v>
      </c>
      <c r="N1915" s="7">
        <f t="shared" si="329"/>
        <v>0</v>
      </c>
      <c r="O1915" s="7">
        <f t="shared" si="328"/>
        <v>-14000</v>
      </c>
      <c r="P1915" s="99">
        <f t="shared" si="321"/>
        <v>-1.2900847769996315E-3</v>
      </c>
      <c r="Q1915" s="99">
        <f t="shared" si="330"/>
        <v>2.2173071036144915E-3</v>
      </c>
      <c r="S1915" s="7">
        <f t="shared" si="322"/>
        <v>11921800.000000002</v>
      </c>
      <c r="T1915" s="7">
        <f t="shared" si="323"/>
        <v>3612666.6666666665</v>
      </c>
      <c r="U1915" s="7">
        <f t="shared" si="324"/>
        <v>12749000</v>
      </c>
      <c r="V1915" s="7">
        <f t="shared" si="325"/>
        <v>0</v>
      </c>
      <c r="W1915" s="7">
        <f t="shared" si="326"/>
        <v>0</v>
      </c>
      <c r="X1915" s="7">
        <f t="shared" si="327"/>
        <v>0</v>
      </c>
    </row>
    <row r="1916" spans="1:24">
      <c r="A1916">
        <v>1915</v>
      </c>
      <c r="B1916" s="96" t="s">
        <v>1688</v>
      </c>
      <c r="C1916" s="95">
        <v>42659</v>
      </c>
      <c r="D1916" s="82">
        <v>10839000</v>
      </c>
      <c r="E1916" s="82">
        <v>10825000</v>
      </c>
      <c r="F1916" s="82">
        <v>10843000</v>
      </c>
      <c r="G1916" s="82">
        <v>10839000</v>
      </c>
      <c r="I1916" s="98">
        <v>0</v>
      </c>
      <c r="J1916" s="98">
        <v>0</v>
      </c>
      <c r="K1916" s="98">
        <v>0</v>
      </c>
      <c r="M1916" s="7">
        <f t="shared" si="320"/>
        <v>0</v>
      </c>
      <c r="N1916" s="7">
        <f t="shared" si="329"/>
        <v>0</v>
      </c>
      <c r="O1916" s="7">
        <f t="shared" si="328"/>
        <v>1000</v>
      </c>
      <c r="P1916" s="99">
        <f t="shared" si="321"/>
        <v>9.2267946115519469E-5</v>
      </c>
      <c r="Q1916" s="99">
        <f t="shared" si="330"/>
        <v>2.8075021726872034E-4</v>
      </c>
      <c r="S1916" s="7">
        <f t="shared" si="322"/>
        <v>11922900.000000002</v>
      </c>
      <c r="T1916" s="7">
        <f t="shared" si="323"/>
        <v>3613000</v>
      </c>
      <c r="U1916" s="7">
        <f t="shared" si="324"/>
        <v>12559000</v>
      </c>
      <c r="V1916" s="7">
        <f t="shared" si="325"/>
        <v>0</v>
      </c>
      <c r="W1916" s="7">
        <f t="shared" si="326"/>
        <v>0</v>
      </c>
      <c r="X1916" s="7">
        <f t="shared" si="327"/>
        <v>0</v>
      </c>
    </row>
    <row r="1917" spans="1:24">
      <c r="A1917">
        <v>1916</v>
      </c>
      <c r="B1917" s="96" t="s">
        <v>1687</v>
      </c>
      <c r="C1917" s="95">
        <v>42660</v>
      </c>
      <c r="D1917" s="82">
        <v>10883000</v>
      </c>
      <c r="E1917" s="82">
        <v>10839000</v>
      </c>
      <c r="F1917" s="82">
        <v>10883000</v>
      </c>
      <c r="G1917" s="82">
        <v>10883000</v>
      </c>
      <c r="I1917" s="82">
        <f>G1917*1.1</f>
        <v>11971300.000000002</v>
      </c>
      <c r="J1917" s="82">
        <f>G1917/3</f>
        <v>3627666.6666666665</v>
      </c>
      <c r="K1917" s="7">
        <f>G2185</f>
        <v>12579000</v>
      </c>
      <c r="L1917" s="7">
        <f>K1917-I1917</f>
        <v>607699.99999999814</v>
      </c>
      <c r="M1917" s="7">
        <f t="shared" si="320"/>
        <v>453458.33333333326</v>
      </c>
      <c r="N1917" s="7">
        <f t="shared" si="329"/>
        <v>1061158.3333333314</v>
      </c>
      <c r="O1917" s="7">
        <f t="shared" si="328"/>
        <v>44000</v>
      </c>
      <c r="P1917" s="99">
        <f t="shared" si="321"/>
        <v>4.0594150751914384E-3</v>
      </c>
      <c r="Q1917" s="99">
        <f t="shared" si="330"/>
        <v>-8.2679724962914265E-4</v>
      </c>
      <c r="R1917">
        <v>1</v>
      </c>
      <c r="S1917" s="7">
        <f t="shared" si="322"/>
        <v>11971300.000000002</v>
      </c>
      <c r="T1917" s="7">
        <f t="shared" si="323"/>
        <v>3627666.6666666665</v>
      </c>
      <c r="U1917" s="7">
        <f t="shared" si="324"/>
        <v>12579000</v>
      </c>
      <c r="V1917" s="7">
        <f t="shared" si="325"/>
        <v>607699.99999999814</v>
      </c>
      <c r="W1917" s="7">
        <f t="shared" si="326"/>
        <v>453458.33333333326</v>
      </c>
      <c r="X1917" s="7">
        <f t="shared" si="327"/>
        <v>1061158.3333333314</v>
      </c>
    </row>
    <row r="1918" spans="1:24">
      <c r="A1918">
        <v>1917</v>
      </c>
      <c r="B1918" s="96" t="s">
        <v>1686</v>
      </c>
      <c r="C1918" s="95">
        <v>42661</v>
      </c>
      <c r="D1918" s="82">
        <v>10927000</v>
      </c>
      <c r="E1918" s="82">
        <v>10880000</v>
      </c>
      <c r="F1918" s="82">
        <v>10936000</v>
      </c>
      <c r="G1918" s="82">
        <v>10927000</v>
      </c>
      <c r="I1918" s="97">
        <v>0</v>
      </c>
      <c r="J1918" s="97">
        <v>0</v>
      </c>
      <c r="K1918" s="97">
        <v>0</v>
      </c>
      <c r="M1918" s="7">
        <f t="shared" si="320"/>
        <v>0</v>
      </c>
      <c r="N1918" s="7">
        <f t="shared" si="329"/>
        <v>0</v>
      </c>
      <c r="O1918" s="7">
        <f t="shared" si="328"/>
        <v>44000</v>
      </c>
      <c r="P1918" s="99">
        <f t="shared" si="321"/>
        <v>4.0430028484792794E-3</v>
      </c>
      <c r="Q1918" s="99">
        <f t="shared" si="330"/>
        <v>2.9560691529959241E-3</v>
      </c>
      <c r="S1918" s="7">
        <f t="shared" si="322"/>
        <v>12019700.000000002</v>
      </c>
      <c r="T1918" s="7">
        <f t="shared" si="323"/>
        <v>3642333.3333333335</v>
      </c>
      <c r="U1918" s="7">
        <f t="shared" si="324"/>
        <v>12660000</v>
      </c>
      <c r="V1918" s="7">
        <f t="shared" si="325"/>
        <v>0</v>
      </c>
      <c r="W1918" s="7">
        <f t="shared" si="326"/>
        <v>0</v>
      </c>
      <c r="X1918" s="7">
        <f t="shared" si="327"/>
        <v>0</v>
      </c>
    </row>
    <row r="1919" spans="1:24">
      <c r="A1919">
        <v>1918</v>
      </c>
      <c r="B1919" s="96" t="s">
        <v>1685</v>
      </c>
      <c r="C1919" s="95">
        <v>42662</v>
      </c>
      <c r="D1919" s="82">
        <v>10923000</v>
      </c>
      <c r="E1919" s="82">
        <v>10919000</v>
      </c>
      <c r="F1919" s="82">
        <v>10968000</v>
      </c>
      <c r="G1919" s="82">
        <v>10923000</v>
      </c>
      <c r="I1919" s="97">
        <v>0</v>
      </c>
      <c r="J1919" s="97">
        <v>0</v>
      </c>
      <c r="K1919" s="97">
        <v>0</v>
      </c>
      <c r="M1919" s="7">
        <f t="shared" si="320"/>
        <v>0</v>
      </c>
      <c r="N1919" s="7">
        <f t="shared" si="329"/>
        <v>0</v>
      </c>
      <c r="O1919" s="7">
        <f t="shared" si="328"/>
        <v>-4000</v>
      </c>
      <c r="P1919" s="99">
        <f t="shared" si="321"/>
        <v>-3.6606570879472864E-4</v>
      </c>
      <c r="Q1919" s="99">
        <f t="shared" si="330"/>
        <v>8.4735904790348756E-3</v>
      </c>
      <c r="S1919" s="7">
        <f t="shared" si="322"/>
        <v>12015300.000000002</v>
      </c>
      <c r="T1919" s="7">
        <f t="shared" si="323"/>
        <v>3641000</v>
      </c>
      <c r="U1919" s="7">
        <f t="shared" si="324"/>
        <v>12728000</v>
      </c>
      <c r="V1919" s="7">
        <f t="shared" si="325"/>
        <v>0</v>
      </c>
      <c r="W1919" s="7">
        <f t="shared" si="326"/>
        <v>0</v>
      </c>
      <c r="X1919" s="7">
        <f t="shared" si="327"/>
        <v>0</v>
      </c>
    </row>
    <row r="1920" spans="1:24">
      <c r="A1920">
        <v>1919</v>
      </c>
      <c r="B1920" s="96" t="s">
        <v>1684</v>
      </c>
      <c r="C1920" s="95">
        <v>42663</v>
      </c>
      <c r="D1920" s="82">
        <v>10944000</v>
      </c>
      <c r="E1920" s="82">
        <v>10928000</v>
      </c>
      <c r="F1920" s="82">
        <v>10963000</v>
      </c>
      <c r="G1920" s="82">
        <v>10944000</v>
      </c>
      <c r="I1920" s="97">
        <v>0</v>
      </c>
      <c r="J1920" s="97">
        <v>0</v>
      </c>
      <c r="K1920" s="97">
        <v>0</v>
      </c>
      <c r="M1920" s="7">
        <f t="shared" si="320"/>
        <v>0</v>
      </c>
      <c r="N1920" s="7">
        <f t="shared" si="329"/>
        <v>0</v>
      </c>
      <c r="O1920" s="7">
        <f t="shared" si="328"/>
        <v>21000</v>
      </c>
      <c r="P1920" s="99">
        <f t="shared" si="321"/>
        <v>1.9225487503433123E-3</v>
      </c>
      <c r="Q1920" s="99">
        <f t="shared" si="330"/>
        <v>6.5385353839918781E-3</v>
      </c>
      <c r="S1920" s="7">
        <f t="shared" si="322"/>
        <v>12038400.000000002</v>
      </c>
      <c r="T1920" s="7">
        <f t="shared" si="323"/>
        <v>3648000</v>
      </c>
      <c r="U1920" s="7">
        <f t="shared" si="324"/>
        <v>12744000</v>
      </c>
      <c r="V1920" s="7">
        <f t="shared" si="325"/>
        <v>0</v>
      </c>
      <c r="W1920" s="7">
        <f t="shared" si="326"/>
        <v>0</v>
      </c>
      <c r="X1920" s="7">
        <f t="shared" si="327"/>
        <v>0</v>
      </c>
    </row>
    <row r="1921" spans="1:24">
      <c r="A1921">
        <v>1920</v>
      </c>
      <c r="B1921" s="96" t="s">
        <v>1683</v>
      </c>
      <c r="C1921" s="95">
        <v>42665</v>
      </c>
      <c r="D1921" s="82">
        <v>10964000</v>
      </c>
      <c r="E1921" s="82">
        <v>10936000</v>
      </c>
      <c r="F1921" s="82">
        <v>10968000</v>
      </c>
      <c r="G1921" s="82">
        <v>10964000</v>
      </c>
      <c r="I1921" s="98">
        <v>0</v>
      </c>
      <c r="J1921" s="98">
        <v>0</v>
      </c>
      <c r="K1921" s="98">
        <v>0</v>
      </c>
      <c r="M1921" s="7">
        <f t="shared" si="320"/>
        <v>0</v>
      </c>
      <c r="N1921" s="7">
        <f t="shared" si="329"/>
        <v>0</v>
      </c>
      <c r="O1921" s="7">
        <f t="shared" si="328"/>
        <v>20000</v>
      </c>
      <c r="P1921" s="99">
        <f t="shared" si="321"/>
        <v>1.827485380116959E-3</v>
      </c>
      <c r="Q1921" s="99">
        <f t="shared" si="330"/>
        <v>9.7511689113348211E-3</v>
      </c>
      <c r="S1921" s="7">
        <f t="shared" si="322"/>
        <v>12060400.000000002</v>
      </c>
      <c r="T1921" s="7">
        <f t="shared" si="323"/>
        <v>3654666.6666666665</v>
      </c>
      <c r="U1921" s="7">
        <f t="shared" si="324"/>
        <v>12682000</v>
      </c>
      <c r="V1921" s="7">
        <f t="shared" si="325"/>
        <v>0</v>
      </c>
      <c r="W1921" s="7">
        <f t="shared" si="326"/>
        <v>0</v>
      </c>
      <c r="X1921" s="7">
        <f t="shared" si="327"/>
        <v>0</v>
      </c>
    </row>
    <row r="1922" spans="1:24">
      <c r="A1922">
        <v>1921</v>
      </c>
      <c r="B1922" s="96" t="s">
        <v>1682</v>
      </c>
      <c r="C1922" s="95">
        <v>42666</v>
      </c>
      <c r="D1922" s="82">
        <v>10974000</v>
      </c>
      <c r="E1922" s="82">
        <v>10948000</v>
      </c>
      <c r="F1922" s="82">
        <v>10981000</v>
      </c>
      <c r="G1922" s="82">
        <v>10974000</v>
      </c>
      <c r="I1922" s="82">
        <f>G1922*1.1</f>
        <v>12071400.000000002</v>
      </c>
      <c r="J1922" s="82">
        <f>G1922/3</f>
        <v>3658000</v>
      </c>
      <c r="K1922" s="7">
        <f>G2190</f>
        <v>12572000</v>
      </c>
      <c r="L1922" s="7">
        <f>K1922-I1922</f>
        <v>500599.99999999814</v>
      </c>
      <c r="M1922" s="7">
        <f t="shared" ref="M1922:M1985" si="331">J1922*$AI$6/200</f>
        <v>457250</v>
      </c>
      <c r="N1922" s="7">
        <f t="shared" si="329"/>
        <v>957849.99999999814</v>
      </c>
      <c r="O1922" s="7">
        <f t="shared" si="328"/>
        <v>10000</v>
      </c>
      <c r="P1922" s="99">
        <f t="shared" si="321"/>
        <v>9.1207588471360818E-4</v>
      </c>
      <c r="Q1922" s="99">
        <f t="shared" si="330"/>
        <v>1.1486386345336261E-2</v>
      </c>
      <c r="R1922">
        <v>1</v>
      </c>
      <c r="S1922" s="7">
        <f t="shared" si="322"/>
        <v>12071400.000000002</v>
      </c>
      <c r="T1922" s="7">
        <f t="shared" si="323"/>
        <v>3658000</v>
      </c>
      <c r="U1922" s="7">
        <f t="shared" si="324"/>
        <v>12572000</v>
      </c>
      <c r="V1922" s="7">
        <f t="shared" si="325"/>
        <v>500599.99999999814</v>
      </c>
      <c r="W1922" s="7">
        <f t="shared" si="326"/>
        <v>457250</v>
      </c>
      <c r="X1922" s="7">
        <f t="shared" si="327"/>
        <v>957849.99999999814</v>
      </c>
    </row>
    <row r="1923" spans="1:24">
      <c r="A1923">
        <v>1922</v>
      </c>
      <c r="B1923" s="96" t="s">
        <v>1681</v>
      </c>
      <c r="C1923" s="95">
        <v>42667</v>
      </c>
      <c r="D1923" s="82">
        <v>11029000</v>
      </c>
      <c r="E1923" s="82">
        <v>10966000</v>
      </c>
      <c r="F1923" s="82">
        <v>11046000</v>
      </c>
      <c r="G1923" s="82">
        <v>11029000</v>
      </c>
      <c r="I1923" s="97">
        <v>0</v>
      </c>
      <c r="J1923" s="97">
        <v>0</v>
      </c>
      <c r="K1923" s="97">
        <v>0</v>
      </c>
      <c r="M1923" s="7">
        <f t="shared" si="331"/>
        <v>0</v>
      </c>
      <c r="N1923" s="7">
        <f t="shared" si="329"/>
        <v>0</v>
      </c>
      <c r="O1923" s="7">
        <f t="shared" si="328"/>
        <v>55000</v>
      </c>
      <c r="P1923" s="99">
        <f t="shared" ref="P1923:P1986" si="332">O1923/G1922</f>
        <v>5.011846181884454E-3</v>
      </c>
      <c r="Q1923" s="99">
        <f t="shared" si="330"/>
        <v>8.3390471548584304E-3</v>
      </c>
      <c r="S1923" s="7">
        <f t="shared" ref="S1923:S1986" si="333">G1923*1.1</f>
        <v>12131900.000000002</v>
      </c>
      <c r="T1923" s="7">
        <f t="shared" ref="T1923:T1986" si="334">G1923/3</f>
        <v>3676333.3333333335</v>
      </c>
      <c r="U1923" s="7">
        <f t="shared" ref="U1923:U1986" si="335">G2191</f>
        <v>12628000</v>
      </c>
      <c r="V1923" s="7">
        <f t="shared" ref="V1923:V1986" si="336">(U1923-S1923)*R1923</f>
        <v>0</v>
      </c>
      <c r="W1923" s="7">
        <f t="shared" ref="W1923:W1986" si="337">(T1923*$AI$6/200)*R1923</f>
        <v>0</v>
      </c>
      <c r="X1923" s="7">
        <f t="shared" ref="X1923:X1986" si="338">V1923+W1923</f>
        <v>0</v>
      </c>
    </row>
    <row r="1924" spans="1:24">
      <c r="A1924">
        <v>1923</v>
      </c>
      <c r="B1924" s="96" t="s">
        <v>1680</v>
      </c>
      <c r="C1924" s="95">
        <v>42668</v>
      </c>
      <c r="D1924" s="82">
        <v>11107000</v>
      </c>
      <c r="E1924" s="82">
        <v>11035000</v>
      </c>
      <c r="F1924" s="82">
        <v>11110000</v>
      </c>
      <c r="G1924" s="82">
        <v>11107000</v>
      </c>
      <c r="I1924" s="97">
        <v>0</v>
      </c>
      <c r="J1924" s="97">
        <v>0</v>
      </c>
      <c r="K1924" s="97">
        <v>0</v>
      </c>
      <c r="M1924" s="7">
        <f t="shared" si="331"/>
        <v>0</v>
      </c>
      <c r="N1924" s="7">
        <f t="shared" si="329"/>
        <v>0</v>
      </c>
      <c r="O1924" s="7">
        <f t="shared" ref="O1924:O1987" si="339">G1924-G1923</f>
        <v>78000</v>
      </c>
      <c r="P1924" s="99">
        <f t="shared" si="332"/>
        <v>7.0722640311904981E-3</v>
      </c>
      <c r="Q1924" s="99">
        <f t="shared" si="330"/>
        <v>9.3078904882636058E-3</v>
      </c>
      <c r="S1924" s="7">
        <f t="shared" si="333"/>
        <v>12217700.000000002</v>
      </c>
      <c r="T1924" s="7">
        <f t="shared" si="334"/>
        <v>3702333.3333333335</v>
      </c>
      <c r="U1924" s="7">
        <f t="shared" si="335"/>
        <v>12594000</v>
      </c>
      <c r="V1924" s="7">
        <f t="shared" si="336"/>
        <v>0</v>
      </c>
      <c r="W1924" s="7">
        <f t="shared" si="337"/>
        <v>0</v>
      </c>
      <c r="X1924" s="7">
        <f t="shared" si="338"/>
        <v>0</v>
      </c>
    </row>
    <row r="1925" spans="1:24">
      <c r="A1925">
        <v>1924</v>
      </c>
      <c r="B1925" s="96" t="s">
        <v>1679</v>
      </c>
      <c r="C1925" s="95">
        <v>42669</v>
      </c>
      <c r="D1925" s="82">
        <v>11088000</v>
      </c>
      <c r="E1925" s="82">
        <v>11064000</v>
      </c>
      <c r="F1925" s="82">
        <v>11164000</v>
      </c>
      <c r="G1925" s="82">
        <v>11088000</v>
      </c>
      <c r="I1925" s="97">
        <v>0</v>
      </c>
      <c r="J1925" s="97">
        <v>0</v>
      </c>
      <c r="K1925" s="97">
        <v>0</v>
      </c>
      <c r="M1925" s="7">
        <f t="shared" si="331"/>
        <v>0</v>
      </c>
      <c r="N1925" s="7">
        <f t="shared" si="329"/>
        <v>0</v>
      </c>
      <c r="O1925" s="7">
        <f t="shared" si="339"/>
        <v>-19000</v>
      </c>
      <c r="P1925" s="99">
        <f t="shared" si="332"/>
        <v>-1.7106329341856487E-3</v>
      </c>
      <c r="Q1925" s="99">
        <f t="shared" si="330"/>
        <v>1.6746220228248829E-2</v>
      </c>
      <c r="S1925" s="7">
        <f t="shared" si="333"/>
        <v>12196800.000000002</v>
      </c>
      <c r="T1925" s="7">
        <f t="shared" si="334"/>
        <v>3696000</v>
      </c>
      <c r="U1925" s="7">
        <f t="shared" si="335"/>
        <v>12542000</v>
      </c>
      <c r="V1925" s="7">
        <f t="shared" si="336"/>
        <v>0</v>
      </c>
      <c r="W1925" s="7">
        <f t="shared" si="337"/>
        <v>0</v>
      </c>
      <c r="X1925" s="7">
        <f t="shared" si="338"/>
        <v>0</v>
      </c>
    </row>
    <row r="1926" spans="1:24">
      <c r="A1926">
        <v>1925</v>
      </c>
      <c r="B1926" s="96" t="s">
        <v>1678</v>
      </c>
      <c r="C1926" s="95">
        <v>42670</v>
      </c>
      <c r="D1926" s="82">
        <v>11096000</v>
      </c>
      <c r="E1926" s="82">
        <v>11037000</v>
      </c>
      <c r="F1926" s="82">
        <v>11099000</v>
      </c>
      <c r="G1926" s="82">
        <v>11096000</v>
      </c>
      <c r="I1926" s="98">
        <v>0</v>
      </c>
      <c r="J1926" s="98">
        <v>0</v>
      </c>
      <c r="K1926" s="98">
        <v>0</v>
      </c>
      <c r="M1926" s="7">
        <f t="shared" si="331"/>
        <v>0</v>
      </c>
      <c r="N1926" s="7">
        <f t="shared" si="329"/>
        <v>0</v>
      </c>
      <c r="O1926" s="7">
        <f t="shared" si="339"/>
        <v>8000</v>
      </c>
      <c r="P1926" s="99">
        <f t="shared" si="332"/>
        <v>7.215007215007215E-4</v>
      </c>
      <c r="Q1926" s="99">
        <f t="shared" si="330"/>
        <v>1.311303854371987E-2</v>
      </c>
      <c r="S1926" s="7">
        <f t="shared" si="333"/>
        <v>12205600.000000002</v>
      </c>
      <c r="T1926" s="7">
        <f t="shared" si="334"/>
        <v>3698666.6666666665</v>
      </c>
      <c r="U1926" s="7">
        <f t="shared" si="335"/>
        <v>12479000</v>
      </c>
      <c r="V1926" s="7">
        <f t="shared" si="336"/>
        <v>0</v>
      </c>
      <c r="W1926" s="7">
        <f t="shared" si="337"/>
        <v>0</v>
      </c>
      <c r="X1926" s="7">
        <f t="shared" si="338"/>
        <v>0</v>
      </c>
    </row>
    <row r="1927" spans="1:24">
      <c r="A1927">
        <v>1926</v>
      </c>
      <c r="B1927" s="96" t="s">
        <v>1677</v>
      </c>
      <c r="C1927" s="95">
        <v>42672</v>
      </c>
      <c r="D1927" s="82">
        <v>11101000</v>
      </c>
      <c r="E1927" s="82">
        <v>11088000</v>
      </c>
      <c r="F1927" s="82">
        <v>11145000</v>
      </c>
      <c r="G1927" s="82">
        <v>11101000</v>
      </c>
      <c r="I1927" s="82">
        <f>G1927*1.1</f>
        <v>12211100.000000002</v>
      </c>
      <c r="J1927" s="82">
        <f>G1927/3</f>
        <v>3700333.3333333335</v>
      </c>
      <c r="K1927" s="7">
        <f>G2195</f>
        <v>12443000</v>
      </c>
      <c r="L1927" s="7">
        <f>K1927-I1927</f>
        <v>231899.99999999814</v>
      </c>
      <c r="M1927" s="7">
        <f t="shared" si="331"/>
        <v>462541.66666666674</v>
      </c>
      <c r="N1927" s="7">
        <f t="shared" si="329"/>
        <v>694441.66666666488</v>
      </c>
      <c r="O1927" s="7">
        <f t="shared" si="339"/>
        <v>5000</v>
      </c>
      <c r="P1927" s="99">
        <f t="shared" si="332"/>
        <v>4.5061283345349673E-4</v>
      </c>
      <c r="Q1927" s="99">
        <f t="shared" si="330"/>
        <v>1.2007053885103633E-2</v>
      </c>
      <c r="R1927">
        <v>1</v>
      </c>
      <c r="S1927" s="7">
        <f t="shared" si="333"/>
        <v>12211100.000000002</v>
      </c>
      <c r="T1927" s="7">
        <f t="shared" si="334"/>
        <v>3700333.3333333335</v>
      </c>
      <c r="U1927" s="7">
        <f t="shared" si="335"/>
        <v>12443000</v>
      </c>
      <c r="V1927" s="7">
        <f t="shared" si="336"/>
        <v>231899.99999999814</v>
      </c>
      <c r="W1927" s="7">
        <f t="shared" si="337"/>
        <v>462541.66666666674</v>
      </c>
      <c r="X1927" s="7">
        <f t="shared" si="338"/>
        <v>694441.66666666488</v>
      </c>
    </row>
    <row r="1928" spans="1:24">
      <c r="A1928">
        <v>1927</v>
      </c>
      <c r="B1928" s="96" t="s">
        <v>1676</v>
      </c>
      <c r="C1928" s="95">
        <v>42673</v>
      </c>
      <c r="D1928" s="82">
        <v>11183000</v>
      </c>
      <c r="E1928" s="82">
        <v>11103000</v>
      </c>
      <c r="F1928" s="82">
        <v>11186000</v>
      </c>
      <c r="G1928" s="82">
        <v>11183000</v>
      </c>
      <c r="I1928" s="97">
        <v>0</v>
      </c>
      <c r="J1928" s="97">
        <v>0</v>
      </c>
      <c r="K1928" s="97">
        <v>0</v>
      </c>
      <c r="M1928" s="7">
        <f t="shared" si="331"/>
        <v>0</v>
      </c>
      <c r="N1928" s="7">
        <f t="shared" ref="N1928:N1991" si="340">L1928+M1928</f>
        <v>0</v>
      </c>
      <c r="O1928" s="7">
        <f t="shared" si="339"/>
        <v>82000</v>
      </c>
      <c r="P1928" s="99">
        <f t="shared" si="332"/>
        <v>7.3867219169444194E-3</v>
      </c>
      <c r="Q1928" s="99">
        <f t="shared" ref="Q1928:Q1991" si="341">SUM(P1923:P1927)</f>
        <v>1.1545590833843522E-2</v>
      </c>
      <c r="S1928" s="7">
        <f t="shared" si="333"/>
        <v>12301300.000000002</v>
      </c>
      <c r="T1928" s="7">
        <f t="shared" si="334"/>
        <v>3727666.6666666665</v>
      </c>
      <c r="U1928" s="7">
        <f t="shared" si="335"/>
        <v>12412000</v>
      </c>
      <c r="V1928" s="7">
        <f t="shared" si="336"/>
        <v>0</v>
      </c>
      <c r="W1928" s="7">
        <f t="shared" si="337"/>
        <v>0</v>
      </c>
      <c r="X1928" s="7">
        <f t="shared" si="338"/>
        <v>0</v>
      </c>
    </row>
    <row r="1929" spans="1:24">
      <c r="A1929">
        <v>1928</v>
      </c>
      <c r="B1929" s="96" t="s">
        <v>1675</v>
      </c>
      <c r="C1929" s="95">
        <v>42674</v>
      </c>
      <c r="D1929" s="82">
        <v>11117000</v>
      </c>
      <c r="E1929" s="82">
        <v>11100000</v>
      </c>
      <c r="F1929" s="82">
        <v>11180000</v>
      </c>
      <c r="G1929" s="82">
        <v>11117000</v>
      </c>
      <c r="I1929" s="97">
        <v>0</v>
      </c>
      <c r="J1929" s="97">
        <v>0</v>
      </c>
      <c r="K1929" s="97">
        <v>0</v>
      </c>
      <c r="M1929" s="7">
        <f t="shared" si="331"/>
        <v>0</v>
      </c>
      <c r="N1929" s="7">
        <f t="shared" si="340"/>
        <v>0</v>
      </c>
      <c r="O1929" s="7">
        <f t="shared" si="339"/>
        <v>-66000</v>
      </c>
      <c r="P1929" s="99">
        <f t="shared" si="332"/>
        <v>-5.9018152552982204E-3</v>
      </c>
      <c r="Q1929" s="99">
        <f t="shared" si="341"/>
        <v>1.3920466568903486E-2</v>
      </c>
      <c r="S1929" s="7">
        <f t="shared" si="333"/>
        <v>12228700.000000002</v>
      </c>
      <c r="T1929" s="7">
        <f t="shared" si="334"/>
        <v>3705666.6666666665</v>
      </c>
      <c r="U1929" s="7">
        <f t="shared" si="335"/>
        <v>12425000</v>
      </c>
      <c r="V1929" s="7">
        <f t="shared" si="336"/>
        <v>0</v>
      </c>
      <c r="W1929" s="7">
        <f t="shared" si="337"/>
        <v>0</v>
      </c>
      <c r="X1929" s="7">
        <f t="shared" si="338"/>
        <v>0</v>
      </c>
    </row>
    <row r="1930" spans="1:24">
      <c r="A1930">
        <v>1929</v>
      </c>
      <c r="B1930" s="96" t="s">
        <v>1674</v>
      </c>
      <c r="C1930" s="95">
        <v>42675</v>
      </c>
      <c r="D1930" s="82">
        <v>11179000</v>
      </c>
      <c r="E1930" s="82">
        <v>11122000</v>
      </c>
      <c r="F1930" s="82">
        <v>11186000</v>
      </c>
      <c r="G1930" s="82">
        <v>11179000</v>
      </c>
      <c r="I1930" s="97">
        <v>0</v>
      </c>
      <c r="J1930" s="97">
        <v>0</v>
      </c>
      <c r="K1930" s="97">
        <v>0</v>
      </c>
      <c r="M1930" s="7">
        <f t="shared" si="331"/>
        <v>0</v>
      </c>
      <c r="N1930" s="7">
        <f t="shared" si="340"/>
        <v>0</v>
      </c>
      <c r="O1930" s="7">
        <f t="shared" si="339"/>
        <v>62000</v>
      </c>
      <c r="P1930" s="99">
        <f t="shared" si="332"/>
        <v>5.5770441665917063E-3</v>
      </c>
      <c r="Q1930" s="99">
        <f t="shared" si="341"/>
        <v>9.4638728241476858E-4</v>
      </c>
      <c r="S1930" s="7">
        <f t="shared" si="333"/>
        <v>12296900.000000002</v>
      </c>
      <c r="T1930" s="7">
        <f t="shared" si="334"/>
        <v>3726333.3333333335</v>
      </c>
      <c r="U1930" s="7">
        <f t="shared" si="335"/>
        <v>12461000</v>
      </c>
      <c r="V1930" s="7">
        <f t="shared" si="336"/>
        <v>0</v>
      </c>
      <c r="W1930" s="7">
        <f t="shared" si="337"/>
        <v>0</v>
      </c>
      <c r="X1930" s="7">
        <f t="shared" si="338"/>
        <v>0</v>
      </c>
    </row>
    <row r="1931" spans="1:24">
      <c r="A1931">
        <v>1930</v>
      </c>
      <c r="B1931" s="96" t="s">
        <v>1673</v>
      </c>
      <c r="C1931" s="95">
        <v>42676</v>
      </c>
      <c r="D1931" s="82">
        <v>11271000</v>
      </c>
      <c r="E1931" s="82">
        <v>11202000</v>
      </c>
      <c r="F1931" s="82">
        <v>11281000</v>
      </c>
      <c r="G1931" s="82">
        <v>11271000</v>
      </c>
      <c r="I1931" s="98">
        <v>0</v>
      </c>
      <c r="J1931" s="98">
        <v>0</v>
      </c>
      <c r="K1931" s="98">
        <v>0</v>
      </c>
      <c r="M1931" s="7">
        <f t="shared" si="331"/>
        <v>0</v>
      </c>
      <c r="N1931" s="7">
        <f t="shared" si="340"/>
        <v>0</v>
      </c>
      <c r="O1931" s="7">
        <f t="shared" si="339"/>
        <v>92000</v>
      </c>
      <c r="P1931" s="99">
        <f t="shared" si="332"/>
        <v>8.2297164325968331E-3</v>
      </c>
      <c r="Q1931" s="99">
        <f t="shared" si="341"/>
        <v>8.2340643831921231E-3</v>
      </c>
      <c r="S1931" s="7">
        <f t="shared" si="333"/>
        <v>12398100.000000002</v>
      </c>
      <c r="T1931" s="7">
        <f t="shared" si="334"/>
        <v>3757000</v>
      </c>
      <c r="U1931" s="7">
        <f t="shared" si="335"/>
        <v>12361000</v>
      </c>
      <c r="V1931" s="7">
        <f t="shared" si="336"/>
        <v>0</v>
      </c>
      <c r="W1931" s="7">
        <f t="shared" si="337"/>
        <v>0</v>
      </c>
      <c r="X1931" s="7">
        <f t="shared" si="338"/>
        <v>0</v>
      </c>
    </row>
    <row r="1932" spans="1:24">
      <c r="A1932">
        <v>1931</v>
      </c>
      <c r="B1932" s="96" t="s">
        <v>1672</v>
      </c>
      <c r="C1932" s="95">
        <v>42677</v>
      </c>
      <c r="D1932" s="82">
        <v>11229000</v>
      </c>
      <c r="E1932" s="82">
        <v>11204000</v>
      </c>
      <c r="F1932" s="82">
        <v>11268000</v>
      </c>
      <c r="G1932" s="82">
        <v>11229000</v>
      </c>
      <c r="I1932" s="82">
        <f>G1932*1.1</f>
        <v>12351900.000000002</v>
      </c>
      <c r="J1932" s="82">
        <f>G1932/3</f>
        <v>3743000</v>
      </c>
      <c r="K1932" s="7">
        <f>G2200</f>
        <v>12377000</v>
      </c>
      <c r="L1932" s="7">
        <f>K1932-I1932</f>
        <v>25099.999999998137</v>
      </c>
      <c r="M1932" s="7">
        <f t="shared" si="331"/>
        <v>467875</v>
      </c>
      <c r="N1932" s="7">
        <f t="shared" si="340"/>
        <v>492974.99999999814</v>
      </c>
      <c r="O1932" s="7">
        <f t="shared" si="339"/>
        <v>-42000</v>
      </c>
      <c r="P1932" s="99">
        <f t="shared" si="332"/>
        <v>-3.7263774287995743E-3</v>
      </c>
      <c r="Q1932" s="99">
        <f t="shared" si="341"/>
        <v>1.5742280094288234E-2</v>
      </c>
      <c r="R1932">
        <v>1</v>
      </c>
      <c r="S1932" s="7">
        <f t="shared" si="333"/>
        <v>12351900.000000002</v>
      </c>
      <c r="T1932" s="7">
        <f t="shared" si="334"/>
        <v>3743000</v>
      </c>
      <c r="U1932" s="7">
        <f t="shared" si="335"/>
        <v>12377000</v>
      </c>
      <c r="V1932" s="7">
        <f t="shared" si="336"/>
        <v>25099.999999998137</v>
      </c>
      <c r="W1932" s="7">
        <f t="shared" si="337"/>
        <v>467875</v>
      </c>
      <c r="X1932" s="7">
        <f t="shared" si="338"/>
        <v>492974.99999999814</v>
      </c>
    </row>
    <row r="1933" spans="1:24">
      <c r="A1933">
        <v>1932</v>
      </c>
      <c r="B1933" s="96" t="s">
        <v>1671</v>
      </c>
      <c r="C1933" s="95">
        <v>42679</v>
      </c>
      <c r="D1933" s="82">
        <v>11245000</v>
      </c>
      <c r="E1933" s="82">
        <v>11205000</v>
      </c>
      <c r="F1933" s="82">
        <v>11247000</v>
      </c>
      <c r="G1933" s="82">
        <v>11245000</v>
      </c>
      <c r="I1933" s="97">
        <v>0</v>
      </c>
      <c r="J1933" s="97">
        <v>0</v>
      </c>
      <c r="K1933" s="97">
        <v>0</v>
      </c>
      <c r="M1933" s="7">
        <f t="shared" si="331"/>
        <v>0</v>
      </c>
      <c r="N1933" s="7">
        <f t="shared" si="340"/>
        <v>0</v>
      </c>
      <c r="O1933" s="7">
        <f t="shared" si="339"/>
        <v>16000</v>
      </c>
      <c r="P1933" s="99">
        <f t="shared" si="332"/>
        <v>1.4248820019592127E-3</v>
      </c>
      <c r="Q1933" s="99">
        <f t="shared" si="341"/>
        <v>1.1565289832035162E-2</v>
      </c>
      <c r="S1933" s="7">
        <f t="shared" si="333"/>
        <v>12369500.000000002</v>
      </c>
      <c r="T1933" s="7">
        <f t="shared" si="334"/>
        <v>3748333.3333333335</v>
      </c>
      <c r="U1933" s="7">
        <f t="shared" si="335"/>
        <v>12413000</v>
      </c>
      <c r="V1933" s="7">
        <f t="shared" si="336"/>
        <v>0</v>
      </c>
      <c r="W1933" s="7">
        <f t="shared" si="337"/>
        <v>0</v>
      </c>
      <c r="X1933" s="7">
        <f t="shared" si="338"/>
        <v>0</v>
      </c>
    </row>
    <row r="1934" spans="1:24">
      <c r="A1934">
        <v>1933</v>
      </c>
      <c r="B1934" s="96" t="s">
        <v>1670</v>
      </c>
      <c r="C1934" s="95">
        <v>42680</v>
      </c>
      <c r="D1934" s="82">
        <v>11269000</v>
      </c>
      <c r="E1934" s="82">
        <v>11252000</v>
      </c>
      <c r="F1934" s="82">
        <v>11279000</v>
      </c>
      <c r="G1934" s="82">
        <v>11269000</v>
      </c>
      <c r="I1934" s="97">
        <v>0</v>
      </c>
      <c r="J1934" s="97">
        <v>0</v>
      </c>
      <c r="K1934" s="97">
        <v>0</v>
      </c>
      <c r="M1934" s="7">
        <f t="shared" si="331"/>
        <v>0</v>
      </c>
      <c r="N1934" s="7">
        <f t="shared" si="340"/>
        <v>0</v>
      </c>
      <c r="O1934" s="7">
        <f t="shared" si="339"/>
        <v>24000</v>
      </c>
      <c r="P1934" s="99">
        <f t="shared" si="332"/>
        <v>2.1342819030680301E-3</v>
      </c>
      <c r="Q1934" s="99">
        <f t="shared" si="341"/>
        <v>5.6034499170499576E-3</v>
      </c>
      <c r="S1934" s="7">
        <f t="shared" si="333"/>
        <v>12395900.000000002</v>
      </c>
      <c r="T1934" s="7">
        <f t="shared" si="334"/>
        <v>3756333.3333333335</v>
      </c>
      <c r="U1934" s="7">
        <f t="shared" si="335"/>
        <v>12484000</v>
      </c>
      <c r="V1934" s="7">
        <f t="shared" si="336"/>
        <v>0</v>
      </c>
      <c r="W1934" s="7">
        <f t="shared" si="337"/>
        <v>0</v>
      </c>
      <c r="X1934" s="7">
        <f t="shared" si="338"/>
        <v>0</v>
      </c>
    </row>
    <row r="1935" spans="1:24">
      <c r="A1935">
        <v>1934</v>
      </c>
      <c r="B1935" s="96" t="s">
        <v>1669</v>
      </c>
      <c r="C1935" s="95">
        <v>42681</v>
      </c>
      <c r="D1935" s="82">
        <v>11160000</v>
      </c>
      <c r="E1935" s="82">
        <v>11140000</v>
      </c>
      <c r="F1935" s="82">
        <v>11213000</v>
      </c>
      <c r="G1935" s="82">
        <v>11160000</v>
      </c>
      <c r="I1935" s="97">
        <v>0</v>
      </c>
      <c r="J1935" s="97">
        <v>0</v>
      </c>
      <c r="K1935" s="97">
        <v>0</v>
      </c>
      <c r="M1935" s="7">
        <f t="shared" si="331"/>
        <v>0</v>
      </c>
      <c r="N1935" s="7">
        <f t="shared" si="340"/>
        <v>0</v>
      </c>
      <c r="O1935" s="7">
        <f t="shared" si="339"/>
        <v>-109000</v>
      </c>
      <c r="P1935" s="99">
        <f t="shared" si="332"/>
        <v>-9.6725530215635812E-3</v>
      </c>
      <c r="Q1935" s="99">
        <f t="shared" si="341"/>
        <v>1.3639547075416208E-2</v>
      </c>
      <c r="S1935" s="7">
        <f t="shared" si="333"/>
        <v>12276000.000000002</v>
      </c>
      <c r="T1935" s="7">
        <f t="shared" si="334"/>
        <v>3720000</v>
      </c>
      <c r="U1935" s="7">
        <f t="shared" si="335"/>
        <v>12449000</v>
      </c>
      <c r="V1935" s="7">
        <f t="shared" si="336"/>
        <v>0</v>
      </c>
      <c r="W1935" s="7">
        <f t="shared" si="337"/>
        <v>0</v>
      </c>
      <c r="X1935" s="7">
        <f t="shared" si="338"/>
        <v>0</v>
      </c>
    </row>
    <row r="1936" spans="1:24">
      <c r="A1936">
        <v>1935</v>
      </c>
      <c r="B1936" s="96" t="s">
        <v>1668</v>
      </c>
      <c r="C1936" s="95">
        <v>42682</v>
      </c>
      <c r="D1936" s="82">
        <v>11170000</v>
      </c>
      <c r="E1936" s="82">
        <v>11159000</v>
      </c>
      <c r="F1936" s="82">
        <v>11222000</v>
      </c>
      <c r="G1936" s="82">
        <v>11170000</v>
      </c>
      <c r="I1936" s="98">
        <v>0</v>
      </c>
      <c r="J1936" s="98">
        <v>0</v>
      </c>
      <c r="K1936" s="98">
        <v>0</v>
      </c>
      <c r="M1936" s="7">
        <f t="shared" si="331"/>
        <v>0</v>
      </c>
      <c r="N1936" s="7">
        <f t="shared" si="340"/>
        <v>0</v>
      </c>
      <c r="O1936" s="7">
        <f t="shared" si="339"/>
        <v>10000</v>
      </c>
      <c r="P1936" s="99">
        <f t="shared" si="332"/>
        <v>8.960573476702509E-4</v>
      </c>
      <c r="Q1936" s="99">
        <f t="shared" si="341"/>
        <v>-1.6100501127390802E-3</v>
      </c>
      <c r="S1936" s="7">
        <f t="shared" si="333"/>
        <v>12287000.000000002</v>
      </c>
      <c r="T1936" s="7">
        <f t="shared" si="334"/>
        <v>3723333.3333333335</v>
      </c>
      <c r="U1936" s="7">
        <f t="shared" si="335"/>
        <v>12461000</v>
      </c>
      <c r="V1936" s="7">
        <f t="shared" si="336"/>
        <v>0</v>
      </c>
      <c r="W1936" s="7">
        <f t="shared" si="337"/>
        <v>0</v>
      </c>
      <c r="X1936" s="7">
        <f t="shared" si="338"/>
        <v>0</v>
      </c>
    </row>
    <row r="1937" spans="1:24">
      <c r="A1937">
        <v>1936</v>
      </c>
      <c r="B1937" s="96" t="s">
        <v>1667</v>
      </c>
      <c r="C1937" s="95">
        <v>42683</v>
      </c>
      <c r="D1937" s="82">
        <v>11240000</v>
      </c>
      <c r="E1937" s="82">
        <v>11240000</v>
      </c>
      <c r="F1937" s="82">
        <v>11399000</v>
      </c>
      <c r="G1937" s="82">
        <v>11240000</v>
      </c>
      <c r="I1937" s="82">
        <f>G1937*1.1</f>
        <v>12364000.000000002</v>
      </c>
      <c r="J1937" s="82">
        <f>G1937/3</f>
        <v>3746666.6666666665</v>
      </c>
      <c r="K1937" s="7">
        <f>G2205</f>
        <v>12466000</v>
      </c>
      <c r="L1937" s="7">
        <f>K1937-I1937</f>
        <v>101999.99999999814</v>
      </c>
      <c r="M1937" s="7">
        <f t="shared" si="331"/>
        <v>468333.33333333326</v>
      </c>
      <c r="N1937" s="7">
        <f t="shared" si="340"/>
        <v>570333.33333333139</v>
      </c>
      <c r="O1937" s="7">
        <f t="shared" si="339"/>
        <v>70000</v>
      </c>
      <c r="P1937" s="99">
        <f t="shared" si="332"/>
        <v>6.2667860340196958E-3</v>
      </c>
      <c r="Q1937" s="99">
        <f t="shared" si="341"/>
        <v>-8.943709197665661E-3</v>
      </c>
      <c r="R1937">
        <v>1</v>
      </c>
      <c r="S1937" s="7">
        <f t="shared" si="333"/>
        <v>12364000.000000002</v>
      </c>
      <c r="T1937" s="7">
        <f t="shared" si="334"/>
        <v>3746666.6666666665</v>
      </c>
      <c r="U1937" s="7">
        <f t="shared" si="335"/>
        <v>12466000</v>
      </c>
      <c r="V1937" s="7">
        <f t="shared" si="336"/>
        <v>101999.99999999814</v>
      </c>
      <c r="W1937" s="7">
        <f t="shared" si="337"/>
        <v>468333.33333333326</v>
      </c>
      <c r="X1937" s="7">
        <f t="shared" si="338"/>
        <v>570333.33333333139</v>
      </c>
    </row>
    <row r="1938" spans="1:24">
      <c r="A1938">
        <v>1937</v>
      </c>
      <c r="B1938" s="96" t="s">
        <v>1666</v>
      </c>
      <c r="C1938" s="95">
        <v>42684</v>
      </c>
      <c r="D1938" s="82">
        <v>11232000</v>
      </c>
      <c r="E1938" s="82">
        <v>11210000</v>
      </c>
      <c r="F1938" s="82">
        <v>11285000</v>
      </c>
      <c r="G1938" s="82">
        <v>11232000</v>
      </c>
      <c r="I1938" s="97">
        <v>0</v>
      </c>
      <c r="J1938" s="97">
        <v>0</v>
      </c>
      <c r="K1938" s="97">
        <v>0</v>
      </c>
      <c r="M1938" s="7">
        <f t="shared" si="331"/>
        <v>0</v>
      </c>
      <c r="N1938" s="7">
        <f t="shared" si="340"/>
        <v>0</v>
      </c>
      <c r="O1938" s="7">
        <f t="shared" si="339"/>
        <v>-8000</v>
      </c>
      <c r="P1938" s="99">
        <f t="shared" si="332"/>
        <v>-7.1174377224199293E-4</v>
      </c>
      <c r="Q1938" s="99">
        <f t="shared" si="341"/>
        <v>1.0494542651536083E-3</v>
      </c>
      <c r="S1938" s="7">
        <f t="shared" si="333"/>
        <v>12355200.000000002</v>
      </c>
      <c r="T1938" s="7">
        <f t="shared" si="334"/>
        <v>3744000</v>
      </c>
      <c r="U1938" s="7">
        <f t="shared" si="335"/>
        <v>12446000</v>
      </c>
      <c r="V1938" s="7">
        <f t="shared" si="336"/>
        <v>0</v>
      </c>
      <c r="W1938" s="7">
        <f t="shared" si="337"/>
        <v>0</v>
      </c>
      <c r="X1938" s="7">
        <f t="shared" si="338"/>
        <v>0</v>
      </c>
    </row>
    <row r="1939" spans="1:24">
      <c r="A1939">
        <v>1938</v>
      </c>
      <c r="B1939" s="96" t="s">
        <v>1665</v>
      </c>
      <c r="C1939" s="95">
        <v>42686</v>
      </c>
      <c r="D1939" s="82">
        <v>11066000</v>
      </c>
      <c r="E1939" s="82">
        <v>11042000</v>
      </c>
      <c r="F1939" s="82">
        <v>11080000</v>
      </c>
      <c r="G1939" s="82">
        <v>11066000</v>
      </c>
      <c r="I1939" s="97">
        <v>0</v>
      </c>
      <c r="J1939" s="97">
        <v>0</v>
      </c>
      <c r="K1939" s="97">
        <v>0</v>
      </c>
      <c r="M1939" s="7">
        <f t="shared" si="331"/>
        <v>0</v>
      </c>
      <c r="N1939" s="7">
        <f t="shared" si="340"/>
        <v>0</v>
      </c>
      <c r="O1939" s="7">
        <f t="shared" si="339"/>
        <v>-166000</v>
      </c>
      <c r="P1939" s="99">
        <f t="shared" si="332"/>
        <v>-1.4779202279202279E-2</v>
      </c>
      <c r="Q1939" s="99">
        <f t="shared" si="341"/>
        <v>-1.0871715090475975E-3</v>
      </c>
      <c r="S1939" s="7">
        <f t="shared" si="333"/>
        <v>12172600.000000002</v>
      </c>
      <c r="T1939" s="7">
        <f t="shared" si="334"/>
        <v>3688666.6666666665</v>
      </c>
      <c r="U1939" s="7">
        <f t="shared" si="335"/>
        <v>12441000</v>
      </c>
      <c r="V1939" s="7">
        <f t="shared" si="336"/>
        <v>0</v>
      </c>
      <c r="W1939" s="7">
        <f t="shared" si="337"/>
        <v>0</v>
      </c>
      <c r="X1939" s="7">
        <f t="shared" si="338"/>
        <v>0</v>
      </c>
    </row>
    <row r="1940" spans="1:24">
      <c r="A1940">
        <v>1939</v>
      </c>
      <c r="B1940" s="96" t="s">
        <v>1664</v>
      </c>
      <c r="C1940" s="95">
        <v>42687</v>
      </c>
      <c r="D1940" s="82">
        <v>11099000</v>
      </c>
      <c r="E1940" s="82">
        <v>11054000</v>
      </c>
      <c r="F1940" s="82">
        <v>11099000</v>
      </c>
      <c r="G1940" s="82">
        <v>11099000</v>
      </c>
      <c r="I1940" s="97">
        <v>0</v>
      </c>
      <c r="J1940" s="97">
        <v>0</v>
      </c>
      <c r="K1940" s="97">
        <v>0</v>
      </c>
      <c r="M1940" s="7">
        <f t="shared" si="331"/>
        <v>0</v>
      </c>
      <c r="N1940" s="7">
        <f t="shared" si="340"/>
        <v>0</v>
      </c>
      <c r="O1940" s="7">
        <f t="shared" si="339"/>
        <v>33000</v>
      </c>
      <c r="P1940" s="99">
        <f t="shared" si="332"/>
        <v>2.982107355864811E-3</v>
      </c>
      <c r="Q1940" s="99">
        <f t="shared" si="341"/>
        <v>-1.8000655691317907E-2</v>
      </c>
      <c r="S1940" s="7">
        <f t="shared" si="333"/>
        <v>12208900.000000002</v>
      </c>
      <c r="T1940" s="7">
        <f t="shared" si="334"/>
        <v>3699666.6666666665</v>
      </c>
      <c r="U1940" s="7">
        <f t="shared" si="335"/>
        <v>12474000</v>
      </c>
      <c r="V1940" s="7">
        <f t="shared" si="336"/>
        <v>0</v>
      </c>
      <c r="W1940" s="7">
        <f t="shared" si="337"/>
        <v>0</v>
      </c>
      <c r="X1940" s="7">
        <f t="shared" si="338"/>
        <v>0</v>
      </c>
    </row>
    <row r="1941" spans="1:24">
      <c r="A1941">
        <v>1940</v>
      </c>
      <c r="B1941" s="96" t="s">
        <v>1663</v>
      </c>
      <c r="C1941" s="95">
        <v>42688</v>
      </c>
      <c r="D1941" s="82">
        <v>11150000</v>
      </c>
      <c r="E1941" s="82">
        <v>11052000</v>
      </c>
      <c r="F1941" s="82">
        <v>11155000</v>
      </c>
      <c r="G1941" s="82">
        <v>11150000</v>
      </c>
      <c r="I1941" s="98">
        <v>0</v>
      </c>
      <c r="J1941" s="98">
        <v>0</v>
      </c>
      <c r="K1941" s="98">
        <v>0</v>
      </c>
      <c r="M1941" s="7">
        <f t="shared" si="331"/>
        <v>0</v>
      </c>
      <c r="N1941" s="7">
        <f t="shared" si="340"/>
        <v>0</v>
      </c>
      <c r="O1941" s="7">
        <f t="shared" si="339"/>
        <v>51000</v>
      </c>
      <c r="P1941" s="99">
        <f t="shared" si="332"/>
        <v>4.5950085593296696E-3</v>
      </c>
      <c r="Q1941" s="99">
        <f t="shared" si="341"/>
        <v>-5.3459953138895143E-3</v>
      </c>
      <c r="S1941" s="7">
        <f t="shared" si="333"/>
        <v>12265000.000000002</v>
      </c>
      <c r="T1941" s="7">
        <f t="shared" si="334"/>
        <v>3716666.6666666665</v>
      </c>
      <c r="U1941" s="7">
        <f t="shared" si="335"/>
        <v>12532000</v>
      </c>
      <c r="V1941" s="7">
        <f t="shared" si="336"/>
        <v>0</v>
      </c>
      <c r="W1941" s="7">
        <f t="shared" si="337"/>
        <v>0</v>
      </c>
      <c r="X1941" s="7">
        <f t="shared" si="338"/>
        <v>0</v>
      </c>
    </row>
    <row r="1942" spans="1:24">
      <c r="A1942">
        <v>1941</v>
      </c>
      <c r="B1942" s="96" t="s">
        <v>1662</v>
      </c>
      <c r="C1942" s="95">
        <v>42689</v>
      </c>
      <c r="D1942" s="82">
        <v>11119000</v>
      </c>
      <c r="E1942" s="82">
        <v>11051000</v>
      </c>
      <c r="F1942" s="82">
        <v>11160000</v>
      </c>
      <c r="G1942" s="82">
        <v>11119000</v>
      </c>
      <c r="I1942" s="82">
        <f>G1942*1.1</f>
        <v>12230900.000000002</v>
      </c>
      <c r="J1942" s="82">
        <f>G1942/3</f>
        <v>3706333.3333333335</v>
      </c>
      <c r="K1942" s="7">
        <f>G2210</f>
        <v>12530000</v>
      </c>
      <c r="L1942" s="7">
        <f>K1942-I1942</f>
        <v>299099.99999999814</v>
      </c>
      <c r="M1942" s="7">
        <f t="shared" si="331"/>
        <v>463291.66666666674</v>
      </c>
      <c r="N1942" s="7">
        <f t="shared" si="340"/>
        <v>762391.66666666488</v>
      </c>
      <c r="O1942" s="7">
        <f t="shared" si="339"/>
        <v>-31000</v>
      </c>
      <c r="P1942" s="99">
        <f t="shared" si="332"/>
        <v>-2.7802690582959641E-3</v>
      </c>
      <c r="Q1942" s="99">
        <f t="shared" si="341"/>
        <v>-1.6470441022300953E-3</v>
      </c>
      <c r="R1942">
        <v>1</v>
      </c>
      <c r="S1942" s="7">
        <f t="shared" si="333"/>
        <v>12230900.000000002</v>
      </c>
      <c r="T1942" s="7">
        <f t="shared" si="334"/>
        <v>3706333.3333333335</v>
      </c>
      <c r="U1942" s="7">
        <f t="shared" si="335"/>
        <v>12530000</v>
      </c>
      <c r="V1942" s="7">
        <f t="shared" si="336"/>
        <v>299099.99999999814</v>
      </c>
      <c r="W1942" s="7">
        <f t="shared" si="337"/>
        <v>463291.66666666674</v>
      </c>
      <c r="X1942" s="7">
        <f t="shared" si="338"/>
        <v>762391.66666666488</v>
      </c>
    </row>
    <row r="1943" spans="1:24">
      <c r="A1943">
        <v>1942</v>
      </c>
      <c r="B1943" s="96" t="s">
        <v>1661</v>
      </c>
      <c r="C1943" s="95">
        <v>42690</v>
      </c>
      <c r="D1943" s="82">
        <v>11130000</v>
      </c>
      <c r="E1943" s="82">
        <v>11090000</v>
      </c>
      <c r="F1943" s="82">
        <v>11136000</v>
      </c>
      <c r="G1943" s="82">
        <v>11130000</v>
      </c>
      <c r="I1943" s="97">
        <v>0</v>
      </c>
      <c r="J1943" s="97">
        <v>0</v>
      </c>
      <c r="K1943" s="97">
        <v>0</v>
      </c>
      <c r="M1943" s="7">
        <f t="shared" si="331"/>
        <v>0</v>
      </c>
      <c r="N1943" s="7">
        <f t="shared" si="340"/>
        <v>0</v>
      </c>
      <c r="O1943" s="7">
        <f t="shared" si="339"/>
        <v>11000</v>
      </c>
      <c r="P1943" s="99">
        <f t="shared" si="332"/>
        <v>9.892975987049195E-4</v>
      </c>
      <c r="Q1943" s="99">
        <f t="shared" si="341"/>
        <v>-1.0694099194545757E-2</v>
      </c>
      <c r="S1943" s="7">
        <f t="shared" si="333"/>
        <v>12243000.000000002</v>
      </c>
      <c r="T1943" s="7">
        <f t="shared" si="334"/>
        <v>3710000</v>
      </c>
      <c r="U1943" s="7">
        <f t="shared" si="335"/>
        <v>12875000</v>
      </c>
      <c r="V1943" s="7">
        <f t="shared" si="336"/>
        <v>0</v>
      </c>
      <c r="W1943" s="7">
        <f t="shared" si="337"/>
        <v>0</v>
      </c>
      <c r="X1943" s="7">
        <f t="shared" si="338"/>
        <v>0</v>
      </c>
    </row>
    <row r="1944" spans="1:24">
      <c r="A1944">
        <v>1943</v>
      </c>
      <c r="B1944" s="96" t="s">
        <v>1660</v>
      </c>
      <c r="C1944" s="95">
        <v>42691</v>
      </c>
      <c r="D1944" s="82">
        <v>11088000</v>
      </c>
      <c r="E1944" s="82">
        <v>11081000</v>
      </c>
      <c r="F1944" s="82">
        <v>11143000</v>
      </c>
      <c r="G1944" s="82">
        <v>11088000</v>
      </c>
      <c r="I1944" s="97">
        <v>0</v>
      </c>
      <c r="J1944" s="97">
        <v>0</v>
      </c>
      <c r="K1944" s="97">
        <v>0</v>
      </c>
      <c r="M1944" s="7">
        <f t="shared" si="331"/>
        <v>0</v>
      </c>
      <c r="N1944" s="7">
        <f t="shared" si="340"/>
        <v>0</v>
      </c>
      <c r="O1944" s="7">
        <f t="shared" si="339"/>
        <v>-42000</v>
      </c>
      <c r="P1944" s="99">
        <f t="shared" si="332"/>
        <v>-3.7735849056603774E-3</v>
      </c>
      <c r="Q1944" s="99">
        <f t="shared" si="341"/>
        <v>-8.9930578235988441E-3</v>
      </c>
      <c r="S1944" s="7">
        <f t="shared" si="333"/>
        <v>12196800.000000002</v>
      </c>
      <c r="T1944" s="7">
        <f t="shared" si="334"/>
        <v>3696000</v>
      </c>
      <c r="U1944" s="7">
        <f t="shared" si="335"/>
        <v>12970000</v>
      </c>
      <c r="V1944" s="7">
        <f t="shared" si="336"/>
        <v>0</v>
      </c>
      <c r="W1944" s="7">
        <f t="shared" si="337"/>
        <v>0</v>
      </c>
      <c r="X1944" s="7">
        <f t="shared" si="338"/>
        <v>0</v>
      </c>
    </row>
    <row r="1945" spans="1:24">
      <c r="A1945">
        <v>1944</v>
      </c>
      <c r="B1945" s="96" t="s">
        <v>1659</v>
      </c>
      <c r="C1945" s="95">
        <v>42693</v>
      </c>
      <c r="D1945" s="82">
        <v>11003000</v>
      </c>
      <c r="E1945" s="82">
        <v>10983000</v>
      </c>
      <c r="F1945" s="82">
        <v>11046000</v>
      </c>
      <c r="G1945" s="82">
        <v>11003000</v>
      </c>
      <c r="I1945" s="97">
        <v>0</v>
      </c>
      <c r="J1945" s="97">
        <v>0</v>
      </c>
      <c r="K1945" s="97">
        <v>0</v>
      </c>
      <c r="M1945" s="7">
        <f t="shared" si="331"/>
        <v>0</v>
      </c>
      <c r="N1945" s="7">
        <f t="shared" si="340"/>
        <v>0</v>
      </c>
      <c r="O1945" s="7">
        <f t="shared" si="339"/>
        <v>-85000</v>
      </c>
      <c r="P1945" s="99">
        <f t="shared" si="332"/>
        <v>-7.665945165945166E-3</v>
      </c>
      <c r="Q1945" s="99">
        <f t="shared" si="341"/>
        <v>2.0125595499430578E-3</v>
      </c>
      <c r="S1945" s="7">
        <f t="shared" si="333"/>
        <v>12103300.000000002</v>
      </c>
      <c r="T1945" s="7">
        <f t="shared" si="334"/>
        <v>3667666.6666666665</v>
      </c>
      <c r="U1945" s="7">
        <f t="shared" si="335"/>
        <v>13125000</v>
      </c>
      <c r="V1945" s="7">
        <f t="shared" si="336"/>
        <v>0</v>
      </c>
      <c r="W1945" s="7">
        <f t="shared" si="337"/>
        <v>0</v>
      </c>
      <c r="X1945" s="7">
        <f t="shared" si="338"/>
        <v>0</v>
      </c>
    </row>
    <row r="1946" spans="1:24">
      <c r="A1946">
        <v>1945</v>
      </c>
      <c r="B1946" s="96" t="s">
        <v>1658</v>
      </c>
      <c r="C1946" s="95">
        <v>42695</v>
      </c>
      <c r="D1946" s="82">
        <v>11010000</v>
      </c>
      <c r="E1946" s="82">
        <v>10982000</v>
      </c>
      <c r="F1946" s="82">
        <v>11032000</v>
      </c>
      <c r="G1946" s="82">
        <v>11010000</v>
      </c>
      <c r="I1946" s="98">
        <v>0</v>
      </c>
      <c r="J1946" s="98">
        <v>0</v>
      </c>
      <c r="K1946" s="98">
        <v>0</v>
      </c>
      <c r="M1946" s="7">
        <f t="shared" si="331"/>
        <v>0</v>
      </c>
      <c r="N1946" s="7">
        <f t="shared" si="340"/>
        <v>0</v>
      </c>
      <c r="O1946" s="7">
        <f t="shared" si="339"/>
        <v>7000</v>
      </c>
      <c r="P1946" s="99">
        <f t="shared" si="332"/>
        <v>6.3619012996455509E-4</v>
      </c>
      <c r="Q1946" s="99">
        <f t="shared" si="341"/>
        <v>-8.6354929718669184E-3</v>
      </c>
      <c r="S1946" s="7">
        <f t="shared" si="333"/>
        <v>12111000.000000002</v>
      </c>
      <c r="T1946" s="7">
        <f t="shared" si="334"/>
        <v>3670000</v>
      </c>
      <c r="U1946" s="7">
        <f t="shared" si="335"/>
        <v>13060000</v>
      </c>
      <c r="V1946" s="7">
        <f t="shared" si="336"/>
        <v>0</v>
      </c>
      <c r="W1946" s="7">
        <f t="shared" si="337"/>
        <v>0</v>
      </c>
      <c r="X1946" s="7">
        <f t="shared" si="338"/>
        <v>0</v>
      </c>
    </row>
    <row r="1947" spans="1:24">
      <c r="A1947">
        <v>1946</v>
      </c>
      <c r="B1947" s="96" t="s">
        <v>1657</v>
      </c>
      <c r="C1947" s="95">
        <v>42696</v>
      </c>
      <c r="D1947" s="82">
        <v>11127000</v>
      </c>
      <c r="E1947" s="82">
        <v>11022000</v>
      </c>
      <c r="F1947" s="82">
        <v>11132000</v>
      </c>
      <c r="G1947" s="82">
        <v>11127000</v>
      </c>
      <c r="I1947" s="82">
        <f>G1947*1.1</f>
        <v>12239700.000000002</v>
      </c>
      <c r="J1947" s="82">
        <f>G1947/3</f>
        <v>3709000</v>
      </c>
      <c r="K1947" s="7">
        <f>G2215</f>
        <v>13072000</v>
      </c>
      <c r="L1947" s="7">
        <f>K1947-I1947</f>
        <v>832299.99999999814</v>
      </c>
      <c r="M1947" s="7">
        <f t="shared" si="331"/>
        <v>463625</v>
      </c>
      <c r="N1947" s="7">
        <f t="shared" si="340"/>
        <v>1295924.9999999981</v>
      </c>
      <c r="O1947" s="7">
        <f t="shared" si="339"/>
        <v>117000</v>
      </c>
      <c r="P1947" s="99">
        <f t="shared" si="332"/>
        <v>1.0626702997275205E-2</v>
      </c>
      <c r="Q1947" s="99">
        <f t="shared" si="341"/>
        <v>-1.2594311401232034E-2</v>
      </c>
      <c r="R1947">
        <v>1</v>
      </c>
      <c r="S1947" s="7">
        <f t="shared" si="333"/>
        <v>12239700.000000002</v>
      </c>
      <c r="T1947" s="7">
        <f t="shared" si="334"/>
        <v>3709000</v>
      </c>
      <c r="U1947" s="7">
        <f t="shared" si="335"/>
        <v>13072000</v>
      </c>
      <c r="V1947" s="7">
        <f t="shared" si="336"/>
        <v>832299.99999999814</v>
      </c>
      <c r="W1947" s="7">
        <f t="shared" si="337"/>
        <v>463625</v>
      </c>
      <c r="X1947" s="7">
        <f t="shared" si="338"/>
        <v>1295924.9999999981</v>
      </c>
    </row>
    <row r="1948" spans="1:24">
      <c r="A1948">
        <v>1947</v>
      </c>
      <c r="B1948" s="96" t="s">
        <v>1656</v>
      </c>
      <c r="C1948" s="95">
        <v>42697</v>
      </c>
      <c r="D1948" s="82">
        <v>11092000</v>
      </c>
      <c r="E1948" s="82">
        <v>11069000</v>
      </c>
      <c r="F1948" s="82">
        <v>11168000</v>
      </c>
      <c r="G1948" s="82">
        <v>11092000</v>
      </c>
      <c r="I1948" s="97">
        <v>0</v>
      </c>
      <c r="J1948" s="97">
        <v>0</v>
      </c>
      <c r="K1948" s="97">
        <v>0</v>
      </c>
      <c r="M1948" s="7">
        <f t="shared" si="331"/>
        <v>0</v>
      </c>
      <c r="N1948" s="7">
        <f t="shared" si="340"/>
        <v>0</v>
      </c>
      <c r="O1948" s="7">
        <f t="shared" si="339"/>
        <v>-35000</v>
      </c>
      <c r="P1948" s="99">
        <f t="shared" si="332"/>
        <v>-3.1455019322369012E-3</v>
      </c>
      <c r="Q1948" s="99">
        <f t="shared" si="341"/>
        <v>8.1266065433913647E-4</v>
      </c>
      <c r="S1948" s="7">
        <f t="shared" si="333"/>
        <v>12201200.000000002</v>
      </c>
      <c r="T1948" s="7">
        <f t="shared" si="334"/>
        <v>3697333.3333333335</v>
      </c>
      <c r="U1948" s="7">
        <f t="shared" si="335"/>
        <v>13200000</v>
      </c>
      <c r="V1948" s="7">
        <f t="shared" si="336"/>
        <v>0</v>
      </c>
      <c r="W1948" s="7">
        <f t="shared" si="337"/>
        <v>0</v>
      </c>
      <c r="X1948" s="7">
        <f t="shared" si="338"/>
        <v>0</v>
      </c>
    </row>
    <row r="1949" spans="1:24">
      <c r="A1949">
        <v>1948</v>
      </c>
      <c r="B1949" s="96" t="s">
        <v>1655</v>
      </c>
      <c r="C1949" s="95">
        <v>42698</v>
      </c>
      <c r="D1949" s="82">
        <v>11079000</v>
      </c>
      <c r="E1949" s="82">
        <v>11062000</v>
      </c>
      <c r="F1949" s="82">
        <v>11104000</v>
      </c>
      <c r="G1949" s="82">
        <v>11079000</v>
      </c>
      <c r="I1949" s="97">
        <v>0</v>
      </c>
      <c r="J1949" s="97">
        <v>0</v>
      </c>
      <c r="K1949" s="97">
        <v>0</v>
      </c>
      <c r="M1949" s="7">
        <f t="shared" si="331"/>
        <v>0</v>
      </c>
      <c r="N1949" s="7">
        <f t="shared" si="340"/>
        <v>0</v>
      </c>
      <c r="O1949" s="7">
        <f t="shared" si="339"/>
        <v>-13000</v>
      </c>
      <c r="P1949" s="99">
        <f t="shared" si="332"/>
        <v>-1.1720158672917419E-3</v>
      </c>
      <c r="Q1949" s="99">
        <f t="shared" si="341"/>
        <v>-3.3221388766026855E-3</v>
      </c>
      <c r="S1949" s="7">
        <f t="shared" si="333"/>
        <v>12186900.000000002</v>
      </c>
      <c r="T1949" s="7">
        <f t="shared" si="334"/>
        <v>3693000</v>
      </c>
      <c r="U1949" s="7">
        <f t="shared" si="335"/>
        <v>13110000</v>
      </c>
      <c r="V1949" s="7">
        <f t="shared" si="336"/>
        <v>0</v>
      </c>
      <c r="W1949" s="7">
        <f t="shared" si="337"/>
        <v>0</v>
      </c>
      <c r="X1949" s="7">
        <f t="shared" si="338"/>
        <v>0</v>
      </c>
    </row>
    <row r="1950" spans="1:24">
      <c r="A1950">
        <v>1949</v>
      </c>
      <c r="B1950" s="96" t="s">
        <v>1654</v>
      </c>
      <c r="C1950" s="95">
        <v>42700</v>
      </c>
      <c r="D1950" s="82">
        <v>11048000</v>
      </c>
      <c r="E1950" s="82">
        <v>11003000</v>
      </c>
      <c r="F1950" s="82">
        <v>11105000</v>
      </c>
      <c r="G1950" s="82">
        <v>11048000</v>
      </c>
      <c r="I1950" s="97">
        <v>0</v>
      </c>
      <c r="J1950" s="97">
        <v>0</v>
      </c>
      <c r="K1950" s="97">
        <v>0</v>
      </c>
      <c r="M1950" s="7">
        <f t="shared" si="331"/>
        <v>0</v>
      </c>
      <c r="N1950" s="7">
        <f t="shared" si="340"/>
        <v>0</v>
      </c>
      <c r="O1950" s="7">
        <f t="shared" si="339"/>
        <v>-31000</v>
      </c>
      <c r="P1950" s="99">
        <f t="shared" si="332"/>
        <v>-2.798086469898005E-3</v>
      </c>
      <c r="Q1950" s="99">
        <f t="shared" si="341"/>
        <v>-7.2056983823404913E-4</v>
      </c>
      <c r="S1950" s="7">
        <f t="shared" si="333"/>
        <v>12152800.000000002</v>
      </c>
      <c r="T1950" s="7">
        <f t="shared" si="334"/>
        <v>3682666.6666666665</v>
      </c>
      <c r="U1950" s="7">
        <f t="shared" si="335"/>
        <v>13136000</v>
      </c>
      <c r="V1950" s="7">
        <f t="shared" si="336"/>
        <v>0</v>
      </c>
      <c r="W1950" s="7">
        <f t="shared" si="337"/>
        <v>0</v>
      </c>
      <c r="X1950" s="7">
        <f t="shared" si="338"/>
        <v>0</v>
      </c>
    </row>
    <row r="1951" spans="1:24">
      <c r="A1951">
        <v>1950</v>
      </c>
      <c r="B1951" s="96" t="s">
        <v>1653</v>
      </c>
      <c r="C1951" s="95">
        <v>42701</v>
      </c>
      <c r="D1951" s="82">
        <v>11144000</v>
      </c>
      <c r="E1951" s="82">
        <v>11040000</v>
      </c>
      <c r="F1951" s="82">
        <v>11155000</v>
      </c>
      <c r="G1951" s="82">
        <v>11144000</v>
      </c>
      <c r="I1951" s="98">
        <v>0</v>
      </c>
      <c r="J1951" s="98">
        <v>0</v>
      </c>
      <c r="K1951" s="98">
        <v>0</v>
      </c>
      <c r="M1951" s="7">
        <f t="shared" si="331"/>
        <v>0</v>
      </c>
      <c r="N1951" s="7">
        <f t="shared" si="340"/>
        <v>0</v>
      </c>
      <c r="O1951" s="7">
        <f t="shared" si="339"/>
        <v>96000</v>
      </c>
      <c r="P1951" s="99">
        <f t="shared" si="332"/>
        <v>8.6893555394641567E-3</v>
      </c>
      <c r="Q1951" s="99">
        <f t="shared" si="341"/>
        <v>4.1472888578131121E-3</v>
      </c>
      <c r="S1951" s="7">
        <f t="shared" si="333"/>
        <v>12258400.000000002</v>
      </c>
      <c r="T1951" s="7">
        <f t="shared" si="334"/>
        <v>3714666.6666666665</v>
      </c>
      <c r="U1951" s="7">
        <f t="shared" si="335"/>
        <v>13140000</v>
      </c>
      <c r="V1951" s="7">
        <f t="shared" si="336"/>
        <v>0</v>
      </c>
      <c r="W1951" s="7">
        <f t="shared" si="337"/>
        <v>0</v>
      </c>
      <c r="X1951" s="7">
        <f t="shared" si="338"/>
        <v>0</v>
      </c>
    </row>
    <row r="1952" spans="1:24">
      <c r="A1952">
        <v>1951</v>
      </c>
      <c r="B1952" s="96" t="s">
        <v>1652</v>
      </c>
      <c r="C1952" s="95">
        <v>42702</v>
      </c>
      <c r="D1952" s="82">
        <v>11202000</v>
      </c>
      <c r="E1952" s="82">
        <v>11162000</v>
      </c>
      <c r="F1952" s="82">
        <v>11220000</v>
      </c>
      <c r="G1952" s="82">
        <v>11202000</v>
      </c>
      <c r="I1952" s="82">
        <f>G1952*1.1</f>
        <v>12322200.000000002</v>
      </c>
      <c r="J1952" s="82">
        <f>G1952/3</f>
        <v>3734000</v>
      </c>
      <c r="K1952" s="7">
        <f>G2220</f>
        <v>13089000</v>
      </c>
      <c r="L1952" s="7">
        <f>K1952-I1952</f>
        <v>766799.99999999814</v>
      </c>
      <c r="M1952" s="7">
        <f t="shared" si="331"/>
        <v>466750</v>
      </c>
      <c r="N1952" s="7">
        <f t="shared" si="340"/>
        <v>1233549.9999999981</v>
      </c>
      <c r="O1952" s="7">
        <f t="shared" si="339"/>
        <v>58000</v>
      </c>
      <c r="P1952" s="99">
        <f t="shared" si="332"/>
        <v>5.2045944005743002E-3</v>
      </c>
      <c r="Q1952" s="99">
        <f t="shared" si="341"/>
        <v>1.2200454267312713E-2</v>
      </c>
      <c r="R1952">
        <v>1</v>
      </c>
      <c r="S1952" s="7">
        <f t="shared" si="333"/>
        <v>12322200.000000002</v>
      </c>
      <c r="T1952" s="7">
        <f t="shared" si="334"/>
        <v>3734000</v>
      </c>
      <c r="U1952" s="7">
        <f t="shared" si="335"/>
        <v>13089000</v>
      </c>
      <c r="V1952" s="7">
        <f t="shared" si="336"/>
        <v>766799.99999999814</v>
      </c>
      <c r="W1952" s="7">
        <f t="shared" si="337"/>
        <v>466750</v>
      </c>
      <c r="X1952" s="7">
        <f t="shared" si="338"/>
        <v>1233549.9999999981</v>
      </c>
    </row>
    <row r="1953" spans="1:24">
      <c r="A1953">
        <v>1952</v>
      </c>
      <c r="B1953" s="96" t="s">
        <v>1651</v>
      </c>
      <c r="C1953" s="95">
        <v>42703</v>
      </c>
      <c r="D1953" s="82">
        <v>11280000</v>
      </c>
      <c r="E1953" s="82">
        <v>11202000</v>
      </c>
      <c r="F1953" s="82">
        <v>11280000</v>
      </c>
      <c r="G1953" s="82">
        <v>11280000</v>
      </c>
      <c r="I1953" s="97">
        <v>0</v>
      </c>
      <c r="J1953" s="97">
        <v>0</v>
      </c>
      <c r="K1953" s="97">
        <v>0</v>
      </c>
      <c r="M1953" s="7">
        <f t="shared" si="331"/>
        <v>0</v>
      </c>
      <c r="N1953" s="7">
        <f t="shared" si="340"/>
        <v>0</v>
      </c>
      <c r="O1953" s="7">
        <f t="shared" si="339"/>
        <v>78000</v>
      </c>
      <c r="P1953" s="99">
        <f t="shared" si="332"/>
        <v>6.9630423138725226E-3</v>
      </c>
      <c r="Q1953" s="99">
        <f t="shared" si="341"/>
        <v>6.778345670611809E-3</v>
      </c>
      <c r="S1953" s="7">
        <f t="shared" si="333"/>
        <v>12408000.000000002</v>
      </c>
      <c r="T1953" s="7">
        <f t="shared" si="334"/>
        <v>3760000</v>
      </c>
      <c r="U1953" s="7">
        <f t="shared" si="335"/>
        <v>13085000</v>
      </c>
      <c r="V1953" s="7">
        <f t="shared" si="336"/>
        <v>0</v>
      </c>
      <c r="W1953" s="7">
        <f t="shared" si="337"/>
        <v>0</v>
      </c>
      <c r="X1953" s="7">
        <f t="shared" si="338"/>
        <v>0</v>
      </c>
    </row>
    <row r="1954" spans="1:24">
      <c r="A1954">
        <v>1953</v>
      </c>
      <c r="B1954" s="96" t="s">
        <v>1650</v>
      </c>
      <c r="C1954" s="95">
        <v>42705</v>
      </c>
      <c r="D1954" s="82">
        <v>11158000</v>
      </c>
      <c r="E1954" s="82">
        <v>11144000</v>
      </c>
      <c r="F1954" s="82">
        <v>11189000</v>
      </c>
      <c r="G1954" s="82">
        <v>11158000</v>
      </c>
      <c r="I1954" s="97">
        <v>0</v>
      </c>
      <c r="J1954" s="97">
        <v>0</v>
      </c>
      <c r="K1954" s="97">
        <v>0</v>
      </c>
      <c r="M1954" s="7">
        <f t="shared" si="331"/>
        <v>0</v>
      </c>
      <c r="N1954" s="7">
        <f t="shared" si="340"/>
        <v>0</v>
      </c>
      <c r="O1954" s="7">
        <f t="shared" si="339"/>
        <v>-122000</v>
      </c>
      <c r="P1954" s="99">
        <f t="shared" si="332"/>
        <v>-1.0815602836879433E-2</v>
      </c>
      <c r="Q1954" s="99">
        <f t="shared" si="341"/>
        <v>1.6886889916721232E-2</v>
      </c>
      <c r="S1954" s="7">
        <f t="shared" si="333"/>
        <v>12273800.000000002</v>
      </c>
      <c r="T1954" s="7">
        <f t="shared" si="334"/>
        <v>3719333.3333333335</v>
      </c>
      <c r="U1954" s="7">
        <f t="shared" si="335"/>
        <v>13103000</v>
      </c>
      <c r="V1954" s="7">
        <f t="shared" si="336"/>
        <v>0</v>
      </c>
      <c r="W1954" s="7">
        <f t="shared" si="337"/>
        <v>0</v>
      </c>
      <c r="X1954" s="7">
        <f t="shared" si="338"/>
        <v>0</v>
      </c>
    </row>
    <row r="1955" spans="1:24">
      <c r="A1955">
        <v>1954</v>
      </c>
      <c r="B1955" s="96" t="s">
        <v>1649</v>
      </c>
      <c r="C1955" s="95">
        <v>42707</v>
      </c>
      <c r="D1955" s="82">
        <v>11316000</v>
      </c>
      <c r="E1955" s="82">
        <v>11140000</v>
      </c>
      <c r="F1955" s="82">
        <v>11319000</v>
      </c>
      <c r="G1955" s="82">
        <v>11316000</v>
      </c>
      <c r="I1955" s="97">
        <v>0</v>
      </c>
      <c r="J1955" s="97">
        <v>0</v>
      </c>
      <c r="K1955" s="97">
        <v>0</v>
      </c>
      <c r="M1955" s="7">
        <f t="shared" si="331"/>
        <v>0</v>
      </c>
      <c r="N1955" s="7">
        <f t="shared" si="340"/>
        <v>0</v>
      </c>
      <c r="O1955" s="7">
        <f t="shared" si="339"/>
        <v>158000</v>
      </c>
      <c r="P1955" s="99">
        <f t="shared" si="332"/>
        <v>1.4160243771285176E-2</v>
      </c>
      <c r="Q1955" s="99">
        <f t="shared" si="341"/>
        <v>7.2433029471335401E-3</v>
      </c>
      <c r="S1955" s="7">
        <f t="shared" si="333"/>
        <v>12447600.000000002</v>
      </c>
      <c r="T1955" s="7">
        <f t="shared" si="334"/>
        <v>3772000</v>
      </c>
      <c r="U1955" s="7">
        <f t="shared" si="335"/>
        <v>12952000</v>
      </c>
      <c r="V1955" s="7">
        <f t="shared" si="336"/>
        <v>0</v>
      </c>
      <c r="W1955" s="7">
        <f t="shared" si="337"/>
        <v>0</v>
      </c>
      <c r="X1955" s="7">
        <f t="shared" si="338"/>
        <v>0</v>
      </c>
    </row>
    <row r="1956" spans="1:24">
      <c r="A1956">
        <v>1955</v>
      </c>
      <c r="B1956" s="96" t="s">
        <v>1648</v>
      </c>
      <c r="C1956" s="95">
        <v>42708</v>
      </c>
      <c r="D1956" s="82">
        <v>11387000</v>
      </c>
      <c r="E1956" s="82">
        <v>11321000</v>
      </c>
      <c r="F1956" s="82">
        <v>11450000</v>
      </c>
      <c r="G1956" s="82">
        <v>11387000</v>
      </c>
      <c r="I1956" s="98">
        <v>0</v>
      </c>
      <c r="J1956" s="98">
        <v>0</v>
      </c>
      <c r="K1956" s="98">
        <v>0</v>
      </c>
      <c r="M1956" s="7">
        <f t="shared" si="331"/>
        <v>0</v>
      </c>
      <c r="N1956" s="7">
        <f t="shared" si="340"/>
        <v>0</v>
      </c>
      <c r="O1956" s="7">
        <f t="shared" si="339"/>
        <v>71000</v>
      </c>
      <c r="P1956" s="99">
        <f t="shared" si="332"/>
        <v>6.2743018734535173E-3</v>
      </c>
      <c r="Q1956" s="99">
        <f t="shared" si="341"/>
        <v>2.4201633188316723E-2</v>
      </c>
      <c r="S1956" s="7">
        <f t="shared" si="333"/>
        <v>12525700.000000002</v>
      </c>
      <c r="T1956" s="7">
        <f t="shared" si="334"/>
        <v>3795666.6666666665</v>
      </c>
      <c r="U1956" s="7">
        <f t="shared" si="335"/>
        <v>12965000</v>
      </c>
      <c r="V1956" s="7">
        <f t="shared" si="336"/>
        <v>0</v>
      </c>
      <c r="W1956" s="7">
        <f t="shared" si="337"/>
        <v>0</v>
      </c>
      <c r="X1956" s="7">
        <f t="shared" si="338"/>
        <v>0</v>
      </c>
    </row>
    <row r="1957" spans="1:24">
      <c r="A1957">
        <v>1956</v>
      </c>
      <c r="B1957" s="96" t="s">
        <v>1647</v>
      </c>
      <c r="C1957" s="95">
        <v>42709</v>
      </c>
      <c r="D1957" s="82">
        <v>11381000</v>
      </c>
      <c r="E1957" s="82">
        <v>11319000</v>
      </c>
      <c r="F1957" s="82">
        <v>11429000</v>
      </c>
      <c r="G1957" s="82">
        <v>11381000</v>
      </c>
      <c r="I1957" s="82">
        <f>G1957*1.1</f>
        <v>12519100.000000002</v>
      </c>
      <c r="J1957" s="82">
        <f>G1957/3</f>
        <v>3793666.6666666665</v>
      </c>
      <c r="K1957" s="7">
        <f>G2225</f>
        <v>13056000</v>
      </c>
      <c r="L1957" s="7">
        <f>K1957-I1957</f>
        <v>536899.99999999814</v>
      </c>
      <c r="M1957" s="7">
        <f t="shared" si="331"/>
        <v>474208.33333333326</v>
      </c>
      <c r="N1957" s="7">
        <f t="shared" si="340"/>
        <v>1011108.3333333314</v>
      </c>
      <c r="O1957" s="7">
        <f t="shared" si="339"/>
        <v>-6000</v>
      </c>
      <c r="P1957" s="99">
        <f t="shared" si="332"/>
        <v>-5.2691665934837971E-4</v>
      </c>
      <c r="Q1957" s="99">
        <f t="shared" si="341"/>
        <v>2.1786579522306084E-2</v>
      </c>
      <c r="R1957">
        <v>1</v>
      </c>
      <c r="S1957" s="7">
        <f t="shared" si="333"/>
        <v>12519100.000000002</v>
      </c>
      <c r="T1957" s="7">
        <f t="shared" si="334"/>
        <v>3793666.6666666665</v>
      </c>
      <c r="U1957" s="7">
        <f t="shared" si="335"/>
        <v>13056000</v>
      </c>
      <c r="V1957" s="7">
        <f t="shared" si="336"/>
        <v>536899.99999999814</v>
      </c>
      <c r="W1957" s="7">
        <f t="shared" si="337"/>
        <v>474208.33333333326</v>
      </c>
      <c r="X1957" s="7">
        <f t="shared" si="338"/>
        <v>1011108.3333333314</v>
      </c>
    </row>
    <row r="1958" spans="1:24">
      <c r="A1958">
        <v>1957</v>
      </c>
      <c r="B1958" s="96" t="s">
        <v>1646</v>
      </c>
      <c r="C1958" s="95">
        <v>42710</v>
      </c>
      <c r="D1958" s="82">
        <v>11350000</v>
      </c>
      <c r="E1958" s="82">
        <v>11343000</v>
      </c>
      <c r="F1958" s="82">
        <v>11388000</v>
      </c>
      <c r="G1958" s="82">
        <v>11350000</v>
      </c>
      <c r="I1958" s="97">
        <v>0</v>
      </c>
      <c r="J1958" s="97">
        <v>0</v>
      </c>
      <c r="K1958" s="97">
        <v>0</v>
      </c>
      <c r="M1958" s="7">
        <f t="shared" si="331"/>
        <v>0</v>
      </c>
      <c r="N1958" s="7">
        <f t="shared" si="340"/>
        <v>0</v>
      </c>
      <c r="O1958" s="7">
        <f t="shared" si="339"/>
        <v>-31000</v>
      </c>
      <c r="P1958" s="99">
        <f t="shared" si="332"/>
        <v>-2.7238379755733242E-3</v>
      </c>
      <c r="Q1958" s="99">
        <f t="shared" si="341"/>
        <v>1.6055068462383405E-2</v>
      </c>
      <c r="S1958" s="7">
        <f t="shared" si="333"/>
        <v>12485000.000000002</v>
      </c>
      <c r="T1958" s="7">
        <f t="shared" si="334"/>
        <v>3783333.3333333335</v>
      </c>
      <c r="U1958" s="7">
        <f t="shared" si="335"/>
        <v>13110000</v>
      </c>
      <c r="V1958" s="7">
        <f t="shared" si="336"/>
        <v>0</v>
      </c>
      <c r="W1958" s="7">
        <f t="shared" si="337"/>
        <v>0</v>
      </c>
      <c r="X1958" s="7">
        <f t="shared" si="338"/>
        <v>0</v>
      </c>
    </row>
    <row r="1959" spans="1:24">
      <c r="A1959">
        <v>1958</v>
      </c>
      <c r="B1959" s="96" t="s">
        <v>1645</v>
      </c>
      <c r="C1959" s="95">
        <v>42711</v>
      </c>
      <c r="D1959" s="82">
        <v>11373000</v>
      </c>
      <c r="E1959" s="82">
        <v>11339000</v>
      </c>
      <c r="F1959" s="82">
        <v>11395000</v>
      </c>
      <c r="G1959" s="82">
        <v>11373000</v>
      </c>
      <c r="I1959" s="97">
        <v>0</v>
      </c>
      <c r="J1959" s="97">
        <v>0</v>
      </c>
      <c r="K1959" s="97">
        <v>0</v>
      </c>
      <c r="M1959" s="7">
        <f t="shared" si="331"/>
        <v>0</v>
      </c>
      <c r="N1959" s="7">
        <f t="shared" si="340"/>
        <v>0</v>
      </c>
      <c r="O1959" s="7">
        <f t="shared" si="339"/>
        <v>23000</v>
      </c>
      <c r="P1959" s="99">
        <f t="shared" si="332"/>
        <v>2.0264317180616739E-3</v>
      </c>
      <c r="Q1959" s="99">
        <f t="shared" si="341"/>
        <v>6.3681881729375561E-3</v>
      </c>
      <c r="S1959" s="7">
        <f t="shared" si="333"/>
        <v>12510300.000000002</v>
      </c>
      <c r="T1959" s="7">
        <f t="shared" si="334"/>
        <v>3791000</v>
      </c>
      <c r="U1959" s="7">
        <f t="shared" si="335"/>
        <v>13080000</v>
      </c>
      <c r="V1959" s="7">
        <f t="shared" si="336"/>
        <v>0</v>
      </c>
      <c r="W1959" s="7">
        <f t="shared" si="337"/>
        <v>0</v>
      </c>
      <c r="X1959" s="7">
        <f t="shared" si="338"/>
        <v>0</v>
      </c>
    </row>
    <row r="1960" spans="1:24">
      <c r="A1960">
        <v>1959</v>
      </c>
      <c r="B1960" s="96" t="s">
        <v>1644</v>
      </c>
      <c r="C1960" s="95">
        <v>42712</v>
      </c>
      <c r="D1960" s="82">
        <v>11387000</v>
      </c>
      <c r="E1960" s="82">
        <v>11372000</v>
      </c>
      <c r="F1960" s="82">
        <v>11400000</v>
      </c>
      <c r="G1960" s="82">
        <v>11387000</v>
      </c>
      <c r="I1960" s="97">
        <v>0</v>
      </c>
      <c r="J1960" s="97">
        <v>0</v>
      </c>
      <c r="K1960" s="97">
        <v>0</v>
      </c>
      <c r="M1960" s="7">
        <f t="shared" si="331"/>
        <v>0</v>
      </c>
      <c r="N1960" s="7">
        <f t="shared" si="340"/>
        <v>0</v>
      </c>
      <c r="O1960" s="7">
        <f t="shared" si="339"/>
        <v>14000</v>
      </c>
      <c r="P1960" s="99">
        <f t="shared" si="332"/>
        <v>1.2309856678097248E-3</v>
      </c>
      <c r="Q1960" s="99">
        <f t="shared" si="341"/>
        <v>1.9210222727878663E-2</v>
      </c>
      <c r="S1960" s="7">
        <f t="shared" si="333"/>
        <v>12525700.000000002</v>
      </c>
      <c r="T1960" s="7">
        <f t="shared" si="334"/>
        <v>3795666.6666666665</v>
      </c>
      <c r="U1960" s="7">
        <f t="shared" si="335"/>
        <v>13026000</v>
      </c>
      <c r="V1960" s="7">
        <f t="shared" si="336"/>
        <v>0</v>
      </c>
      <c r="W1960" s="7">
        <f t="shared" si="337"/>
        <v>0</v>
      </c>
      <c r="X1960" s="7">
        <f t="shared" si="338"/>
        <v>0</v>
      </c>
    </row>
    <row r="1961" spans="1:24">
      <c r="A1961">
        <v>1960</v>
      </c>
      <c r="B1961" s="96" t="s">
        <v>1643</v>
      </c>
      <c r="C1961" s="95">
        <v>42714</v>
      </c>
      <c r="D1961" s="82">
        <v>11382000</v>
      </c>
      <c r="E1961" s="82">
        <v>11361000</v>
      </c>
      <c r="F1961" s="82">
        <v>11410000</v>
      </c>
      <c r="G1961" s="82">
        <v>11382000</v>
      </c>
      <c r="I1961" s="98">
        <v>0</v>
      </c>
      <c r="J1961" s="98">
        <v>0</v>
      </c>
      <c r="K1961" s="98">
        <v>0</v>
      </c>
      <c r="M1961" s="7">
        <f t="shared" si="331"/>
        <v>0</v>
      </c>
      <c r="N1961" s="7">
        <f t="shared" si="340"/>
        <v>0</v>
      </c>
      <c r="O1961" s="7">
        <f t="shared" si="339"/>
        <v>-5000</v>
      </c>
      <c r="P1961" s="99">
        <f t="shared" si="332"/>
        <v>-4.3909721612364979E-4</v>
      </c>
      <c r="Q1961" s="99">
        <f t="shared" si="341"/>
        <v>6.2809646244032123E-3</v>
      </c>
      <c r="S1961" s="7">
        <f t="shared" si="333"/>
        <v>12520200.000000002</v>
      </c>
      <c r="T1961" s="7">
        <f t="shared" si="334"/>
        <v>3794000</v>
      </c>
      <c r="U1961" s="7">
        <f t="shared" si="335"/>
        <v>13174000</v>
      </c>
      <c r="V1961" s="7">
        <f t="shared" si="336"/>
        <v>0</v>
      </c>
      <c r="W1961" s="7">
        <f t="shared" si="337"/>
        <v>0</v>
      </c>
      <c r="X1961" s="7">
        <f t="shared" si="338"/>
        <v>0</v>
      </c>
    </row>
    <row r="1962" spans="1:24">
      <c r="A1962">
        <v>1961</v>
      </c>
      <c r="B1962" s="96" t="s">
        <v>1642</v>
      </c>
      <c r="C1962" s="95">
        <v>42715</v>
      </c>
      <c r="D1962" s="82">
        <v>11363000</v>
      </c>
      <c r="E1962" s="82">
        <v>11347000</v>
      </c>
      <c r="F1962" s="82">
        <v>11387000</v>
      </c>
      <c r="G1962" s="82">
        <v>11363000</v>
      </c>
      <c r="I1962" s="82">
        <f>G1962*1.1</f>
        <v>12499300.000000002</v>
      </c>
      <c r="J1962" s="82">
        <f>G1962/3</f>
        <v>3787666.6666666665</v>
      </c>
      <c r="K1962" s="7">
        <f>G2230</f>
        <v>13190000</v>
      </c>
      <c r="L1962" s="7">
        <f>K1962-I1962</f>
        <v>690699.99999999814</v>
      </c>
      <c r="M1962" s="7">
        <f t="shared" si="331"/>
        <v>473458.33333333326</v>
      </c>
      <c r="N1962" s="7">
        <f t="shared" si="340"/>
        <v>1164158.3333333314</v>
      </c>
      <c r="O1962" s="7">
        <f t="shared" si="339"/>
        <v>-19000</v>
      </c>
      <c r="P1962" s="99">
        <f t="shared" si="332"/>
        <v>-1.6693024073097874E-3</v>
      </c>
      <c r="Q1962" s="99">
        <f t="shared" si="341"/>
        <v>-4.3243446517395506E-4</v>
      </c>
      <c r="R1962">
        <v>1</v>
      </c>
      <c r="S1962" s="7">
        <f t="shared" si="333"/>
        <v>12499300.000000002</v>
      </c>
      <c r="T1962" s="7">
        <f t="shared" si="334"/>
        <v>3787666.6666666665</v>
      </c>
      <c r="U1962" s="7">
        <f t="shared" si="335"/>
        <v>13190000</v>
      </c>
      <c r="V1962" s="7">
        <f t="shared" si="336"/>
        <v>690699.99999999814</v>
      </c>
      <c r="W1962" s="7">
        <f t="shared" si="337"/>
        <v>473458.33333333326</v>
      </c>
      <c r="X1962" s="7">
        <f t="shared" si="338"/>
        <v>1164158.3333333314</v>
      </c>
    </row>
    <row r="1963" spans="1:24">
      <c r="A1963">
        <v>1962</v>
      </c>
      <c r="B1963" s="96" t="s">
        <v>1641</v>
      </c>
      <c r="C1963" s="95">
        <v>42716</v>
      </c>
      <c r="D1963" s="82">
        <v>11414000</v>
      </c>
      <c r="E1963" s="82">
        <v>11340000</v>
      </c>
      <c r="F1963" s="82">
        <v>11423000</v>
      </c>
      <c r="G1963" s="82">
        <v>11414000</v>
      </c>
      <c r="I1963" s="97">
        <v>0</v>
      </c>
      <c r="J1963" s="97">
        <v>0</v>
      </c>
      <c r="K1963" s="97">
        <v>0</v>
      </c>
      <c r="M1963" s="7">
        <f t="shared" si="331"/>
        <v>0</v>
      </c>
      <c r="N1963" s="7">
        <f t="shared" si="340"/>
        <v>0</v>
      </c>
      <c r="O1963" s="7">
        <f t="shared" si="339"/>
        <v>51000</v>
      </c>
      <c r="P1963" s="99">
        <f t="shared" si="332"/>
        <v>4.4882513420751559E-3</v>
      </c>
      <c r="Q1963" s="99">
        <f t="shared" si="341"/>
        <v>-1.5748202131353627E-3</v>
      </c>
      <c r="S1963" s="7">
        <f t="shared" si="333"/>
        <v>12555400.000000002</v>
      </c>
      <c r="T1963" s="7">
        <f t="shared" si="334"/>
        <v>3804666.6666666665</v>
      </c>
      <c r="U1963" s="7">
        <f t="shared" si="335"/>
        <v>13144000</v>
      </c>
      <c r="V1963" s="7">
        <f t="shared" si="336"/>
        <v>0</v>
      </c>
      <c r="W1963" s="7">
        <f t="shared" si="337"/>
        <v>0</v>
      </c>
      <c r="X1963" s="7">
        <f t="shared" si="338"/>
        <v>0</v>
      </c>
    </row>
    <row r="1964" spans="1:24">
      <c r="A1964">
        <v>1963</v>
      </c>
      <c r="B1964" s="96" t="s">
        <v>1640</v>
      </c>
      <c r="C1964" s="95">
        <v>42717</v>
      </c>
      <c r="D1964" s="82">
        <v>11426000</v>
      </c>
      <c r="E1964" s="82">
        <v>11395000</v>
      </c>
      <c r="F1964" s="82">
        <v>11436000</v>
      </c>
      <c r="G1964" s="82">
        <v>11426000</v>
      </c>
      <c r="I1964" s="97">
        <v>0</v>
      </c>
      <c r="J1964" s="97">
        <v>0</v>
      </c>
      <c r="K1964" s="97">
        <v>0</v>
      </c>
      <c r="M1964" s="7">
        <f t="shared" si="331"/>
        <v>0</v>
      </c>
      <c r="N1964" s="7">
        <f t="shared" si="340"/>
        <v>0</v>
      </c>
      <c r="O1964" s="7">
        <f t="shared" si="339"/>
        <v>12000</v>
      </c>
      <c r="P1964" s="99">
        <f t="shared" si="332"/>
        <v>1.0513404590853338E-3</v>
      </c>
      <c r="Q1964" s="99">
        <f t="shared" si="341"/>
        <v>5.6372691045131172E-3</v>
      </c>
      <c r="S1964" s="7">
        <f t="shared" si="333"/>
        <v>12568600.000000002</v>
      </c>
      <c r="T1964" s="7">
        <f t="shared" si="334"/>
        <v>3808666.6666666665</v>
      </c>
      <c r="U1964" s="7">
        <f t="shared" si="335"/>
        <v>13133000</v>
      </c>
      <c r="V1964" s="7">
        <f t="shared" si="336"/>
        <v>0</v>
      </c>
      <c r="W1964" s="7">
        <f t="shared" si="337"/>
        <v>0</v>
      </c>
      <c r="X1964" s="7">
        <f t="shared" si="338"/>
        <v>0</v>
      </c>
    </row>
    <row r="1965" spans="1:24">
      <c r="A1965">
        <v>1964</v>
      </c>
      <c r="B1965" s="96" t="s">
        <v>1639</v>
      </c>
      <c r="C1965" s="95">
        <v>42718</v>
      </c>
      <c r="D1965" s="82">
        <v>11455000</v>
      </c>
      <c r="E1965" s="82">
        <v>11424000</v>
      </c>
      <c r="F1965" s="82">
        <v>11467000</v>
      </c>
      <c r="G1965" s="82">
        <v>11455000</v>
      </c>
      <c r="I1965" s="97">
        <v>0</v>
      </c>
      <c r="J1965" s="97">
        <v>0</v>
      </c>
      <c r="K1965" s="97">
        <v>0</v>
      </c>
      <c r="M1965" s="7">
        <f t="shared" si="331"/>
        <v>0</v>
      </c>
      <c r="N1965" s="7">
        <f t="shared" si="340"/>
        <v>0</v>
      </c>
      <c r="O1965" s="7">
        <f t="shared" si="339"/>
        <v>29000</v>
      </c>
      <c r="P1965" s="99">
        <f t="shared" si="332"/>
        <v>2.5380710659898475E-3</v>
      </c>
      <c r="Q1965" s="99">
        <f t="shared" si="341"/>
        <v>4.6621778455367769E-3</v>
      </c>
      <c r="S1965" s="7">
        <f t="shared" si="333"/>
        <v>12600500.000000002</v>
      </c>
      <c r="T1965" s="7">
        <f t="shared" si="334"/>
        <v>3818333.3333333335</v>
      </c>
      <c r="U1965" s="7">
        <f t="shared" si="335"/>
        <v>13180000</v>
      </c>
      <c r="V1965" s="7">
        <f t="shared" si="336"/>
        <v>0</v>
      </c>
      <c r="W1965" s="7">
        <f t="shared" si="337"/>
        <v>0</v>
      </c>
      <c r="X1965" s="7">
        <f t="shared" si="338"/>
        <v>0</v>
      </c>
    </row>
    <row r="1966" spans="1:24">
      <c r="A1966">
        <v>1965</v>
      </c>
      <c r="B1966" s="96" t="s">
        <v>1638</v>
      </c>
      <c r="C1966" s="95">
        <v>42719</v>
      </c>
      <c r="D1966" s="82">
        <v>11382000</v>
      </c>
      <c r="E1966" s="82">
        <v>11372000</v>
      </c>
      <c r="F1966" s="82">
        <v>11415000</v>
      </c>
      <c r="G1966" s="82">
        <v>11382000</v>
      </c>
      <c r="I1966" s="98">
        <v>0</v>
      </c>
      <c r="J1966" s="98">
        <v>0</v>
      </c>
      <c r="K1966" s="98">
        <v>0</v>
      </c>
      <c r="M1966" s="7">
        <f t="shared" si="331"/>
        <v>0</v>
      </c>
      <c r="N1966" s="7">
        <f t="shared" si="340"/>
        <v>0</v>
      </c>
      <c r="O1966" s="7">
        <f t="shared" si="339"/>
        <v>-73000</v>
      </c>
      <c r="P1966" s="99">
        <f t="shared" si="332"/>
        <v>-6.3727629855958095E-3</v>
      </c>
      <c r="Q1966" s="99">
        <f t="shared" si="341"/>
        <v>5.9692632437168998E-3</v>
      </c>
      <c r="S1966" s="7">
        <f t="shared" si="333"/>
        <v>12520200.000000002</v>
      </c>
      <c r="T1966" s="7">
        <f t="shared" si="334"/>
        <v>3794000</v>
      </c>
      <c r="U1966" s="7">
        <f t="shared" si="335"/>
        <v>13195000</v>
      </c>
      <c r="V1966" s="7">
        <f t="shared" si="336"/>
        <v>0</v>
      </c>
      <c r="W1966" s="7">
        <f t="shared" si="337"/>
        <v>0</v>
      </c>
      <c r="X1966" s="7">
        <f t="shared" si="338"/>
        <v>0</v>
      </c>
    </row>
    <row r="1967" spans="1:24">
      <c r="A1967">
        <v>1966</v>
      </c>
      <c r="B1967" s="96" t="s">
        <v>1637</v>
      </c>
      <c r="C1967" s="95">
        <v>42721</v>
      </c>
      <c r="D1967" s="82">
        <v>11387000</v>
      </c>
      <c r="E1967" s="82">
        <v>11377000</v>
      </c>
      <c r="F1967" s="82">
        <v>11400000</v>
      </c>
      <c r="G1967" s="82">
        <v>11387000</v>
      </c>
      <c r="I1967" s="82">
        <f>G1967*1.1</f>
        <v>12525700.000000002</v>
      </c>
      <c r="J1967" s="82">
        <f>G1967/3</f>
        <v>3795666.6666666665</v>
      </c>
      <c r="K1967" s="7">
        <f>G2235</f>
        <v>13187000</v>
      </c>
      <c r="L1967" s="7">
        <f>K1967-I1967</f>
        <v>661299.99999999814</v>
      </c>
      <c r="M1967" s="7">
        <f t="shared" si="331"/>
        <v>474458.33333333326</v>
      </c>
      <c r="N1967" s="7">
        <f t="shared" si="340"/>
        <v>1135758.3333333314</v>
      </c>
      <c r="O1967" s="7">
        <f t="shared" si="339"/>
        <v>5000</v>
      </c>
      <c r="P1967" s="99">
        <f t="shared" si="332"/>
        <v>4.3929010718678614E-4</v>
      </c>
      <c r="Q1967" s="99">
        <f t="shared" si="341"/>
        <v>3.5597474244739892E-5</v>
      </c>
      <c r="R1967">
        <v>1</v>
      </c>
      <c r="S1967" s="7">
        <f t="shared" si="333"/>
        <v>12525700.000000002</v>
      </c>
      <c r="T1967" s="7">
        <f t="shared" si="334"/>
        <v>3795666.6666666665</v>
      </c>
      <c r="U1967" s="7">
        <f t="shared" si="335"/>
        <v>13187000</v>
      </c>
      <c r="V1967" s="7">
        <f t="shared" si="336"/>
        <v>661299.99999999814</v>
      </c>
      <c r="W1967" s="7">
        <f t="shared" si="337"/>
        <v>474458.33333333326</v>
      </c>
      <c r="X1967" s="7">
        <f t="shared" si="338"/>
        <v>1135758.3333333314</v>
      </c>
    </row>
    <row r="1968" spans="1:24">
      <c r="A1968">
        <v>1967</v>
      </c>
      <c r="B1968" s="96" t="s">
        <v>1636</v>
      </c>
      <c r="C1968" s="95">
        <v>42722</v>
      </c>
      <c r="D1968" s="82">
        <v>11379000</v>
      </c>
      <c r="E1968" s="82">
        <v>11365000</v>
      </c>
      <c r="F1968" s="82">
        <v>11395000</v>
      </c>
      <c r="G1968" s="82">
        <v>11379000</v>
      </c>
      <c r="I1968" s="97">
        <v>0</v>
      </c>
      <c r="J1968" s="97">
        <v>0</v>
      </c>
      <c r="K1968" s="97">
        <v>0</v>
      </c>
      <c r="M1968" s="7">
        <f t="shared" si="331"/>
        <v>0</v>
      </c>
      <c r="N1968" s="7">
        <f t="shared" si="340"/>
        <v>0</v>
      </c>
      <c r="O1968" s="7">
        <f t="shared" si="339"/>
        <v>-8000</v>
      </c>
      <c r="P1968" s="99">
        <f t="shared" si="332"/>
        <v>-7.0255554579783965E-4</v>
      </c>
      <c r="Q1968" s="99">
        <f t="shared" si="341"/>
        <v>2.1441899887413136E-3</v>
      </c>
      <c r="S1968" s="7">
        <f t="shared" si="333"/>
        <v>12516900.000000002</v>
      </c>
      <c r="T1968" s="7">
        <f t="shared" si="334"/>
        <v>3793000</v>
      </c>
      <c r="U1968" s="7">
        <f t="shared" si="335"/>
        <v>13302000</v>
      </c>
      <c r="V1968" s="7">
        <f t="shared" si="336"/>
        <v>0</v>
      </c>
      <c r="W1968" s="7">
        <f t="shared" si="337"/>
        <v>0</v>
      </c>
      <c r="X1968" s="7">
        <f t="shared" si="338"/>
        <v>0</v>
      </c>
    </row>
    <row r="1969" spans="1:24">
      <c r="A1969">
        <v>1968</v>
      </c>
      <c r="B1969" s="96" t="s">
        <v>1635</v>
      </c>
      <c r="C1969" s="95">
        <v>42723</v>
      </c>
      <c r="D1969" s="82">
        <v>11388000</v>
      </c>
      <c r="E1969" s="82">
        <v>11366000</v>
      </c>
      <c r="F1969" s="82">
        <v>11393000</v>
      </c>
      <c r="G1969" s="82">
        <v>11388000</v>
      </c>
      <c r="I1969" s="97">
        <v>0</v>
      </c>
      <c r="J1969" s="97">
        <v>0</v>
      </c>
      <c r="K1969" s="97">
        <v>0</v>
      </c>
      <c r="M1969" s="7">
        <f t="shared" si="331"/>
        <v>0</v>
      </c>
      <c r="N1969" s="7">
        <f t="shared" si="340"/>
        <v>0</v>
      </c>
      <c r="O1969" s="7">
        <f t="shared" si="339"/>
        <v>9000</v>
      </c>
      <c r="P1969" s="99">
        <f t="shared" si="332"/>
        <v>7.9093066174532034E-4</v>
      </c>
      <c r="Q1969" s="99">
        <f t="shared" si="341"/>
        <v>-3.0466168991316821E-3</v>
      </c>
      <c r="S1969" s="7">
        <f t="shared" si="333"/>
        <v>12526800.000000002</v>
      </c>
      <c r="T1969" s="7">
        <f t="shared" si="334"/>
        <v>3796000</v>
      </c>
      <c r="U1969" s="7">
        <f t="shared" si="335"/>
        <v>13430000</v>
      </c>
      <c r="V1969" s="7">
        <f t="shared" si="336"/>
        <v>0</v>
      </c>
      <c r="W1969" s="7">
        <f t="shared" si="337"/>
        <v>0</v>
      </c>
      <c r="X1969" s="7">
        <f t="shared" si="338"/>
        <v>0</v>
      </c>
    </row>
    <row r="1970" spans="1:24">
      <c r="A1970">
        <v>1969</v>
      </c>
      <c r="B1970" s="96" t="s">
        <v>1634</v>
      </c>
      <c r="C1970" s="95">
        <v>42724</v>
      </c>
      <c r="D1970" s="82">
        <v>11412000</v>
      </c>
      <c r="E1970" s="82">
        <v>11385000</v>
      </c>
      <c r="F1970" s="82">
        <v>11414000</v>
      </c>
      <c r="G1970" s="82">
        <v>11412000</v>
      </c>
      <c r="I1970" s="97">
        <v>0</v>
      </c>
      <c r="J1970" s="97">
        <v>0</v>
      </c>
      <c r="K1970" s="97">
        <v>0</v>
      </c>
      <c r="M1970" s="7">
        <f t="shared" si="331"/>
        <v>0</v>
      </c>
      <c r="N1970" s="7">
        <f t="shared" si="340"/>
        <v>0</v>
      </c>
      <c r="O1970" s="7">
        <f t="shared" si="339"/>
        <v>24000</v>
      </c>
      <c r="P1970" s="99">
        <f t="shared" si="332"/>
        <v>2.1074815595363539E-3</v>
      </c>
      <c r="Q1970" s="99">
        <f t="shared" si="341"/>
        <v>-3.3070266964716948E-3</v>
      </c>
      <c r="S1970" s="7">
        <f t="shared" si="333"/>
        <v>12553200.000000002</v>
      </c>
      <c r="T1970" s="7">
        <f t="shared" si="334"/>
        <v>3804000</v>
      </c>
      <c r="U1970" s="7">
        <f t="shared" si="335"/>
        <v>13393000</v>
      </c>
      <c r="V1970" s="7">
        <f t="shared" si="336"/>
        <v>0</v>
      </c>
      <c r="W1970" s="7">
        <f t="shared" si="337"/>
        <v>0</v>
      </c>
      <c r="X1970" s="7">
        <f t="shared" si="338"/>
        <v>0</v>
      </c>
    </row>
    <row r="1971" spans="1:24">
      <c r="A1971">
        <v>1970</v>
      </c>
      <c r="B1971" s="96" t="s">
        <v>1633</v>
      </c>
      <c r="C1971" s="95">
        <v>42725</v>
      </c>
      <c r="D1971" s="82">
        <v>11461000</v>
      </c>
      <c r="E1971" s="82">
        <v>11417000</v>
      </c>
      <c r="F1971" s="82">
        <v>11494000</v>
      </c>
      <c r="G1971" s="82">
        <v>11461000</v>
      </c>
      <c r="I1971" s="98">
        <v>0</v>
      </c>
      <c r="J1971" s="98">
        <v>0</v>
      </c>
      <c r="K1971" s="98">
        <v>0</v>
      </c>
      <c r="M1971" s="7">
        <f t="shared" si="331"/>
        <v>0</v>
      </c>
      <c r="N1971" s="7">
        <f t="shared" si="340"/>
        <v>0</v>
      </c>
      <c r="O1971" s="7">
        <f t="shared" si="339"/>
        <v>49000</v>
      </c>
      <c r="P1971" s="99">
        <f t="shared" si="332"/>
        <v>4.29372590255871E-3</v>
      </c>
      <c r="Q1971" s="99">
        <f t="shared" si="341"/>
        <v>-3.7376162029251884E-3</v>
      </c>
      <c r="S1971" s="7">
        <f t="shared" si="333"/>
        <v>12607100.000000002</v>
      </c>
      <c r="T1971" s="7">
        <f t="shared" si="334"/>
        <v>3820333.3333333335</v>
      </c>
      <c r="U1971" s="7">
        <f t="shared" si="335"/>
        <v>13497000</v>
      </c>
      <c r="V1971" s="7">
        <f t="shared" si="336"/>
        <v>0</v>
      </c>
      <c r="W1971" s="7">
        <f t="shared" si="337"/>
        <v>0</v>
      </c>
      <c r="X1971" s="7">
        <f t="shared" si="338"/>
        <v>0</v>
      </c>
    </row>
    <row r="1972" spans="1:24">
      <c r="A1972">
        <v>1971</v>
      </c>
      <c r="B1972" s="96" t="s">
        <v>1632</v>
      </c>
      <c r="C1972" s="95">
        <v>42726</v>
      </c>
      <c r="D1972" s="82">
        <v>11477000</v>
      </c>
      <c r="E1972" s="82">
        <v>11455000</v>
      </c>
      <c r="F1972" s="82">
        <v>11493000</v>
      </c>
      <c r="G1972" s="82">
        <v>11477000</v>
      </c>
      <c r="I1972" s="82">
        <f>G1972*1.1</f>
        <v>12624700.000000002</v>
      </c>
      <c r="J1972" s="82">
        <f>G1972/3</f>
        <v>3825666.6666666665</v>
      </c>
      <c r="K1972" s="7">
        <f>G2240</f>
        <v>13582000</v>
      </c>
      <c r="L1972" s="7">
        <f>K1972-I1972</f>
        <v>957299.99999999814</v>
      </c>
      <c r="M1972" s="7">
        <f t="shared" si="331"/>
        <v>478208.33333333326</v>
      </c>
      <c r="N1972" s="7">
        <f t="shared" si="340"/>
        <v>1435508.3333333314</v>
      </c>
      <c r="O1972" s="7">
        <f t="shared" si="339"/>
        <v>16000</v>
      </c>
      <c r="P1972" s="99">
        <f t="shared" si="332"/>
        <v>1.3960387400750371E-3</v>
      </c>
      <c r="Q1972" s="99">
        <f t="shared" si="341"/>
        <v>6.9288726852293307E-3</v>
      </c>
      <c r="R1972">
        <v>1</v>
      </c>
      <c r="S1972" s="7">
        <f t="shared" si="333"/>
        <v>12624700.000000002</v>
      </c>
      <c r="T1972" s="7">
        <f t="shared" si="334"/>
        <v>3825666.6666666665</v>
      </c>
      <c r="U1972" s="7">
        <f t="shared" si="335"/>
        <v>13582000</v>
      </c>
      <c r="V1972" s="7">
        <f t="shared" si="336"/>
        <v>957299.99999999814</v>
      </c>
      <c r="W1972" s="7">
        <f t="shared" si="337"/>
        <v>478208.33333333326</v>
      </c>
      <c r="X1972" s="7">
        <f t="shared" si="338"/>
        <v>1435508.3333333314</v>
      </c>
    </row>
    <row r="1973" spans="1:24">
      <c r="A1973">
        <v>1972</v>
      </c>
      <c r="B1973" s="96" t="s">
        <v>1631</v>
      </c>
      <c r="C1973" s="95">
        <v>42728</v>
      </c>
      <c r="D1973" s="82">
        <v>11568000</v>
      </c>
      <c r="E1973" s="82">
        <v>11472000</v>
      </c>
      <c r="F1973" s="82">
        <v>11586000</v>
      </c>
      <c r="G1973" s="82">
        <v>11568000</v>
      </c>
      <c r="I1973" s="97">
        <v>0</v>
      </c>
      <c r="J1973" s="97">
        <v>0</v>
      </c>
      <c r="K1973" s="97">
        <v>0</v>
      </c>
      <c r="M1973" s="7">
        <f t="shared" si="331"/>
        <v>0</v>
      </c>
      <c r="N1973" s="7">
        <f t="shared" si="340"/>
        <v>0</v>
      </c>
      <c r="O1973" s="7">
        <f t="shared" si="339"/>
        <v>91000</v>
      </c>
      <c r="P1973" s="99">
        <f t="shared" si="332"/>
        <v>7.9289012808225149E-3</v>
      </c>
      <c r="Q1973" s="99">
        <f t="shared" si="341"/>
        <v>7.8856213181175815E-3</v>
      </c>
      <c r="S1973" s="7">
        <f t="shared" si="333"/>
        <v>12724800.000000002</v>
      </c>
      <c r="T1973" s="7">
        <f t="shared" si="334"/>
        <v>3856000</v>
      </c>
      <c r="U1973" s="7">
        <f t="shared" si="335"/>
        <v>13497000</v>
      </c>
      <c r="V1973" s="7">
        <f t="shared" si="336"/>
        <v>0</v>
      </c>
      <c r="W1973" s="7">
        <f t="shared" si="337"/>
        <v>0</v>
      </c>
      <c r="X1973" s="7">
        <f t="shared" si="338"/>
        <v>0</v>
      </c>
    </row>
    <row r="1974" spans="1:24">
      <c r="A1974">
        <v>1973</v>
      </c>
      <c r="B1974" s="96" t="s">
        <v>1630</v>
      </c>
      <c r="C1974" s="95">
        <v>42729</v>
      </c>
      <c r="D1974" s="82">
        <v>11713000</v>
      </c>
      <c r="E1974" s="82">
        <v>11593000</v>
      </c>
      <c r="F1974" s="82">
        <v>11713000</v>
      </c>
      <c r="G1974" s="82">
        <v>11713000</v>
      </c>
      <c r="I1974" s="97">
        <v>0</v>
      </c>
      <c r="J1974" s="97">
        <v>0</v>
      </c>
      <c r="K1974" s="97">
        <v>0</v>
      </c>
      <c r="M1974" s="7">
        <f t="shared" si="331"/>
        <v>0</v>
      </c>
      <c r="N1974" s="7">
        <f t="shared" si="340"/>
        <v>0</v>
      </c>
      <c r="O1974" s="7">
        <f t="shared" si="339"/>
        <v>145000</v>
      </c>
      <c r="P1974" s="99">
        <f t="shared" si="332"/>
        <v>1.2534578146611342E-2</v>
      </c>
      <c r="Q1974" s="99">
        <f t="shared" si="341"/>
        <v>1.6517078144737934E-2</v>
      </c>
      <c r="S1974" s="7">
        <f t="shared" si="333"/>
        <v>12884300.000000002</v>
      </c>
      <c r="T1974" s="7">
        <f t="shared" si="334"/>
        <v>3904333.3333333335</v>
      </c>
      <c r="U1974" s="7">
        <f t="shared" si="335"/>
        <v>13730000</v>
      </c>
      <c r="V1974" s="7">
        <f t="shared" si="336"/>
        <v>0</v>
      </c>
      <c r="W1974" s="7">
        <f t="shared" si="337"/>
        <v>0</v>
      </c>
      <c r="X1974" s="7">
        <f t="shared" si="338"/>
        <v>0</v>
      </c>
    </row>
    <row r="1975" spans="1:24">
      <c r="A1975">
        <v>1974</v>
      </c>
      <c r="B1975" s="96" t="s">
        <v>1629</v>
      </c>
      <c r="C1975" s="95">
        <v>42730</v>
      </c>
      <c r="D1975" s="82">
        <v>11864000</v>
      </c>
      <c r="E1975" s="82">
        <v>11707000</v>
      </c>
      <c r="F1975" s="82">
        <v>11985000</v>
      </c>
      <c r="G1975" s="82">
        <v>11864000</v>
      </c>
      <c r="I1975" s="97">
        <v>0</v>
      </c>
      <c r="J1975" s="97">
        <v>0</v>
      </c>
      <c r="K1975" s="97">
        <v>0</v>
      </c>
      <c r="M1975" s="7">
        <f t="shared" si="331"/>
        <v>0</v>
      </c>
      <c r="N1975" s="7">
        <f t="shared" si="340"/>
        <v>0</v>
      </c>
      <c r="O1975" s="7">
        <f t="shared" si="339"/>
        <v>151000</v>
      </c>
      <c r="P1975" s="99">
        <f t="shared" si="332"/>
        <v>1.2891658840604456E-2</v>
      </c>
      <c r="Q1975" s="99">
        <f t="shared" si="341"/>
        <v>2.826072562960396E-2</v>
      </c>
      <c r="S1975" s="7">
        <f t="shared" si="333"/>
        <v>13050400.000000002</v>
      </c>
      <c r="T1975" s="7">
        <f t="shared" si="334"/>
        <v>3954666.6666666665</v>
      </c>
      <c r="U1975" s="7">
        <f t="shared" si="335"/>
        <v>13880000</v>
      </c>
      <c r="V1975" s="7">
        <f t="shared" si="336"/>
        <v>0</v>
      </c>
      <c r="W1975" s="7">
        <f t="shared" si="337"/>
        <v>0</v>
      </c>
      <c r="X1975" s="7">
        <f t="shared" si="338"/>
        <v>0</v>
      </c>
    </row>
    <row r="1976" spans="1:24">
      <c r="A1976">
        <v>1975</v>
      </c>
      <c r="B1976" s="96" t="s">
        <v>1628</v>
      </c>
      <c r="C1976" s="95">
        <v>42731</v>
      </c>
      <c r="D1976" s="82">
        <v>12163000</v>
      </c>
      <c r="E1976" s="82">
        <v>11917000</v>
      </c>
      <c r="F1976" s="82">
        <v>12223000</v>
      </c>
      <c r="G1976" s="82">
        <v>12163000</v>
      </c>
      <c r="I1976" s="98">
        <v>0</v>
      </c>
      <c r="J1976" s="98">
        <v>0</v>
      </c>
      <c r="K1976" s="98">
        <v>0</v>
      </c>
      <c r="M1976" s="7">
        <f t="shared" si="331"/>
        <v>0</v>
      </c>
      <c r="N1976" s="7">
        <f t="shared" si="340"/>
        <v>0</v>
      </c>
      <c r="O1976" s="7">
        <f t="shared" si="339"/>
        <v>299000</v>
      </c>
      <c r="P1976" s="99">
        <f t="shared" si="332"/>
        <v>2.5202292650033715E-2</v>
      </c>
      <c r="Q1976" s="99">
        <f t="shared" si="341"/>
        <v>3.9044902910672058E-2</v>
      </c>
      <c r="S1976" s="7">
        <f t="shared" si="333"/>
        <v>13379300.000000002</v>
      </c>
      <c r="T1976" s="7">
        <f t="shared" si="334"/>
        <v>4054333.3333333335</v>
      </c>
      <c r="U1976" s="7">
        <f t="shared" si="335"/>
        <v>13895000</v>
      </c>
      <c r="V1976" s="7">
        <f t="shared" si="336"/>
        <v>0</v>
      </c>
      <c r="W1976" s="7">
        <f t="shared" si="337"/>
        <v>0</v>
      </c>
      <c r="X1976" s="7">
        <f t="shared" si="338"/>
        <v>0</v>
      </c>
    </row>
    <row r="1977" spans="1:24">
      <c r="A1977">
        <v>1976</v>
      </c>
      <c r="B1977" s="96" t="s">
        <v>1627</v>
      </c>
      <c r="C1977" s="95">
        <v>42732</v>
      </c>
      <c r="D1977" s="82">
        <v>11885000</v>
      </c>
      <c r="E1977" s="82">
        <v>11827000</v>
      </c>
      <c r="F1977" s="82">
        <v>12250000</v>
      </c>
      <c r="G1977" s="82">
        <v>11885000</v>
      </c>
      <c r="I1977" s="82">
        <f>G1977*1.1</f>
        <v>13073500.000000002</v>
      </c>
      <c r="J1977" s="82">
        <f>G1977/3</f>
        <v>3961666.6666666665</v>
      </c>
      <c r="K1977" s="7">
        <f>G2245</f>
        <v>13883000</v>
      </c>
      <c r="L1977" s="7">
        <f>K1977-I1977</f>
        <v>809499.99999999814</v>
      </c>
      <c r="M1977" s="7">
        <f t="shared" si="331"/>
        <v>495208.33333333326</v>
      </c>
      <c r="N1977" s="7">
        <f t="shared" si="340"/>
        <v>1304708.3333333314</v>
      </c>
      <c r="O1977" s="7">
        <f t="shared" si="339"/>
        <v>-278000</v>
      </c>
      <c r="P1977" s="99">
        <f t="shared" si="332"/>
        <v>-2.2856203239332403E-2</v>
      </c>
      <c r="Q1977" s="99">
        <f t="shared" si="341"/>
        <v>5.9953469658147067E-2</v>
      </c>
      <c r="R1977">
        <v>1</v>
      </c>
      <c r="S1977" s="7">
        <f t="shared" si="333"/>
        <v>13073500.000000002</v>
      </c>
      <c r="T1977" s="7">
        <f t="shared" si="334"/>
        <v>3961666.6666666665</v>
      </c>
      <c r="U1977" s="7">
        <f t="shared" si="335"/>
        <v>13883000</v>
      </c>
      <c r="V1977" s="7">
        <f t="shared" si="336"/>
        <v>809499.99999999814</v>
      </c>
      <c r="W1977" s="7">
        <f t="shared" si="337"/>
        <v>495208.33333333326</v>
      </c>
      <c r="X1977" s="7">
        <f t="shared" si="338"/>
        <v>1304708.3333333314</v>
      </c>
    </row>
    <row r="1978" spans="1:24">
      <c r="A1978">
        <v>1977</v>
      </c>
      <c r="B1978" s="96" t="s">
        <v>1626</v>
      </c>
      <c r="C1978" s="95">
        <v>42733</v>
      </c>
      <c r="D1978" s="82">
        <v>11682000</v>
      </c>
      <c r="E1978" s="82">
        <v>11642000</v>
      </c>
      <c r="F1978" s="82">
        <v>11915000</v>
      </c>
      <c r="G1978" s="82">
        <v>11682000</v>
      </c>
      <c r="I1978" s="97">
        <v>0</v>
      </c>
      <c r="J1978" s="97">
        <v>0</v>
      </c>
      <c r="K1978" s="97">
        <v>0</v>
      </c>
      <c r="M1978" s="7">
        <f t="shared" si="331"/>
        <v>0</v>
      </c>
      <c r="N1978" s="7">
        <f t="shared" si="340"/>
        <v>0</v>
      </c>
      <c r="O1978" s="7">
        <f t="shared" si="339"/>
        <v>-203000</v>
      </c>
      <c r="P1978" s="99">
        <f t="shared" si="332"/>
        <v>-1.7080353386621793E-2</v>
      </c>
      <c r="Q1978" s="99">
        <f t="shared" si="341"/>
        <v>3.5701227678739622E-2</v>
      </c>
      <c r="S1978" s="7">
        <f t="shared" si="333"/>
        <v>12850200.000000002</v>
      </c>
      <c r="T1978" s="7">
        <f t="shared" si="334"/>
        <v>3894000</v>
      </c>
      <c r="U1978" s="7">
        <f t="shared" si="335"/>
        <v>13895000</v>
      </c>
      <c r="V1978" s="7">
        <f t="shared" si="336"/>
        <v>0</v>
      </c>
      <c r="W1978" s="7">
        <f t="shared" si="337"/>
        <v>0</v>
      </c>
      <c r="X1978" s="7">
        <f t="shared" si="338"/>
        <v>0</v>
      </c>
    </row>
    <row r="1979" spans="1:24">
      <c r="A1979">
        <v>1978</v>
      </c>
      <c r="B1979" s="96" t="s">
        <v>1625</v>
      </c>
      <c r="C1979" s="95">
        <v>42735</v>
      </c>
      <c r="D1979" s="82">
        <v>11302000</v>
      </c>
      <c r="E1979" s="82">
        <v>11279000</v>
      </c>
      <c r="F1979" s="82">
        <v>11645000</v>
      </c>
      <c r="G1979" s="82">
        <v>11302000</v>
      </c>
      <c r="I1979" s="97">
        <v>0</v>
      </c>
      <c r="J1979" s="97">
        <v>0</v>
      </c>
      <c r="K1979" s="97">
        <v>0</v>
      </c>
      <c r="M1979" s="7">
        <f t="shared" si="331"/>
        <v>0</v>
      </c>
      <c r="N1979" s="7">
        <f t="shared" si="340"/>
        <v>0</v>
      </c>
      <c r="O1979" s="7">
        <f t="shared" si="339"/>
        <v>-380000</v>
      </c>
      <c r="P1979" s="99">
        <f t="shared" si="332"/>
        <v>-3.2528676596473204E-2</v>
      </c>
      <c r="Q1979" s="99">
        <f t="shared" si="341"/>
        <v>1.0691973011295319E-2</v>
      </c>
      <c r="S1979" s="7">
        <f t="shared" si="333"/>
        <v>12432200.000000002</v>
      </c>
      <c r="T1979" s="7">
        <f t="shared" si="334"/>
        <v>3767333.3333333335</v>
      </c>
      <c r="U1979" s="7">
        <f t="shared" si="335"/>
        <v>14145000</v>
      </c>
      <c r="V1979" s="7">
        <f t="shared" si="336"/>
        <v>0</v>
      </c>
      <c r="W1979" s="7">
        <f t="shared" si="337"/>
        <v>0</v>
      </c>
      <c r="X1979" s="7">
        <f t="shared" si="338"/>
        <v>0</v>
      </c>
    </row>
    <row r="1980" spans="1:24">
      <c r="A1980">
        <v>1979</v>
      </c>
      <c r="B1980" s="96" t="s">
        <v>1624</v>
      </c>
      <c r="C1980" s="95">
        <v>42736</v>
      </c>
      <c r="D1980" s="82">
        <v>11460000</v>
      </c>
      <c r="E1980" s="82">
        <v>11102000</v>
      </c>
      <c r="F1980" s="82">
        <v>11507000</v>
      </c>
      <c r="G1980" s="82">
        <v>11460000</v>
      </c>
      <c r="I1980" s="97">
        <v>0</v>
      </c>
      <c r="J1980" s="97">
        <v>0</v>
      </c>
      <c r="K1980" s="97">
        <v>0</v>
      </c>
      <c r="M1980" s="7">
        <f t="shared" si="331"/>
        <v>0</v>
      </c>
      <c r="N1980" s="7">
        <f t="shared" si="340"/>
        <v>0</v>
      </c>
      <c r="O1980" s="7">
        <f t="shared" si="339"/>
        <v>158000</v>
      </c>
      <c r="P1980" s="99">
        <f t="shared" si="332"/>
        <v>1.3979826579366484E-2</v>
      </c>
      <c r="Q1980" s="99">
        <f t="shared" si="341"/>
        <v>-3.437128173178923E-2</v>
      </c>
      <c r="S1980" s="7">
        <f t="shared" si="333"/>
        <v>12606000.000000002</v>
      </c>
      <c r="T1980" s="7">
        <f t="shared" si="334"/>
        <v>3820000</v>
      </c>
      <c r="U1980" s="7">
        <f t="shared" si="335"/>
        <v>14155000</v>
      </c>
      <c r="V1980" s="7">
        <f t="shared" si="336"/>
        <v>0</v>
      </c>
      <c r="W1980" s="7">
        <f t="shared" si="337"/>
        <v>0</v>
      </c>
      <c r="X1980" s="7">
        <f t="shared" si="338"/>
        <v>0</v>
      </c>
    </row>
    <row r="1981" spans="1:24">
      <c r="A1981">
        <v>1980</v>
      </c>
      <c r="B1981" s="96" t="s">
        <v>1623</v>
      </c>
      <c r="C1981" s="95">
        <v>42737</v>
      </c>
      <c r="D1981" s="82">
        <v>11565000</v>
      </c>
      <c r="E1981" s="82">
        <v>11382000</v>
      </c>
      <c r="F1981" s="82">
        <v>11635000</v>
      </c>
      <c r="G1981" s="82">
        <v>11565000</v>
      </c>
      <c r="I1981" s="98">
        <v>0</v>
      </c>
      <c r="J1981" s="98">
        <v>0</v>
      </c>
      <c r="K1981" s="98">
        <v>0</v>
      </c>
      <c r="M1981" s="7">
        <f t="shared" si="331"/>
        <v>0</v>
      </c>
      <c r="N1981" s="7">
        <f t="shared" si="340"/>
        <v>0</v>
      </c>
      <c r="O1981" s="7">
        <f t="shared" si="339"/>
        <v>105000</v>
      </c>
      <c r="P1981" s="99">
        <f t="shared" si="332"/>
        <v>9.1623036649214652E-3</v>
      </c>
      <c r="Q1981" s="99">
        <f t="shared" si="341"/>
        <v>-3.3283113993027198E-2</v>
      </c>
      <c r="S1981" s="7">
        <f t="shared" si="333"/>
        <v>12721500.000000002</v>
      </c>
      <c r="T1981" s="7">
        <f t="shared" si="334"/>
        <v>3855000</v>
      </c>
      <c r="U1981" s="7">
        <f t="shared" si="335"/>
        <v>14210000</v>
      </c>
      <c r="V1981" s="7">
        <f t="shared" si="336"/>
        <v>0</v>
      </c>
      <c r="W1981" s="7">
        <f t="shared" si="337"/>
        <v>0</v>
      </c>
      <c r="X1981" s="7">
        <f t="shared" si="338"/>
        <v>0</v>
      </c>
    </row>
    <row r="1982" spans="1:24">
      <c r="A1982">
        <v>1981</v>
      </c>
      <c r="B1982" s="96" t="s">
        <v>1622</v>
      </c>
      <c r="C1982" s="95">
        <v>42738</v>
      </c>
      <c r="D1982" s="82">
        <v>11557000</v>
      </c>
      <c r="E1982" s="82">
        <v>11472000</v>
      </c>
      <c r="F1982" s="82">
        <v>11720000</v>
      </c>
      <c r="G1982" s="82">
        <v>11557000</v>
      </c>
      <c r="I1982" s="82">
        <f>G1982*1.1</f>
        <v>12712700.000000002</v>
      </c>
      <c r="J1982" s="82">
        <f>G1982/3</f>
        <v>3852333.3333333335</v>
      </c>
      <c r="K1982" s="7">
        <f>G2250</f>
        <v>14441000</v>
      </c>
      <c r="L1982" s="7">
        <f>K1982-I1982</f>
        <v>1728299.9999999981</v>
      </c>
      <c r="M1982" s="7">
        <f t="shared" si="331"/>
        <v>481541.66666666674</v>
      </c>
      <c r="N1982" s="7">
        <f t="shared" si="340"/>
        <v>2209841.6666666651</v>
      </c>
      <c r="O1982" s="7">
        <f t="shared" si="339"/>
        <v>-8000</v>
      </c>
      <c r="P1982" s="99">
        <f t="shared" si="332"/>
        <v>-6.9174232598357116E-4</v>
      </c>
      <c r="Q1982" s="99">
        <f t="shared" si="341"/>
        <v>-4.9323102978139452E-2</v>
      </c>
      <c r="R1982">
        <v>1</v>
      </c>
      <c r="S1982" s="7">
        <f t="shared" si="333"/>
        <v>12712700.000000002</v>
      </c>
      <c r="T1982" s="7">
        <f t="shared" si="334"/>
        <v>3852333.3333333335</v>
      </c>
      <c r="U1982" s="7">
        <f t="shared" si="335"/>
        <v>14441000</v>
      </c>
      <c r="V1982" s="7">
        <f t="shared" si="336"/>
        <v>1728299.9999999981</v>
      </c>
      <c r="W1982" s="7">
        <f t="shared" si="337"/>
        <v>481541.66666666674</v>
      </c>
      <c r="X1982" s="7">
        <f t="shared" si="338"/>
        <v>2209841.6666666651</v>
      </c>
    </row>
    <row r="1983" spans="1:24">
      <c r="A1983">
        <v>1982</v>
      </c>
      <c r="B1983" s="96" t="s">
        <v>1621</v>
      </c>
      <c r="C1983" s="95">
        <v>42739</v>
      </c>
      <c r="D1983" s="82">
        <v>11627000</v>
      </c>
      <c r="E1983" s="82">
        <v>11497000</v>
      </c>
      <c r="F1983" s="82">
        <v>11655000</v>
      </c>
      <c r="G1983" s="82">
        <v>11627000</v>
      </c>
      <c r="I1983" s="97">
        <v>0</v>
      </c>
      <c r="J1983" s="97">
        <v>0</v>
      </c>
      <c r="K1983" s="97">
        <v>0</v>
      </c>
      <c r="M1983" s="7">
        <f t="shared" si="331"/>
        <v>0</v>
      </c>
      <c r="N1983" s="7">
        <f t="shared" si="340"/>
        <v>0</v>
      </c>
      <c r="O1983" s="7">
        <f t="shared" si="339"/>
        <v>70000</v>
      </c>
      <c r="P1983" s="99">
        <f t="shared" si="332"/>
        <v>6.0569351907934586E-3</v>
      </c>
      <c r="Q1983" s="99">
        <f t="shared" si="341"/>
        <v>-2.7158642064790614E-2</v>
      </c>
      <c r="S1983" s="7">
        <f t="shared" si="333"/>
        <v>12789700.000000002</v>
      </c>
      <c r="T1983" s="7">
        <f t="shared" si="334"/>
        <v>3875666.6666666665</v>
      </c>
      <c r="U1983" s="7">
        <f t="shared" si="335"/>
        <v>14175000</v>
      </c>
      <c r="V1983" s="7">
        <f t="shared" si="336"/>
        <v>0</v>
      </c>
      <c r="W1983" s="7">
        <f t="shared" si="337"/>
        <v>0</v>
      </c>
      <c r="X1983" s="7">
        <f t="shared" si="338"/>
        <v>0</v>
      </c>
    </row>
    <row r="1984" spans="1:24">
      <c r="A1984">
        <v>1983</v>
      </c>
      <c r="B1984" s="96" t="s">
        <v>1620</v>
      </c>
      <c r="C1984" s="95">
        <v>42740</v>
      </c>
      <c r="D1984" s="82">
        <v>11740000</v>
      </c>
      <c r="E1984" s="82">
        <v>11630000</v>
      </c>
      <c r="F1984" s="82">
        <v>11745000</v>
      </c>
      <c r="G1984" s="82">
        <v>11740000</v>
      </c>
      <c r="I1984" s="97">
        <v>0</v>
      </c>
      <c r="J1984" s="97">
        <v>0</v>
      </c>
      <c r="K1984" s="97">
        <v>0</v>
      </c>
      <c r="M1984" s="7">
        <f t="shared" si="331"/>
        <v>0</v>
      </c>
      <c r="N1984" s="7">
        <f t="shared" si="340"/>
        <v>0</v>
      </c>
      <c r="O1984" s="7">
        <f t="shared" si="339"/>
        <v>113000</v>
      </c>
      <c r="P1984" s="99">
        <f t="shared" si="332"/>
        <v>9.7187580631289249E-3</v>
      </c>
      <c r="Q1984" s="99">
        <f t="shared" si="341"/>
        <v>-4.0213534873753641E-3</v>
      </c>
      <c r="S1984" s="7">
        <f t="shared" si="333"/>
        <v>12914000.000000002</v>
      </c>
      <c r="T1984" s="7">
        <f t="shared" si="334"/>
        <v>3913333.3333333335</v>
      </c>
      <c r="U1984" s="7">
        <f t="shared" si="335"/>
        <v>13903000</v>
      </c>
      <c r="V1984" s="7">
        <f t="shared" si="336"/>
        <v>0</v>
      </c>
      <c r="W1984" s="7">
        <f t="shared" si="337"/>
        <v>0</v>
      </c>
      <c r="X1984" s="7">
        <f t="shared" si="338"/>
        <v>0</v>
      </c>
    </row>
    <row r="1985" spans="1:24">
      <c r="A1985">
        <v>1984</v>
      </c>
      <c r="B1985" s="96" t="s">
        <v>1619</v>
      </c>
      <c r="C1985" s="95">
        <v>42742</v>
      </c>
      <c r="D1985" s="82">
        <v>11887000</v>
      </c>
      <c r="E1985" s="82">
        <v>11675000</v>
      </c>
      <c r="F1985" s="82">
        <v>11942000</v>
      </c>
      <c r="G1985" s="82">
        <v>11887000</v>
      </c>
      <c r="I1985" s="97">
        <v>0</v>
      </c>
      <c r="J1985" s="97">
        <v>0</v>
      </c>
      <c r="K1985" s="97">
        <v>0</v>
      </c>
      <c r="M1985" s="7">
        <f t="shared" si="331"/>
        <v>0</v>
      </c>
      <c r="N1985" s="7">
        <f t="shared" si="340"/>
        <v>0</v>
      </c>
      <c r="O1985" s="7">
        <f t="shared" si="339"/>
        <v>147000</v>
      </c>
      <c r="P1985" s="99">
        <f t="shared" si="332"/>
        <v>1.252129471890971E-2</v>
      </c>
      <c r="Q1985" s="99">
        <f t="shared" si="341"/>
        <v>3.8226081172226763E-2</v>
      </c>
      <c r="S1985" s="7">
        <f t="shared" si="333"/>
        <v>13075700.000000002</v>
      </c>
      <c r="T1985" s="7">
        <f t="shared" si="334"/>
        <v>3962333.3333333335</v>
      </c>
      <c r="U1985" s="7">
        <f t="shared" si="335"/>
        <v>13617000</v>
      </c>
      <c r="V1985" s="7">
        <f t="shared" si="336"/>
        <v>0</v>
      </c>
      <c r="W1985" s="7">
        <f t="shared" si="337"/>
        <v>0</v>
      </c>
      <c r="X1985" s="7">
        <f t="shared" si="338"/>
        <v>0</v>
      </c>
    </row>
    <row r="1986" spans="1:24">
      <c r="A1986">
        <v>1985</v>
      </c>
      <c r="B1986" s="96" t="s">
        <v>1618</v>
      </c>
      <c r="C1986" s="95">
        <v>42743</v>
      </c>
      <c r="D1986" s="82">
        <v>11919000</v>
      </c>
      <c r="E1986" s="82">
        <v>11736000</v>
      </c>
      <c r="F1986" s="82">
        <v>11945000</v>
      </c>
      <c r="G1986" s="82">
        <v>11804000</v>
      </c>
      <c r="I1986" s="98">
        <v>0</v>
      </c>
      <c r="J1986" s="98">
        <v>0</v>
      </c>
      <c r="K1986" s="98">
        <v>0</v>
      </c>
      <c r="M1986" s="7">
        <f t="shared" ref="M1986:M2049" si="342">J1986*$AI$6/200</f>
        <v>0</v>
      </c>
      <c r="N1986" s="7">
        <f t="shared" si="340"/>
        <v>0</v>
      </c>
      <c r="O1986" s="7">
        <f t="shared" si="339"/>
        <v>-83000</v>
      </c>
      <c r="P1986" s="99">
        <f t="shared" si="332"/>
        <v>-6.9824177673088244E-3</v>
      </c>
      <c r="Q1986" s="99">
        <f t="shared" si="341"/>
        <v>3.6767549311769988E-2</v>
      </c>
      <c r="S1986" s="7">
        <f t="shared" si="333"/>
        <v>12984400.000000002</v>
      </c>
      <c r="T1986" s="7">
        <f t="shared" si="334"/>
        <v>3934666.6666666665</v>
      </c>
      <c r="U1986" s="7">
        <f t="shared" si="335"/>
        <v>13570000</v>
      </c>
      <c r="V1986" s="7">
        <f t="shared" si="336"/>
        <v>0</v>
      </c>
      <c r="W1986" s="7">
        <f t="shared" si="337"/>
        <v>0</v>
      </c>
      <c r="X1986" s="7">
        <f t="shared" si="338"/>
        <v>0</v>
      </c>
    </row>
    <row r="1987" spans="1:24">
      <c r="A1987">
        <v>1986</v>
      </c>
      <c r="B1987" s="96" t="s">
        <v>1617</v>
      </c>
      <c r="C1987" s="95">
        <v>42744</v>
      </c>
      <c r="D1987" s="82">
        <v>11776000</v>
      </c>
      <c r="E1987" s="82">
        <v>11757000</v>
      </c>
      <c r="F1987" s="82">
        <v>11886000</v>
      </c>
      <c r="G1987" s="82">
        <v>11870000</v>
      </c>
      <c r="I1987" s="82">
        <f>G1987*1.1</f>
        <v>13057000.000000002</v>
      </c>
      <c r="J1987" s="82">
        <f>G1987/3</f>
        <v>3956666.6666666665</v>
      </c>
      <c r="K1987" s="7">
        <f>G2255</f>
        <v>13605000</v>
      </c>
      <c r="L1987" s="7">
        <f>K1987-I1987</f>
        <v>547999.99999999814</v>
      </c>
      <c r="M1987" s="7">
        <f t="shared" si="342"/>
        <v>494583.33333333326</v>
      </c>
      <c r="N1987" s="7">
        <f t="shared" si="340"/>
        <v>1042583.3333333314</v>
      </c>
      <c r="O1987" s="7">
        <f t="shared" si="339"/>
        <v>66000</v>
      </c>
      <c r="P1987" s="99">
        <f t="shared" ref="P1987:P2050" si="343">O1987/G1986</f>
        <v>5.5913249745848867E-3</v>
      </c>
      <c r="Q1987" s="99">
        <f t="shared" si="341"/>
        <v>2.0622827879539694E-2</v>
      </c>
      <c r="R1987">
        <v>1</v>
      </c>
      <c r="S1987" s="7">
        <f t="shared" ref="S1987:S2050" si="344">G1987*1.1</f>
        <v>13057000.000000002</v>
      </c>
      <c r="T1987" s="7">
        <f t="shared" ref="T1987:T2050" si="345">G1987/3</f>
        <v>3956666.6666666665</v>
      </c>
      <c r="U1987" s="7">
        <f t="shared" ref="U1987:U2050" si="346">G2255</f>
        <v>13605000</v>
      </c>
      <c r="V1987" s="7">
        <f t="shared" ref="V1987:V2050" si="347">(U1987-S1987)*R1987</f>
        <v>547999.99999999814</v>
      </c>
      <c r="W1987" s="7">
        <f t="shared" ref="W1987:W2050" si="348">(T1987*$AI$6/200)*R1987</f>
        <v>494583.33333333326</v>
      </c>
      <c r="X1987" s="7">
        <f t="shared" ref="X1987:X2050" si="349">V1987+W1987</f>
        <v>1042583.3333333314</v>
      </c>
    </row>
    <row r="1988" spans="1:24">
      <c r="A1988">
        <v>1987</v>
      </c>
      <c r="B1988" s="96" t="s">
        <v>1616</v>
      </c>
      <c r="C1988" s="95">
        <v>42745</v>
      </c>
      <c r="D1988" s="82">
        <v>11875000</v>
      </c>
      <c r="E1988" s="82">
        <v>11865000</v>
      </c>
      <c r="F1988" s="82">
        <v>11920000</v>
      </c>
      <c r="G1988" s="82">
        <v>11898000</v>
      </c>
      <c r="I1988" s="97">
        <v>0</v>
      </c>
      <c r="J1988" s="97">
        <v>0</v>
      </c>
      <c r="K1988" s="97">
        <v>0</v>
      </c>
      <c r="M1988" s="7">
        <f t="shared" si="342"/>
        <v>0</v>
      </c>
      <c r="N1988" s="7">
        <f t="shared" si="340"/>
        <v>0</v>
      </c>
      <c r="O1988" s="7">
        <f t="shared" ref="O1988:O2051" si="350">G1988-G1987</f>
        <v>28000</v>
      </c>
      <c r="P1988" s="99">
        <f t="shared" si="343"/>
        <v>2.3588879528222409E-3</v>
      </c>
      <c r="Q1988" s="99">
        <f t="shared" si="341"/>
        <v>2.6905895180108157E-2</v>
      </c>
      <c r="S1988" s="7">
        <f t="shared" si="344"/>
        <v>13087800.000000002</v>
      </c>
      <c r="T1988" s="7">
        <f t="shared" si="345"/>
        <v>3966000</v>
      </c>
      <c r="U1988" s="7">
        <f t="shared" si="346"/>
        <v>13560000</v>
      </c>
      <c r="V1988" s="7">
        <f t="shared" si="347"/>
        <v>0</v>
      </c>
      <c r="W1988" s="7">
        <f t="shared" si="348"/>
        <v>0</v>
      </c>
      <c r="X1988" s="7">
        <f t="shared" si="349"/>
        <v>0</v>
      </c>
    </row>
    <row r="1989" spans="1:24">
      <c r="A1989">
        <v>1988</v>
      </c>
      <c r="B1989" s="96" t="s">
        <v>1615</v>
      </c>
      <c r="C1989" s="95">
        <v>42746</v>
      </c>
      <c r="D1989" s="82">
        <v>11933000</v>
      </c>
      <c r="E1989" s="82">
        <v>11874000</v>
      </c>
      <c r="F1989" s="82">
        <v>11977000</v>
      </c>
      <c r="G1989" s="82">
        <v>11947000</v>
      </c>
      <c r="I1989" s="97">
        <v>0</v>
      </c>
      <c r="J1989" s="97">
        <v>0</v>
      </c>
      <c r="K1989" s="97">
        <v>0</v>
      </c>
      <c r="M1989" s="7">
        <f t="shared" si="342"/>
        <v>0</v>
      </c>
      <c r="N1989" s="7">
        <f t="shared" si="340"/>
        <v>0</v>
      </c>
      <c r="O1989" s="7">
        <f t="shared" si="350"/>
        <v>49000</v>
      </c>
      <c r="P1989" s="99">
        <f t="shared" si="343"/>
        <v>4.1183392166750715E-3</v>
      </c>
      <c r="Q1989" s="99">
        <f t="shared" si="341"/>
        <v>2.3207847942136938E-2</v>
      </c>
      <c r="S1989" s="7">
        <f t="shared" si="344"/>
        <v>13141700.000000002</v>
      </c>
      <c r="T1989" s="7">
        <f t="shared" si="345"/>
        <v>3982333.3333333335</v>
      </c>
      <c r="U1989" s="7">
        <f t="shared" si="346"/>
        <v>13764000</v>
      </c>
      <c r="V1989" s="7">
        <f t="shared" si="347"/>
        <v>0</v>
      </c>
      <c r="W1989" s="7">
        <f t="shared" si="348"/>
        <v>0</v>
      </c>
      <c r="X1989" s="7">
        <f t="shared" si="349"/>
        <v>0</v>
      </c>
    </row>
    <row r="1990" spans="1:24">
      <c r="A1990">
        <v>1989</v>
      </c>
      <c r="B1990" s="96" t="s">
        <v>1614</v>
      </c>
      <c r="C1990" s="95">
        <v>42747</v>
      </c>
      <c r="D1990" s="82">
        <v>11979000</v>
      </c>
      <c r="E1990" s="82">
        <v>11979000</v>
      </c>
      <c r="F1990" s="82">
        <v>12060000</v>
      </c>
      <c r="G1990" s="82">
        <v>12003000</v>
      </c>
      <c r="I1990" s="97">
        <v>0</v>
      </c>
      <c r="J1990" s="97">
        <v>0</v>
      </c>
      <c r="K1990" s="97">
        <v>0</v>
      </c>
      <c r="M1990" s="7">
        <f t="shared" si="342"/>
        <v>0</v>
      </c>
      <c r="N1990" s="7">
        <f t="shared" si="340"/>
        <v>0</v>
      </c>
      <c r="O1990" s="7">
        <f t="shared" si="350"/>
        <v>56000</v>
      </c>
      <c r="P1990" s="99">
        <f t="shared" si="343"/>
        <v>4.6873692140286267E-3</v>
      </c>
      <c r="Q1990" s="99">
        <f t="shared" si="341"/>
        <v>1.7607429095683087E-2</v>
      </c>
      <c r="S1990" s="7">
        <f t="shared" si="344"/>
        <v>13203300.000000002</v>
      </c>
      <c r="T1990" s="7">
        <f t="shared" si="345"/>
        <v>4001000</v>
      </c>
      <c r="U1990" s="7">
        <f t="shared" si="346"/>
        <v>13815000</v>
      </c>
      <c r="V1990" s="7">
        <f t="shared" si="347"/>
        <v>0</v>
      </c>
      <c r="W1990" s="7">
        <f t="shared" si="348"/>
        <v>0</v>
      </c>
      <c r="X1990" s="7">
        <f t="shared" si="349"/>
        <v>0</v>
      </c>
    </row>
    <row r="1991" spans="1:24">
      <c r="A1991">
        <v>1990</v>
      </c>
      <c r="B1991" s="96" t="s">
        <v>1613</v>
      </c>
      <c r="C1991" s="95">
        <v>42749</v>
      </c>
      <c r="D1991" s="82">
        <v>11978000</v>
      </c>
      <c r="E1991" s="82">
        <v>11752000</v>
      </c>
      <c r="F1991" s="82">
        <v>11997000</v>
      </c>
      <c r="G1991" s="82">
        <v>11762000</v>
      </c>
      <c r="I1991" s="98">
        <v>0</v>
      </c>
      <c r="J1991" s="98">
        <v>0</v>
      </c>
      <c r="K1991" s="98">
        <v>0</v>
      </c>
      <c r="M1991" s="7">
        <f t="shared" si="342"/>
        <v>0</v>
      </c>
      <c r="N1991" s="7">
        <f t="shared" si="340"/>
        <v>0</v>
      </c>
      <c r="O1991" s="7">
        <f t="shared" si="350"/>
        <v>-241000</v>
      </c>
      <c r="P1991" s="99">
        <f t="shared" si="343"/>
        <v>-2.0078313754894609E-2</v>
      </c>
      <c r="Q1991" s="99">
        <f t="shared" si="341"/>
        <v>9.7735035908020004E-3</v>
      </c>
      <c r="S1991" s="7">
        <f t="shared" si="344"/>
        <v>12938200.000000002</v>
      </c>
      <c r="T1991" s="7">
        <f t="shared" si="345"/>
        <v>3920666.6666666665</v>
      </c>
      <c r="U1991" s="7">
        <f t="shared" si="346"/>
        <v>13938000</v>
      </c>
      <c r="V1991" s="7">
        <f t="shared" si="347"/>
        <v>0</v>
      </c>
      <c r="W1991" s="7">
        <f t="shared" si="348"/>
        <v>0</v>
      </c>
      <c r="X1991" s="7">
        <f t="shared" si="349"/>
        <v>0</v>
      </c>
    </row>
    <row r="1992" spans="1:24">
      <c r="A1992">
        <v>1991</v>
      </c>
      <c r="B1992" s="96" t="s">
        <v>1612</v>
      </c>
      <c r="C1992" s="95">
        <v>42750</v>
      </c>
      <c r="D1992" s="82">
        <v>11767000</v>
      </c>
      <c r="E1992" s="82">
        <v>11717000</v>
      </c>
      <c r="F1992" s="82">
        <v>11878000</v>
      </c>
      <c r="G1992" s="82">
        <v>11863000</v>
      </c>
      <c r="I1992" s="82">
        <f>G1992*1.1</f>
        <v>13049300.000000002</v>
      </c>
      <c r="J1992" s="82">
        <f>G1992/3</f>
        <v>3954333.3333333335</v>
      </c>
      <c r="K1992" s="7">
        <f>G2260</f>
        <v>13935000</v>
      </c>
      <c r="L1992" s="7">
        <f>K1992-I1992</f>
        <v>885699.99999999814</v>
      </c>
      <c r="M1992" s="7">
        <f t="shared" si="342"/>
        <v>494291.66666666674</v>
      </c>
      <c r="N1992" s="7">
        <f t="shared" ref="N1992:N2055" si="351">L1992+M1992</f>
        <v>1379991.6666666649</v>
      </c>
      <c r="O1992" s="7">
        <f t="shared" si="350"/>
        <v>101000</v>
      </c>
      <c r="P1992" s="99">
        <f t="shared" si="343"/>
        <v>8.5869750042509782E-3</v>
      </c>
      <c r="Q1992" s="99">
        <f t="shared" ref="Q1992:Q2055" si="352">SUM(P1987:P1991)</f>
        <v>-3.3223923967837833E-3</v>
      </c>
      <c r="R1992">
        <v>1</v>
      </c>
      <c r="S1992" s="7">
        <f t="shared" si="344"/>
        <v>13049300.000000002</v>
      </c>
      <c r="T1992" s="7">
        <f t="shared" si="345"/>
        <v>3954333.3333333335</v>
      </c>
      <c r="U1992" s="7">
        <f t="shared" si="346"/>
        <v>13935000</v>
      </c>
      <c r="V1992" s="7">
        <f t="shared" si="347"/>
        <v>885699.99999999814</v>
      </c>
      <c r="W1992" s="7">
        <f t="shared" si="348"/>
        <v>494291.66666666674</v>
      </c>
      <c r="X1992" s="7">
        <f t="shared" si="349"/>
        <v>1379991.6666666649</v>
      </c>
    </row>
    <row r="1993" spans="1:24">
      <c r="A1993">
        <v>1992</v>
      </c>
      <c r="B1993" s="96" t="s">
        <v>1611</v>
      </c>
      <c r="C1993" s="95">
        <v>42751</v>
      </c>
      <c r="D1993" s="82">
        <v>11865000</v>
      </c>
      <c r="E1993" s="82">
        <v>11819000</v>
      </c>
      <c r="F1993" s="82">
        <v>11933000</v>
      </c>
      <c r="G1993" s="82">
        <v>11837000</v>
      </c>
      <c r="I1993" s="97">
        <v>0</v>
      </c>
      <c r="J1993" s="97">
        <v>0</v>
      </c>
      <c r="K1993" s="97">
        <v>0</v>
      </c>
      <c r="M1993" s="7">
        <f t="shared" si="342"/>
        <v>0</v>
      </c>
      <c r="N1993" s="7">
        <f t="shared" si="351"/>
        <v>0</v>
      </c>
      <c r="O1993" s="7">
        <f t="shared" si="350"/>
        <v>-26000</v>
      </c>
      <c r="P1993" s="99">
        <f t="shared" si="343"/>
        <v>-2.1916884430582483E-3</v>
      </c>
      <c r="Q1993" s="99">
        <f t="shared" si="352"/>
        <v>-3.2674236711769181E-4</v>
      </c>
      <c r="S1993" s="7">
        <f t="shared" si="344"/>
        <v>13020700.000000002</v>
      </c>
      <c r="T1993" s="7">
        <f t="shared" si="345"/>
        <v>3945666.6666666665</v>
      </c>
      <c r="U1993" s="7">
        <f t="shared" si="346"/>
        <v>14258000</v>
      </c>
      <c r="V1993" s="7">
        <f t="shared" si="347"/>
        <v>0</v>
      </c>
      <c r="W1993" s="7">
        <f t="shared" si="348"/>
        <v>0</v>
      </c>
      <c r="X1993" s="7">
        <f t="shared" si="349"/>
        <v>0</v>
      </c>
    </row>
    <row r="1994" spans="1:24">
      <c r="A1994">
        <v>1993</v>
      </c>
      <c r="B1994" s="96" t="s">
        <v>1610</v>
      </c>
      <c r="C1994" s="95">
        <v>42752</v>
      </c>
      <c r="D1994" s="82">
        <v>11889000</v>
      </c>
      <c r="E1994" s="82">
        <v>11815000</v>
      </c>
      <c r="F1994" s="82">
        <v>11907000</v>
      </c>
      <c r="G1994" s="82">
        <v>11845000</v>
      </c>
      <c r="I1994" s="97">
        <v>0</v>
      </c>
      <c r="J1994" s="97">
        <v>0</v>
      </c>
      <c r="K1994" s="97">
        <v>0</v>
      </c>
      <c r="M1994" s="7">
        <f t="shared" si="342"/>
        <v>0</v>
      </c>
      <c r="N1994" s="7">
        <f t="shared" si="351"/>
        <v>0</v>
      </c>
      <c r="O1994" s="7">
        <f t="shared" si="350"/>
        <v>8000</v>
      </c>
      <c r="P1994" s="99">
        <f t="shared" si="343"/>
        <v>6.7584692067246765E-4</v>
      </c>
      <c r="Q1994" s="99">
        <f t="shared" si="352"/>
        <v>-4.8773187629981823E-3</v>
      </c>
      <c r="S1994" s="7">
        <f t="shared" si="344"/>
        <v>13029500.000000002</v>
      </c>
      <c r="T1994" s="7">
        <f t="shared" si="345"/>
        <v>3948333.3333333335</v>
      </c>
      <c r="U1994" s="7">
        <f t="shared" si="346"/>
        <v>14155000</v>
      </c>
      <c r="V1994" s="7">
        <f t="shared" si="347"/>
        <v>0</v>
      </c>
      <c r="W1994" s="7">
        <f t="shared" si="348"/>
        <v>0</v>
      </c>
      <c r="X1994" s="7">
        <f t="shared" si="349"/>
        <v>0</v>
      </c>
    </row>
    <row r="1995" spans="1:24">
      <c r="A1995">
        <v>1994</v>
      </c>
      <c r="B1995" s="96" t="s">
        <v>1609</v>
      </c>
      <c r="C1995" s="95">
        <v>42753</v>
      </c>
      <c r="D1995" s="82">
        <v>11858000</v>
      </c>
      <c r="E1995" s="82">
        <v>11812000</v>
      </c>
      <c r="F1995" s="82">
        <v>11872000</v>
      </c>
      <c r="G1995" s="82">
        <v>11847000</v>
      </c>
      <c r="I1995" s="97">
        <v>0</v>
      </c>
      <c r="J1995" s="97">
        <v>0</v>
      </c>
      <c r="K1995" s="97">
        <v>0</v>
      </c>
      <c r="M1995" s="7">
        <f t="shared" si="342"/>
        <v>0</v>
      </c>
      <c r="N1995" s="7">
        <f t="shared" si="351"/>
        <v>0</v>
      </c>
      <c r="O1995" s="7">
        <f t="shared" si="350"/>
        <v>2000</v>
      </c>
      <c r="P1995" s="99">
        <f t="shared" si="343"/>
        <v>1.6884761502743774E-4</v>
      </c>
      <c r="Q1995" s="99">
        <f t="shared" si="352"/>
        <v>-8.319811059000785E-3</v>
      </c>
      <c r="S1995" s="7">
        <f t="shared" si="344"/>
        <v>13031700.000000002</v>
      </c>
      <c r="T1995" s="7">
        <f t="shared" si="345"/>
        <v>3949000</v>
      </c>
      <c r="U1995" s="7">
        <f t="shared" si="346"/>
        <v>14140000</v>
      </c>
      <c r="V1995" s="7">
        <f t="shared" si="347"/>
        <v>0</v>
      </c>
      <c r="W1995" s="7">
        <f t="shared" si="348"/>
        <v>0</v>
      </c>
      <c r="X1995" s="7">
        <f t="shared" si="349"/>
        <v>0</v>
      </c>
    </row>
    <row r="1996" spans="1:24">
      <c r="A1996">
        <v>1995</v>
      </c>
      <c r="B1996" s="96" t="s">
        <v>1608</v>
      </c>
      <c r="C1996" s="95">
        <v>42754</v>
      </c>
      <c r="D1996" s="82">
        <v>11844000</v>
      </c>
      <c r="E1996" s="82">
        <v>11782000</v>
      </c>
      <c r="F1996" s="82">
        <v>11865000</v>
      </c>
      <c r="G1996" s="82">
        <v>11837000</v>
      </c>
      <c r="I1996" s="98">
        <v>0</v>
      </c>
      <c r="J1996" s="98">
        <v>0</v>
      </c>
      <c r="K1996" s="98">
        <v>0</v>
      </c>
      <c r="M1996" s="7">
        <f t="shared" si="342"/>
        <v>0</v>
      </c>
      <c r="N1996" s="7">
        <f t="shared" si="351"/>
        <v>0</v>
      </c>
      <c r="O1996" s="7">
        <f t="shared" si="350"/>
        <v>-10000</v>
      </c>
      <c r="P1996" s="99">
        <f t="shared" si="343"/>
        <v>-8.4409555161644295E-4</v>
      </c>
      <c r="Q1996" s="99">
        <f t="shared" si="352"/>
        <v>-1.2838332658001973E-2</v>
      </c>
      <c r="S1996" s="7">
        <f t="shared" si="344"/>
        <v>13020700.000000002</v>
      </c>
      <c r="T1996" s="7">
        <f t="shared" si="345"/>
        <v>3945666.6666666665</v>
      </c>
      <c r="U1996" s="7">
        <f t="shared" si="346"/>
        <v>14145000</v>
      </c>
      <c r="V1996" s="7">
        <f t="shared" si="347"/>
        <v>0</v>
      </c>
      <c r="W1996" s="7">
        <f t="shared" si="348"/>
        <v>0</v>
      </c>
      <c r="X1996" s="7">
        <f t="shared" si="349"/>
        <v>0</v>
      </c>
    </row>
    <row r="1997" spans="1:24">
      <c r="A1997">
        <v>1996</v>
      </c>
      <c r="B1997" s="96" t="s">
        <v>1607</v>
      </c>
      <c r="C1997" s="95">
        <v>42756</v>
      </c>
      <c r="D1997" s="82">
        <v>11777000</v>
      </c>
      <c r="E1997" s="82">
        <v>11630000</v>
      </c>
      <c r="F1997" s="82">
        <v>11800000</v>
      </c>
      <c r="G1997" s="82">
        <v>11638000</v>
      </c>
      <c r="I1997" s="82">
        <f>G1997*1.1</f>
        <v>12801800.000000002</v>
      </c>
      <c r="J1997" s="82">
        <f>G1997/3</f>
        <v>3879333.3333333335</v>
      </c>
      <c r="K1997" s="7">
        <f>G2265</f>
        <v>14155000</v>
      </c>
      <c r="L1997" s="7">
        <f>K1997-I1997</f>
        <v>1353199.9999999981</v>
      </c>
      <c r="M1997" s="7">
        <f t="shared" si="342"/>
        <v>484916.66666666674</v>
      </c>
      <c r="N1997" s="7">
        <f t="shared" si="351"/>
        <v>1838116.6666666649</v>
      </c>
      <c r="O1997" s="7">
        <f t="shared" si="350"/>
        <v>-199000</v>
      </c>
      <c r="P1997" s="99">
        <f t="shared" si="343"/>
        <v>-1.6811692151727634E-2</v>
      </c>
      <c r="Q1997" s="99">
        <f t="shared" si="352"/>
        <v>6.3958855452761918E-3</v>
      </c>
      <c r="R1997">
        <v>1</v>
      </c>
      <c r="S1997" s="7">
        <f t="shared" si="344"/>
        <v>12801800.000000002</v>
      </c>
      <c r="T1997" s="7">
        <f t="shared" si="345"/>
        <v>3879333.3333333335</v>
      </c>
      <c r="U1997" s="7">
        <f t="shared" si="346"/>
        <v>14155000</v>
      </c>
      <c r="V1997" s="7">
        <f t="shared" si="347"/>
        <v>1353199.9999999981</v>
      </c>
      <c r="W1997" s="7">
        <f t="shared" si="348"/>
        <v>484916.66666666674</v>
      </c>
      <c r="X1997" s="7">
        <f t="shared" si="349"/>
        <v>1838116.6666666649</v>
      </c>
    </row>
    <row r="1998" spans="1:24">
      <c r="A1998">
        <v>1997</v>
      </c>
      <c r="B1998" s="96" t="s">
        <v>1606</v>
      </c>
      <c r="C1998" s="95">
        <v>42757</v>
      </c>
      <c r="D1998" s="82">
        <v>11663000</v>
      </c>
      <c r="E1998" s="82">
        <v>11663000</v>
      </c>
      <c r="F1998" s="82">
        <v>11792000</v>
      </c>
      <c r="G1998" s="82">
        <v>11782000</v>
      </c>
      <c r="I1998" s="97">
        <v>0</v>
      </c>
      <c r="J1998" s="97">
        <v>0</v>
      </c>
      <c r="K1998" s="97">
        <v>0</v>
      </c>
      <c r="M1998" s="7">
        <f t="shared" si="342"/>
        <v>0</v>
      </c>
      <c r="N1998" s="7">
        <f t="shared" si="351"/>
        <v>0</v>
      </c>
      <c r="O1998" s="7">
        <f t="shared" si="350"/>
        <v>144000</v>
      </c>
      <c r="P1998" s="99">
        <f t="shared" si="343"/>
        <v>1.2373260010311049E-2</v>
      </c>
      <c r="Q1998" s="99">
        <f t="shared" si="352"/>
        <v>-1.9002781610702419E-2</v>
      </c>
      <c r="S1998" s="7">
        <f t="shared" si="344"/>
        <v>12960200.000000002</v>
      </c>
      <c r="T1998" s="7">
        <f t="shared" si="345"/>
        <v>3927333.3333333335</v>
      </c>
      <c r="U1998" s="7">
        <f t="shared" si="346"/>
        <v>14087000</v>
      </c>
      <c r="V1998" s="7">
        <f t="shared" si="347"/>
        <v>0</v>
      </c>
      <c r="W1998" s="7">
        <f t="shared" si="348"/>
        <v>0</v>
      </c>
      <c r="X1998" s="7">
        <f t="shared" si="349"/>
        <v>0</v>
      </c>
    </row>
    <row r="1999" spans="1:24">
      <c r="A1999">
        <v>1998</v>
      </c>
      <c r="B1999" s="96" t="s">
        <v>1605</v>
      </c>
      <c r="C1999" s="95">
        <v>42758</v>
      </c>
      <c r="D1999" s="82">
        <v>11792000</v>
      </c>
      <c r="E1999" s="82">
        <v>11792000</v>
      </c>
      <c r="F1999" s="82">
        <v>11894000</v>
      </c>
      <c r="G1999" s="82">
        <v>11864000</v>
      </c>
      <c r="I1999" s="97">
        <v>0</v>
      </c>
      <c r="J1999" s="97">
        <v>0</v>
      </c>
      <c r="K1999" s="97">
        <v>0</v>
      </c>
      <c r="M1999" s="7">
        <f t="shared" si="342"/>
        <v>0</v>
      </c>
      <c r="N1999" s="7">
        <f t="shared" si="351"/>
        <v>0</v>
      </c>
      <c r="O1999" s="7">
        <f t="shared" si="350"/>
        <v>82000</v>
      </c>
      <c r="P1999" s="99">
        <f t="shared" si="343"/>
        <v>6.9597691393651333E-3</v>
      </c>
      <c r="Q1999" s="99">
        <f t="shared" si="352"/>
        <v>-4.4378331573331226E-3</v>
      </c>
      <c r="S1999" s="7">
        <f t="shared" si="344"/>
        <v>13050400.000000002</v>
      </c>
      <c r="T1999" s="7">
        <f t="shared" si="345"/>
        <v>3954666.6666666665</v>
      </c>
      <c r="U1999" s="7">
        <f t="shared" si="346"/>
        <v>14127000</v>
      </c>
      <c r="V1999" s="7">
        <f t="shared" si="347"/>
        <v>0</v>
      </c>
      <c r="W1999" s="7">
        <f t="shared" si="348"/>
        <v>0</v>
      </c>
      <c r="X1999" s="7">
        <f t="shared" si="349"/>
        <v>0</v>
      </c>
    </row>
    <row r="2000" spans="1:24">
      <c r="A2000">
        <v>1999</v>
      </c>
      <c r="B2000" s="96" t="s">
        <v>1604</v>
      </c>
      <c r="C2000" s="95">
        <v>42759</v>
      </c>
      <c r="D2000" s="82">
        <v>11860000</v>
      </c>
      <c r="E2000" s="82">
        <v>11817000</v>
      </c>
      <c r="F2000" s="82">
        <v>11895000</v>
      </c>
      <c r="G2000" s="82">
        <v>11827000</v>
      </c>
      <c r="I2000" s="97">
        <v>0</v>
      </c>
      <c r="J2000" s="97">
        <v>0</v>
      </c>
      <c r="K2000" s="97">
        <v>0</v>
      </c>
      <c r="M2000" s="7">
        <f t="shared" si="342"/>
        <v>0</v>
      </c>
      <c r="N2000" s="7">
        <f t="shared" si="351"/>
        <v>0</v>
      </c>
      <c r="O2000" s="7">
        <f t="shared" si="350"/>
        <v>-37000</v>
      </c>
      <c r="P2000" s="99">
        <f t="shared" si="343"/>
        <v>-3.1186783546864466E-3</v>
      </c>
      <c r="Q2000" s="99">
        <f t="shared" si="352"/>
        <v>1.8460890613595446E-3</v>
      </c>
      <c r="S2000" s="7">
        <f t="shared" si="344"/>
        <v>13009700.000000002</v>
      </c>
      <c r="T2000" s="7">
        <f t="shared" si="345"/>
        <v>3942333.3333333335</v>
      </c>
      <c r="U2000" s="7">
        <f t="shared" si="346"/>
        <v>14104000</v>
      </c>
      <c r="V2000" s="7">
        <f t="shared" si="347"/>
        <v>0</v>
      </c>
      <c r="W2000" s="7">
        <f t="shared" si="348"/>
        <v>0</v>
      </c>
      <c r="X2000" s="7">
        <f t="shared" si="349"/>
        <v>0</v>
      </c>
    </row>
    <row r="2001" spans="1:24">
      <c r="A2001">
        <v>2000</v>
      </c>
      <c r="B2001" s="96" t="s">
        <v>1603</v>
      </c>
      <c r="C2001" s="95">
        <v>42760</v>
      </c>
      <c r="D2001" s="82">
        <v>11797000</v>
      </c>
      <c r="E2001" s="82">
        <v>11752000</v>
      </c>
      <c r="F2001" s="82">
        <v>11836000</v>
      </c>
      <c r="G2001" s="82">
        <v>11786000</v>
      </c>
      <c r="I2001" s="98">
        <v>0</v>
      </c>
      <c r="J2001" s="98">
        <v>0</v>
      </c>
      <c r="K2001" s="98">
        <v>0</v>
      </c>
      <c r="M2001" s="7">
        <f t="shared" si="342"/>
        <v>0</v>
      </c>
      <c r="N2001" s="7">
        <f t="shared" si="351"/>
        <v>0</v>
      </c>
      <c r="O2001" s="7">
        <f t="shared" si="350"/>
        <v>-41000</v>
      </c>
      <c r="P2001" s="99">
        <f t="shared" si="343"/>
        <v>-3.4666441193878413E-3</v>
      </c>
      <c r="Q2001" s="99">
        <f t="shared" si="352"/>
        <v>-1.4414369083543405E-3</v>
      </c>
      <c r="S2001" s="7">
        <f t="shared" si="344"/>
        <v>12964600.000000002</v>
      </c>
      <c r="T2001" s="7">
        <f t="shared" si="345"/>
        <v>3928666.6666666665</v>
      </c>
      <c r="U2001" s="7">
        <f t="shared" si="346"/>
        <v>14120000</v>
      </c>
      <c r="V2001" s="7">
        <f t="shared" si="347"/>
        <v>0</v>
      </c>
      <c r="W2001" s="7">
        <f t="shared" si="348"/>
        <v>0</v>
      </c>
      <c r="X2001" s="7">
        <f t="shared" si="349"/>
        <v>0</v>
      </c>
    </row>
    <row r="2002" spans="1:24">
      <c r="A2002">
        <v>2001</v>
      </c>
      <c r="B2002" s="96" t="s">
        <v>1602</v>
      </c>
      <c r="C2002" s="95">
        <v>42761</v>
      </c>
      <c r="D2002" s="82">
        <v>11771000</v>
      </c>
      <c r="E2002" s="82">
        <v>11714000</v>
      </c>
      <c r="F2002" s="82">
        <v>11794000</v>
      </c>
      <c r="G2002" s="82">
        <v>11724000</v>
      </c>
      <c r="I2002" s="82">
        <f>G2002*1.1</f>
        <v>12896400.000000002</v>
      </c>
      <c r="J2002" s="82">
        <f>G2002/3</f>
        <v>3908000</v>
      </c>
      <c r="K2002" s="7">
        <f>G2270</f>
        <v>14117000</v>
      </c>
      <c r="L2002" s="7">
        <f>K2002-I2002</f>
        <v>1220599.9999999981</v>
      </c>
      <c r="M2002" s="7">
        <f t="shared" si="342"/>
        <v>488500</v>
      </c>
      <c r="N2002" s="7">
        <f t="shared" si="351"/>
        <v>1709099.9999999981</v>
      </c>
      <c r="O2002" s="7">
        <f t="shared" si="350"/>
        <v>-62000</v>
      </c>
      <c r="P2002" s="99">
        <f t="shared" si="343"/>
        <v>-5.260478533853725E-3</v>
      </c>
      <c r="Q2002" s="99">
        <f t="shared" si="352"/>
        <v>-4.0639854761257387E-3</v>
      </c>
      <c r="R2002">
        <v>1</v>
      </c>
      <c r="S2002" s="7">
        <f t="shared" si="344"/>
        <v>12896400.000000002</v>
      </c>
      <c r="T2002" s="7">
        <f t="shared" si="345"/>
        <v>3908000</v>
      </c>
      <c r="U2002" s="7">
        <f t="shared" si="346"/>
        <v>14117000</v>
      </c>
      <c r="V2002" s="7">
        <f t="shared" si="347"/>
        <v>1220599.9999999981</v>
      </c>
      <c r="W2002" s="7">
        <f t="shared" si="348"/>
        <v>488500</v>
      </c>
      <c r="X2002" s="7">
        <f t="shared" si="349"/>
        <v>1709099.9999999981</v>
      </c>
    </row>
    <row r="2003" spans="1:24">
      <c r="A2003">
        <v>2002</v>
      </c>
      <c r="B2003" s="96" t="s">
        <v>1601</v>
      </c>
      <c r="C2003" s="95">
        <v>42763</v>
      </c>
      <c r="D2003" s="82">
        <v>11749000</v>
      </c>
      <c r="E2003" s="82">
        <v>11698000</v>
      </c>
      <c r="F2003" s="82">
        <v>11780000</v>
      </c>
      <c r="G2003" s="82">
        <v>11740000</v>
      </c>
      <c r="I2003" s="97">
        <v>0</v>
      </c>
      <c r="J2003" s="97">
        <v>0</v>
      </c>
      <c r="K2003" s="97">
        <v>0</v>
      </c>
      <c r="M2003" s="7">
        <f t="shared" si="342"/>
        <v>0</v>
      </c>
      <c r="N2003" s="7">
        <f t="shared" si="351"/>
        <v>0</v>
      </c>
      <c r="O2003" s="7">
        <f t="shared" si="350"/>
        <v>16000</v>
      </c>
      <c r="P2003" s="99">
        <f t="shared" si="343"/>
        <v>1.3647219379051519E-3</v>
      </c>
      <c r="Q2003" s="99">
        <f t="shared" si="352"/>
        <v>7.4872281417481699E-3</v>
      </c>
      <c r="S2003" s="7">
        <f t="shared" si="344"/>
        <v>12914000.000000002</v>
      </c>
      <c r="T2003" s="7">
        <f t="shared" si="345"/>
        <v>3913333.3333333335</v>
      </c>
      <c r="U2003" s="7">
        <f t="shared" si="346"/>
        <v>13997000</v>
      </c>
      <c r="V2003" s="7">
        <f t="shared" si="347"/>
        <v>0</v>
      </c>
      <c r="W2003" s="7">
        <f t="shared" si="348"/>
        <v>0</v>
      </c>
      <c r="X2003" s="7">
        <f t="shared" si="349"/>
        <v>0</v>
      </c>
    </row>
    <row r="2004" spans="1:24">
      <c r="A2004">
        <v>2003</v>
      </c>
      <c r="B2004" s="96" t="s">
        <v>1600</v>
      </c>
      <c r="C2004" s="95">
        <v>42764</v>
      </c>
      <c r="D2004" s="82">
        <v>11730000</v>
      </c>
      <c r="E2004" s="82">
        <v>11720000</v>
      </c>
      <c r="F2004" s="82">
        <v>11775000</v>
      </c>
      <c r="G2004" s="82">
        <v>11755000</v>
      </c>
      <c r="I2004" s="97">
        <v>0</v>
      </c>
      <c r="J2004" s="97">
        <v>0</v>
      </c>
      <c r="K2004" s="97">
        <v>0</v>
      </c>
      <c r="M2004" s="7">
        <f t="shared" si="342"/>
        <v>0</v>
      </c>
      <c r="N2004" s="7">
        <f t="shared" si="351"/>
        <v>0</v>
      </c>
      <c r="O2004" s="7">
        <f t="shared" si="350"/>
        <v>15000</v>
      </c>
      <c r="P2004" s="99">
        <f t="shared" si="343"/>
        <v>1.2776831345826234E-3</v>
      </c>
      <c r="Q2004" s="99">
        <f t="shared" si="352"/>
        <v>-3.5213099306577273E-3</v>
      </c>
      <c r="S2004" s="7">
        <f t="shared" si="344"/>
        <v>12930500.000000002</v>
      </c>
      <c r="T2004" s="7">
        <f t="shared" si="345"/>
        <v>3918333.3333333335</v>
      </c>
      <c r="U2004" s="7">
        <f t="shared" si="346"/>
        <v>13847000</v>
      </c>
      <c r="V2004" s="7">
        <f t="shared" si="347"/>
        <v>0</v>
      </c>
      <c r="W2004" s="7">
        <f t="shared" si="348"/>
        <v>0</v>
      </c>
      <c r="X2004" s="7">
        <f t="shared" si="349"/>
        <v>0</v>
      </c>
    </row>
    <row r="2005" spans="1:24">
      <c r="A2005">
        <v>2004</v>
      </c>
      <c r="B2005" s="96" t="s">
        <v>1599</v>
      </c>
      <c r="C2005" s="95">
        <v>42765</v>
      </c>
      <c r="D2005" s="82">
        <v>11760000</v>
      </c>
      <c r="E2005" s="82">
        <v>11672000</v>
      </c>
      <c r="F2005" s="82">
        <v>11760000</v>
      </c>
      <c r="G2005" s="82">
        <v>11692000</v>
      </c>
      <c r="I2005" s="97">
        <v>0</v>
      </c>
      <c r="J2005" s="97">
        <v>0</v>
      </c>
      <c r="K2005" s="97">
        <v>0</v>
      </c>
      <c r="M2005" s="7">
        <f t="shared" si="342"/>
        <v>0</v>
      </c>
      <c r="N2005" s="7">
        <f t="shared" si="351"/>
        <v>0</v>
      </c>
      <c r="O2005" s="7">
        <f t="shared" si="350"/>
        <v>-63000</v>
      </c>
      <c r="P2005" s="99">
        <f t="shared" si="343"/>
        <v>-5.3594215227562737E-3</v>
      </c>
      <c r="Q2005" s="99">
        <f t="shared" si="352"/>
        <v>-9.2033959354402371E-3</v>
      </c>
      <c r="S2005" s="7">
        <f t="shared" si="344"/>
        <v>12861200.000000002</v>
      </c>
      <c r="T2005" s="7">
        <f t="shared" si="345"/>
        <v>3897333.3333333335</v>
      </c>
      <c r="U2005" s="7">
        <f t="shared" si="346"/>
        <v>13927000</v>
      </c>
      <c r="V2005" s="7">
        <f t="shared" si="347"/>
        <v>0</v>
      </c>
      <c r="W2005" s="7">
        <f t="shared" si="348"/>
        <v>0</v>
      </c>
      <c r="X2005" s="7">
        <f t="shared" si="349"/>
        <v>0</v>
      </c>
    </row>
    <row r="2006" spans="1:24">
      <c r="A2006">
        <v>2005</v>
      </c>
      <c r="B2006" s="96" t="s">
        <v>1598</v>
      </c>
      <c r="C2006" s="95">
        <v>42766</v>
      </c>
      <c r="D2006" s="82">
        <v>11697000</v>
      </c>
      <c r="E2006" s="82">
        <v>11687000</v>
      </c>
      <c r="F2006" s="82">
        <v>11905000</v>
      </c>
      <c r="G2006" s="82">
        <v>11870000</v>
      </c>
      <c r="I2006" s="98">
        <v>0</v>
      </c>
      <c r="J2006" s="98">
        <v>0</v>
      </c>
      <c r="K2006" s="98">
        <v>0</v>
      </c>
      <c r="M2006" s="7">
        <f t="shared" si="342"/>
        <v>0</v>
      </c>
      <c r="N2006" s="7">
        <f t="shared" si="351"/>
        <v>0</v>
      </c>
      <c r="O2006" s="7">
        <f t="shared" si="350"/>
        <v>178000</v>
      </c>
      <c r="P2006" s="99">
        <f t="shared" si="343"/>
        <v>1.5224084844338008E-2</v>
      </c>
      <c r="Q2006" s="99">
        <f t="shared" si="352"/>
        <v>-1.1444139103510064E-2</v>
      </c>
      <c r="S2006" s="7">
        <f t="shared" si="344"/>
        <v>13057000.000000002</v>
      </c>
      <c r="T2006" s="7">
        <f t="shared" si="345"/>
        <v>3956666.6666666665</v>
      </c>
      <c r="U2006" s="7">
        <f t="shared" si="346"/>
        <v>13880000</v>
      </c>
      <c r="V2006" s="7">
        <f t="shared" si="347"/>
        <v>0</v>
      </c>
      <c r="W2006" s="7">
        <f t="shared" si="348"/>
        <v>0</v>
      </c>
      <c r="X2006" s="7">
        <f t="shared" si="349"/>
        <v>0</v>
      </c>
    </row>
    <row r="2007" spans="1:24">
      <c r="A2007">
        <v>2006</v>
      </c>
      <c r="B2007" s="96" t="s">
        <v>1597</v>
      </c>
      <c r="C2007" s="95">
        <v>42767</v>
      </c>
      <c r="D2007" s="82">
        <v>11890000</v>
      </c>
      <c r="E2007" s="82">
        <v>11797000</v>
      </c>
      <c r="F2007" s="82">
        <v>11940000</v>
      </c>
      <c r="G2007" s="82">
        <v>11837000</v>
      </c>
      <c r="I2007" s="82">
        <f>G2007*1.1</f>
        <v>13020700.000000002</v>
      </c>
      <c r="J2007" s="82">
        <f>G2007/3</f>
        <v>3945666.6666666665</v>
      </c>
      <c r="K2007" s="7">
        <f>G2275</f>
        <v>13920000</v>
      </c>
      <c r="L2007" s="7">
        <f>K2007-I2007</f>
        <v>899299.99999999814</v>
      </c>
      <c r="M2007" s="7">
        <f t="shared" si="342"/>
        <v>493208.33333333326</v>
      </c>
      <c r="N2007" s="7">
        <f t="shared" si="351"/>
        <v>1392508.3333333314</v>
      </c>
      <c r="O2007" s="7">
        <f t="shared" si="350"/>
        <v>-33000</v>
      </c>
      <c r="P2007" s="99">
        <f t="shared" si="343"/>
        <v>-2.7801179443976412E-3</v>
      </c>
      <c r="Q2007" s="99">
        <f t="shared" si="352"/>
        <v>7.2465898602157852E-3</v>
      </c>
      <c r="R2007">
        <v>1</v>
      </c>
      <c r="S2007" s="7">
        <f t="shared" si="344"/>
        <v>13020700.000000002</v>
      </c>
      <c r="T2007" s="7">
        <f t="shared" si="345"/>
        <v>3945666.6666666665</v>
      </c>
      <c r="U2007" s="7">
        <f t="shared" si="346"/>
        <v>13920000</v>
      </c>
      <c r="V2007" s="7">
        <f t="shared" si="347"/>
        <v>899299.99999999814</v>
      </c>
      <c r="W2007" s="7">
        <f t="shared" si="348"/>
        <v>493208.33333333326</v>
      </c>
      <c r="X2007" s="7">
        <f t="shared" si="349"/>
        <v>1392508.3333333314</v>
      </c>
    </row>
    <row r="2008" spans="1:24">
      <c r="A2008">
        <v>2007</v>
      </c>
      <c r="B2008" s="96" t="s">
        <v>1596</v>
      </c>
      <c r="C2008" s="95">
        <v>42768</v>
      </c>
      <c r="D2008" s="82">
        <v>11877000</v>
      </c>
      <c r="E2008" s="82">
        <v>11850000</v>
      </c>
      <c r="F2008" s="82">
        <v>11936000</v>
      </c>
      <c r="G2008" s="82">
        <v>11886000</v>
      </c>
      <c r="I2008" s="97">
        <v>0</v>
      </c>
      <c r="J2008" s="97">
        <v>0</v>
      </c>
      <c r="K2008" s="97">
        <v>0</v>
      </c>
      <c r="M2008" s="7">
        <f t="shared" si="342"/>
        <v>0</v>
      </c>
      <c r="N2008" s="7">
        <f t="shared" si="351"/>
        <v>0</v>
      </c>
      <c r="O2008" s="7">
        <f t="shared" si="350"/>
        <v>49000</v>
      </c>
      <c r="P2008" s="99">
        <f t="shared" si="343"/>
        <v>4.139562389118865E-3</v>
      </c>
      <c r="Q2008" s="99">
        <f t="shared" si="352"/>
        <v>9.7269504496718673E-3</v>
      </c>
      <c r="S2008" s="7">
        <f t="shared" si="344"/>
        <v>13074600.000000002</v>
      </c>
      <c r="T2008" s="7">
        <f t="shared" si="345"/>
        <v>3962000</v>
      </c>
      <c r="U2008" s="7">
        <f t="shared" si="346"/>
        <v>13915000</v>
      </c>
      <c r="V2008" s="7">
        <f t="shared" si="347"/>
        <v>0</v>
      </c>
      <c r="W2008" s="7">
        <f t="shared" si="348"/>
        <v>0</v>
      </c>
      <c r="X2008" s="7">
        <f t="shared" si="349"/>
        <v>0</v>
      </c>
    </row>
    <row r="2009" spans="1:24">
      <c r="A2009">
        <v>2008</v>
      </c>
      <c r="B2009" s="96" t="s">
        <v>1595</v>
      </c>
      <c r="C2009" s="95">
        <v>42770</v>
      </c>
      <c r="D2009" s="82">
        <v>11876000</v>
      </c>
      <c r="E2009" s="82">
        <v>11876000</v>
      </c>
      <c r="F2009" s="82">
        <v>11965000</v>
      </c>
      <c r="G2009" s="82">
        <v>11965000</v>
      </c>
      <c r="I2009" s="97">
        <v>0</v>
      </c>
      <c r="J2009" s="97">
        <v>0</v>
      </c>
      <c r="K2009" s="97">
        <v>0</v>
      </c>
      <c r="M2009" s="7">
        <f t="shared" si="342"/>
        <v>0</v>
      </c>
      <c r="N2009" s="7">
        <f t="shared" si="351"/>
        <v>0</v>
      </c>
      <c r="O2009" s="7">
        <f t="shared" si="350"/>
        <v>79000</v>
      </c>
      <c r="P2009" s="99">
        <f t="shared" si="343"/>
        <v>6.6464748443547028E-3</v>
      </c>
      <c r="Q2009" s="99">
        <f t="shared" si="352"/>
        <v>1.250179090088558E-2</v>
      </c>
      <c r="S2009" s="7">
        <f t="shared" si="344"/>
        <v>13161500.000000002</v>
      </c>
      <c r="T2009" s="7">
        <f t="shared" si="345"/>
        <v>3988333.3333333335</v>
      </c>
      <c r="U2009" s="7">
        <f t="shared" si="346"/>
        <v>13955000</v>
      </c>
      <c r="V2009" s="7">
        <f t="shared" si="347"/>
        <v>0</v>
      </c>
      <c r="W2009" s="7">
        <f t="shared" si="348"/>
        <v>0</v>
      </c>
      <c r="X2009" s="7">
        <f t="shared" si="349"/>
        <v>0</v>
      </c>
    </row>
    <row r="2010" spans="1:24">
      <c r="A2010">
        <v>2009</v>
      </c>
      <c r="B2010" s="96" t="s">
        <v>1594</v>
      </c>
      <c r="C2010" s="95">
        <v>42771</v>
      </c>
      <c r="D2010" s="82">
        <v>11970000</v>
      </c>
      <c r="E2010" s="82">
        <v>11952000</v>
      </c>
      <c r="F2010" s="82">
        <v>12030000</v>
      </c>
      <c r="G2010" s="82">
        <v>11972000</v>
      </c>
      <c r="I2010" s="97">
        <v>0</v>
      </c>
      <c r="J2010" s="97">
        <v>0</v>
      </c>
      <c r="K2010" s="97">
        <v>0</v>
      </c>
      <c r="M2010" s="7">
        <f t="shared" si="342"/>
        <v>0</v>
      </c>
      <c r="N2010" s="7">
        <f t="shared" si="351"/>
        <v>0</v>
      </c>
      <c r="O2010" s="7">
        <f t="shared" si="350"/>
        <v>7000</v>
      </c>
      <c r="P2010" s="99">
        <f t="shared" si="343"/>
        <v>5.8503969912244048E-4</v>
      </c>
      <c r="Q2010" s="99">
        <f t="shared" si="352"/>
        <v>1.7870582610657663E-2</v>
      </c>
      <c r="S2010" s="7">
        <f t="shared" si="344"/>
        <v>13169200.000000002</v>
      </c>
      <c r="T2010" s="7">
        <f t="shared" si="345"/>
        <v>3990666.6666666665</v>
      </c>
      <c r="U2010" s="7">
        <f t="shared" si="346"/>
        <v>13960000</v>
      </c>
      <c r="V2010" s="7">
        <f t="shared" si="347"/>
        <v>0</v>
      </c>
      <c r="W2010" s="7">
        <f t="shared" si="348"/>
        <v>0</v>
      </c>
      <c r="X2010" s="7">
        <f t="shared" si="349"/>
        <v>0</v>
      </c>
    </row>
    <row r="2011" spans="1:24">
      <c r="A2011">
        <v>2010</v>
      </c>
      <c r="B2011" s="96" t="s">
        <v>1593</v>
      </c>
      <c r="C2011" s="95">
        <v>42772</v>
      </c>
      <c r="D2011" s="82">
        <v>12007000</v>
      </c>
      <c r="E2011" s="82">
        <v>11990000</v>
      </c>
      <c r="F2011" s="82">
        <v>12135000</v>
      </c>
      <c r="G2011" s="82">
        <v>12135000</v>
      </c>
      <c r="I2011" s="98">
        <v>0</v>
      </c>
      <c r="J2011" s="98">
        <v>0</v>
      </c>
      <c r="K2011" s="98">
        <v>0</v>
      </c>
      <c r="M2011" s="7">
        <f t="shared" si="342"/>
        <v>0</v>
      </c>
      <c r="N2011" s="7">
        <f t="shared" si="351"/>
        <v>0</v>
      </c>
      <c r="O2011" s="7">
        <f t="shared" si="350"/>
        <v>163000</v>
      </c>
      <c r="P2011" s="99">
        <f t="shared" si="343"/>
        <v>1.3615101904443701E-2</v>
      </c>
      <c r="Q2011" s="99">
        <f t="shared" si="352"/>
        <v>2.3815043832536374E-2</v>
      </c>
      <c r="S2011" s="7">
        <f t="shared" si="344"/>
        <v>13348500.000000002</v>
      </c>
      <c r="T2011" s="7">
        <f t="shared" si="345"/>
        <v>4045000</v>
      </c>
      <c r="U2011" s="7">
        <f t="shared" si="346"/>
        <v>13969000</v>
      </c>
      <c r="V2011" s="7">
        <f t="shared" si="347"/>
        <v>0</v>
      </c>
      <c r="W2011" s="7">
        <f t="shared" si="348"/>
        <v>0</v>
      </c>
      <c r="X2011" s="7">
        <f t="shared" si="349"/>
        <v>0</v>
      </c>
    </row>
    <row r="2012" spans="1:24">
      <c r="A2012">
        <v>2011</v>
      </c>
      <c r="B2012" s="96" t="s">
        <v>1592</v>
      </c>
      <c r="C2012" s="95">
        <v>42773</v>
      </c>
      <c r="D2012" s="82">
        <v>12132000</v>
      </c>
      <c r="E2012" s="82">
        <v>12087000</v>
      </c>
      <c r="F2012" s="82">
        <v>12175000</v>
      </c>
      <c r="G2012" s="82">
        <v>12097000</v>
      </c>
      <c r="I2012" s="82">
        <f>G2012*1.1</f>
        <v>13306700.000000002</v>
      </c>
      <c r="J2012" s="82">
        <f>G2012/3</f>
        <v>4032333.3333333335</v>
      </c>
      <c r="K2012" s="7">
        <f>G2280</f>
        <v>14043000</v>
      </c>
      <c r="L2012" s="7">
        <f>K2012-I2012</f>
        <v>736299.99999999814</v>
      </c>
      <c r="M2012" s="7">
        <f t="shared" si="342"/>
        <v>504041.66666666674</v>
      </c>
      <c r="N2012" s="7">
        <f t="shared" si="351"/>
        <v>1240341.6666666649</v>
      </c>
      <c r="O2012" s="7">
        <f t="shared" si="350"/>
        <v>-38000</v>
      </c>
      <c r="P2012" s="99">
        <f t="shared" si="343"/>
        <v>-3.131437989287186E-3</v>
      </c>
      <c r="Q2012" s="99">
        <f t="shared" si="352"/>
        <v>2.2206060892642071E-2</v>
      </c>
      <c r="R2012">
        <v>1</v>
      </c>
      <c r="S2012" s="7">
        <f t="shared" si="344"/>
        <v>13306700.000000002</v>
      </c>
      <c r="T2012" s="7">
        <f t="shared" si="345"/>
        <v>4032333.3333333335</v>
      </c>
      <c r="U2012" s="7">
        <f t="shared" si="346"/>
        <v>14043000</v>
      </c>
      <c r="V2012" s="7">
        <f t="shared" si="347"/>
        <v>736299.99999999814</v>
      </c>
      <c r="W2012" s="7">
        <f t="shared" si="348"/>
        <v>504041.66666666674</v>
      </c>
      <c r="X2012" s="7">
        <f t="shared" si="349"/>
        <v>1240341.6666666649</v>
      </c>
    </row>
    <row r="2013" spans="1:24">
      <c r="A2013">
        <v>2012</v>
      </c>
      <c r="B2013" s="96" t="s">
        <v>1591</v>
      </c>
      <c r="C2013" s="95">
        <v>42774</v>
      </c>
      <c r="D2013" s="82">
        <v>12102000</v>
      </c>
      <c r="E2013" s="82">
        <v>12003000</v>
      </c>
      <c r="F2013" s="82">
        <v>12120000</v>
      </c>
      <c r="G2013" s="82">
        <v>12033000</v>
      </c>
      <c r="I2013" s="97">
        <v>0</v>
      </c>
      <c r="J2013" s="97">
        <v>0</v>
      </c>
      <c r="K2013" s="97">
        <v>0</v>
      </c>
      <c r="M2013" s="7">
        <f t="shared" si="342"/>
        <v>0</v>
      </c>
      <c r="N2013" s="7">
        <f t="shared" si="351"/>
        <v>0</v>
      </c>
      <c r="O2013" s="7">
        <f t="shared" si="350"/>
        <v>-64000</v>
      </c>
      <c r="P2013" s="99">
        <f t="shared" si="343"/>
        <v>-5.2905679093990243E-3</v>
      </c>
      <c r="Q2013" s="99">
        <f t="shared" si="352"/>
        <v>2.1854740847752525E-2</v>
      </c>
      <c r="S2013" s="7">
        <f t="shared" si="344"/>
        <v>13236300.000000002</v>
      </c>
      <c r="T2013" s="7">
        <f t="shared" si="345"/>
        <v>4011000</v>
      </c>
      <c r="U2013" s="7">
        <f t="shared" si="346"/>
        <v>14113000</v>
      </c>
      <c r="V2013" s="7">
        <f t="shared" si="347"/>
        <v>0</v>
      </c>
      <c r="W2013" s="7">
        <f t="shared" si="348"/>
        <v>0</v>
      </c>
      <c r="X2013" s="7">
        <f t="shared" si="349"/>
        <v>0</v>
      </c>
    </row>
    <row r="2014" spans="1:24">
      <c r="A2014">
        <v>2013</v>
      </c>
      <c r="B2014" s="96" t="s">
        <v>1590</v>
      </c>
      <c r="C2014" s="95">
        <v>42775</v>
      </c>
      <c r="D2014" s="82">
        <v>12023000</v>
      </c>
      <c r="E2014" s="82">
        <v>11978000</v>
      </c>
      <c r="F2014" s="82">
        <v>12070000</v>
      </c>
      <c r="G2014" s="82">
        <v>11993000</v>
      </c>
      <c r="I2014" s="97">
        <v>0</v>
      </c>
      <c r="J2014" s="97">
        <v>0</v>
      </c>
      <c r="K2014" s="97">
        <v>0</v>
      </c>
      <c r="M2014" s="7">
        <f t="shared" si="342"/>
        <v>0</v>
      </c>
      <c r="N2014" s="7">
        <f t="shared" si="351"/>
        <v>0</v>
      </c>
      <c r="O2014" s="7">
        <f t="shared" si="350"/>
        <v>-40000</v>
      </c>
      <c r="P2014" s="99">
        <f t="shared" si="343"/>
        <v>-3.3241918058671987E-3</v>
      </c>
      <c r="Q2014" s="99">
        <f t="shared" si="352"/>
        <v>1.2424610549234633E-2</v>
      </c>
      <c r="S2014" s="7">
        <f t="shared" si="344"/>
        <v>13192300.000000002</v>
      </c>
      <c r="T2014" s="7">
        <f t="shared" si="345"/>
        <v>3997666.6666666665</v>
      </c>
      <c r="U2014" s="7">
        <f t="shared" si="346"/>
        <v>14148000</v>
      </c>
      <c r="V2014" s="7">
        <f t="shared" si="347"/>
        <v>0</v>
      </c>
      <c r="W2014" s="7">
        <f t="shared" si="348"/>
        <v>0</v>
      </c>
      <c r="X2014" s="7">
        <f t="shared" si="349"/>
        <v>0</v>
      </c>
    </row>
    <row r="2015" spans="1:24">
      <c r="A2015">
        <v>2014</v>
      </c>
      <c r="B2015" s="96" t="s">
        <v>1589</v>
      </c>
      <c r="C2015" s="95">
        <v>42777</v>
      </c>
      <c r="D2015" s="82">
        <v>11988000</v>
      </c>
      <c r="E2015" s="82">
        <v>11963000</v>
      </c>
      <c r="F2015" s="82">
        <v>12028000</v>
      </c>
      <c r="G2015" s="82">
        <v>12023000</v>
      </c>
      <c r="I2015" s="97">
        <v>0</v>
      </c>
      <c r="J2015" s="97">
        <v>0</v>
      </c>
      <c r="K2015" s="97">
        <v>0</v>
      </c>
      <c r="M2015" s="7">
        <f t="shared" si="342"/>
        <v>0</v>
      </c>
      <c r="N2015" s="7">
        <f t="shared" si="351"/>
        <v>0</v>
      </c>
      <c r="O2015" s="7">
        <f t="shared" si="350"/>
        <v>30000</v>
      </c>
      <c r="P2015" s="99">
        <f t="shared" si="343"/>
        <v>2.5014591845243057E-3</v>
      </c>
      <c r="Q2015" s="99">
        <f t="shared" si="352"/>
        <v>2.4539438990127337E-3</v>
      </c>
      <c r="S2015" s="7">
        <f t="shared" si="344"/>
        <v>13225300.000000002</v>
      </c>
      <c r="T2015" s="7">
        <f t="shared" si="345"/>
        <v>4007666.6666666665</v>
      </c>
      <c r="U2015" s="7">
        <f t="shared" si="346"/>
        <v>14434000</v>
      </c>
      <c r="V2015" s="7">
        <f t="shared" si="347"/>
        <v>0</v>
      </c>
      <c r="W2015" s="7">
        <f t="shared" si="348"/>
        <v>0</v>
      </c>
      <c r="X2015" s="7">
        <f t="shared" si="349"/>
        <v>0</v>
      </c>
    </row>
    <row r="2016" spans="1:24">
      <c r="A2016">
        <v>2015</v>
      </c>
      <c r="B2016" s="96" t="s">
        <v>1588</v>
      </c>
      <c r="C2016" s="95">
        <v>42778</v>
      </c>
      <c r="D2016" s="82">
        <v>12013000</v>
      </c>
      <c r="E2016" s="82">
        <v>12005000</v>
      </c>
      <c r="F2016" s="82">
        <v>12053000</v>
      </c>
      <c r="G2016" s="82">
        <v>12015000</v>
      </c>
      <c r="I2016" s="98">
        <v>0</v>
      </c>
      <c r="J2016" s="98">
        <v>0</v>
      </c>
      <c r="K2016" s="98">
        <v>0</v>
      </c>
      <c r="M2016" s="7">
        <f t="shared" si="342"/>
        <v>0</v>
      </c>
      <c r="N2016" s="7">
        <f t="shared" si="351"/>
        <v>0</v>
      </c>
      <c r="O2016" s="7">
        <f t="shared" si="350"/>
        <v>-8000</v>
      </c>
      <c r="P2016" s="99">
        <f t="shared" si="343"/>
        <v>-6.6539133327788401E-4</v>
      </c>
      <c r="Q2016" s="99">
        <f t="shared" si="352"/>
        <v>4.3703633844145977E-3</v>
      </c>
      <c r="S2016" s="7">
        <f t="shared" si="344"/>
        <v>13216500.000000002</v>
      </c>
      <c r="T2016" s="7">
        <f t="shared" si="345"/>
        <v>4005000</v>
      </c>
      <c r="U2016" s="7">
        <f t="shared" si="346"/>
        <v>14500000</v>
      </c>
      <c r="V2016" s="7">
        <f t="shared" si="347"/>
        <v>0</v>
      </c>
      <c r="W2016" s="7">
        <f t="shared" si="348"/>
        <v>0</v>
      </c>
      <c r="X2016" s="7">
        <f t="shared" si="349"/>
        <v>0</v>
      </c>
    </row>
    <row r="2017" spans="1:24">
      <c r="A2017">
        <v>2016</v>
      </c>
      <c r="B2017" s="96" t="s">
        <v>1587</v>
      </c>
      <c r="C2017" s="95">
        <v>42779</v>
      </c>
      <c r="D2017" s="82">
        <v>12005000</v>
      </c>
      <c r="E2017" s="82">
        <v>11820000</v>
      </c>
      <c r="F2017" s="82">
        <v>12005000</v>
      </c>
      <c r="G2017" s="82">
        <v>11840000</v>
      </c>
      <c r="I2017" s="82">
        <f>G2017*1.1</f>
        <v>13024000.000000002</v>
      </c>
      <c r="J2017" s="82">
        <f>G2017/3</f>
        <v>3946666.6666666665</v>
      </c>
      <c r="K2017" s="7">
        <f>G2285</f>
        <v>14890000</v>
      </c>
      <c r="L2017" s="7">
        <f>K2017-I2017</f>
        <v>1865999.9999999981</v>
      </c>
      <c r="M2017" s="7">
        <f t="shared" si="342"/>
        <v>493333.33333333326</v>
      </c>
      <c r="N2017" s="7">
        <f t="shared" si="351"/>
        <v>2359333.3333333312</v>
      </c>
      <c r="O2017" s="7">
        <f t="shared" si="350"/>
        <v>-175000</v>
      </c>
      <c r="P2017" s="99">
        <f t="shared" si="343"/>
        <v>-1.4565126924677487E-2</v>
      </c>
      <c r="Q2017" s="99">
        <f t="shared" si="352"/>
        <v>-9.910129853306986E-3</v>
      </c>
      <c r="R2017">
        <v>1</v>
      </c>
      <c r="S2017" s="7">
        <f t="shared" si="344"/>
        <v>13024000.000000002</v>
      </c>
      <c r="T2017" s="7">
        <f t="shared" si="345"/>
        <v>3946666.6666666665</v>
      </c>
      <c r="U2017" s="7">
        <f t="shared" si="346"/>
        <v>14890000</v>
      </c>
      <c r="V2017" s="7">
        <f t="shared" si="347"/>
        <v>1865999.9999999981</v>
      </c>
      <c r="W2017" s="7">
        <f t="shared" si="348"/>
        <v>493333.33333333326</v>
      </c>
      <c r="X2017" s="7">
        <f t="shared" si="349"/>
        <v>2359333.3333333312</v>
      </c>
    </row>
    <row r="2018" spans="1:24">
      <c r="A2018">
        <v>2017</v>
      </c>
      <c r="B2018" s="96" t="s">
        <v>1586</v>
      </c>
      <c r="C2018" s="95">
        <v>42780</v>
      </c>
      <c r="D2018" s="82">
        <v>11845000</v>
      </c>
      <c r="E2018" s="82">
        <v>11835000</v>
      </c>
      <c r="F2018" s="82">
        <v>11922000</v>
      </c>
      <c r="G2018" s="82">
        <v>11877000</v>
      </c>
      <c r="I2018" s="97">
        <v>0</v>
      </c>
      <c r="J2018" s="97">
        <v>0</v>
      </c>
      <c r="K2018" s="97">
        <v>0</v>
      </c>
      <c r="M2018" s="7">
        <f t="shared" si="342"/>
        <v>0</v>
      </c>
      <c r="N2018" s="7">
        <f t="shared" si="351"/>
        <v>0</v>
      </c>
      <c r="O2018" s="7">
        <f t="shared" si="350"/>
        <v>37000</v>
      </c>
      <c r="P2018" s="99">
        <f t="shared" si="343"/>
        <v>3.1250000000000002E-3</v>
      </c>
      <c r="Q2018" s="99">
        <f t="shared" si="352"/>
        <v>-2.1343818788697289E-2</v>
      </c>
      <c r="S2018" s="7">
        <f t="shared" si="344"/>
        <v>13064700.000000002</v>
      </c>
      <c r="T2018" s="7">
        <f t="shared" si="345"/>
        <v>3959000</v>
      </c>
      <c r="U2018" s="7">
        <f t="shared" si="346"/>
        <v>14907500</v>
      </c>
      <c r="V2018" s="7">
        <f t="shared" si="347"/>
        <v>0</v>
      </c>
      <c r="W2018" s="7">
        <f t="shared" si="348"/>
        <v>0</v>
      </c>
      <c r="X2018" s="7">
        <f t="shared" si="349"/>
        <v>0</v>
      </c>
    </row>
    <row r="2019" spans="1:24">
      <c r="A2019">
        <v>2018</v>
      </c>
      <c r="B2019" s="96" t="s">
        <v>1585</v>
      </c>
      <c r="C2019" s="95">
        <v>42781</v>
      </c>
      <c r="D2019" s="82">
        <v>11897000</v>
      </c>
      <c r="E2019" s="82">
        <v>11833000</v>
      </c>
      <c r="F2019" s="82">
        <v>11932000</v>
      </c>
      <c r="G2019" s="82">
        <v>11903000</v>
      </c>
      <c r="I2019" s="97">
        <v>0</v>
      </c>
      <c r="J2019" s="97">
        <v>0</v>
      </c>
      <c r="K2019" s="97">
        <v>0</v>
      </c>
      <c r="M2019" s="7">
        <f t="shared" si="342"/>
        <v>0</v>
      </c>
      <c r="N2019" s="7">
        <f t="shared" si="351"/>
        <v>0</v>
      </c>
      <c r="O2019" s="7">
        <f t="shared" si="350"/>
        <v>26000</v>
      </c>
      <c r="P2019" s="99">
        <f t="shared" si="343"/>
        <v>2.1891049928433105E-3</v>
      </c>
      <c r="Q2019" s="99">
        <f t="shared" si="352"/>
        <v>-1.2928250879298265E-2</v>
      </c>
      <c r="S2019" s="7">
        <f t="shared" si="344"/>
        <v>13093300.000000002</v>
      </c>
      <c r="T2019" s="7">
        <f t="shared" si="345"/>
        <v>3967666.6666666665</v>
      </c>
      <c r="U2019" s="7">
        <f t="shared" si="346"/>
        <v>15030000</v>
      </c>
      <c r="V2019" s="7">
        <f t="shared" si="347"/>
        <v>0</v>
      </c>
      <c r="W2019" s="7">
        <f t="shared" si="348"/>
        <v>0</v>
      </c>
      <c r="X2019" s="7">
        <f t="shared" si="349"/>
        <v>0</v>
      </c>
    </row>
    <row r="2020" spans="1:24">
      <c r="A2020">
        <v>2019</v>
      </c>
      <c r="B2020" s="96" t="s">
        <v>1584</v>
      </c>
      <c r="C2020" s="95">
        <v>42782</v>
      </c>
      <c r="D2020" s="82">
        <v>11943000</v>
      </c>
      <c r="E2020" s="82">
        <v>11922000</v>
      </c>
      <c r="F2020" s="82">
        <v>11985000</v>
      </c>
      <c r="G2020" s="82">
        <v>11975000</v>
      </c>
      <c r="I2020" s="97">
        <v>0</v>
      </c>
      <c r="J2020" s="97">
        <v>0</v>
      </c>
      <c r="K2020" s="97">
        <v>0</v>
      </c>
      <c r="M2020" s="7">
        <f t="shared" si="342"/>
        <v>0</v>
      </c>
      <c r="N2020" s="7">
        <f t="shared" si="351"/>
        <v>0</v>
      </c>
      <c r="O2020" s="7">
        <f t="shared" si="350"/>
        <v>72000</v>
      </c>
      <c r="P2020" s="99">
        <f t="shared" si="343"/>
        <v>6.048895236495001E-3</v>
      </c>
      <c r="Q2020" s="99">
        <f t="shared" si="352"/>
        <v>-7.4149540805877549E-3</v>
      </c>
      <c r="S2020" s="7">
        <f t="shared" si="344"/>
        <v>13172500.000000002</v>
      </c>
      <c r="T2020" s="7">
        <f t="shared" si="345"/>
        <v>3991666.6666666665</v>
      </c>
      <c r="U2020" s="7">
        <f t="shared" si="346"/>
        <v>14655000</v>
      </c>
      <c r="V2020" s="7">
        <f t="shared" si="347"/>
        <v>0</v>
      </c>
      <c r="W2020" s="7">
        <f t="shared" si="348"/>
        <v>0</v>
      </c>
      <c r="X2020" s="7">
        <f t="shared" si="349"/>
        <v>0</v>
      </c>
    </row>
    <row r="2021" spans="1:24">
      <c r="A2021">
        <v>2020</v>
      </c>
      <c r="B2021" s="96" t="s">
        <v>1583</v>
      </c>
      <c r="C2021" s="95">
        <v>42784</v>
      </c>
      <c r="D2021" s="82">
        <v>11970000</v>
      </c>
      <c r="E2021" s="82">
        <v>11883000</v>
      </c>
      <c r="F2021" s="82">
        <v>11975000</v>
      </c>
      <c r="G2021" s="82">
        <v>11890000</v>
      </c>
      <c r="I2021" s="98">
        <v>0</v>
      </c>
      <c r="J2021" s="98">
        <v>0</v>
      </c>
      <c r="K2021" s="98">
        <v>0</v>
      </c>
      <c r="M2021" s="7">
        <f t="shared" si="342"/>
        <v>0</v>
      </c>
      <c r="N2021" s="7">
        <f t="shared" si="351"/>
        <v>0</v>
      </c>
      <c r="O2021" s="7">
        <f t="shared" si="350"/>
        <v>-85000</v>
      </c>
      <c r="P2021" s="99">
        <f t="shared" si="343"/>
        <v>-7.0981210855949892E-3</v>
      </c>
      <c r="Q2021" s="99">
        <f t="shared" si="352"/>
        <v>-3.8675180286170605E-3</v>
      </c>
      <c r="S2021" s="7">
        <f t="shared" si="344"/>
        <v>13079000.000000002</v>
      </c>
      <c r="T2021" s="7">
        <f t="shared" si="345"/>
        <v>3963333.3333333335</v>
      </c>
      <c r="U2021" s="7">
        <f t="shared" si="346"/>
        <v>14725000</v>
      </c>
      <c r="V2021" s="7">
        <f t="shared" si="347"/>
        <v>0</v>
      </c>
      <c r="W2021" s="7">
        <f t="shared" si="348"/>
        <v>0</v>
      </c>
      <c r="X2021" s="7">
        <f t="shared" si="349"/>
        <v>0</v>
      </c>
    </row>
    <row r="2022" spans="1:24">
      <c r="A2022">
        <v>2021</v>
      </c>
      <c r="B2022" s="96" t="s">
        <v>1582</v>
      </c>
      <c r="C2022" s="95">
        <v>42785</v>
      </c>
      <c r="D2022" s="82">
        <v>11900000</v>
      </c>
      <c r="E2022" s="82">
        <v>11869000</v>
      </c>
      <c r="F2022" s="82">
        <v>11910000</v>
      </c>
      <c r="G2022" s="82">
        <v>11890000</v>
      </c>
      <c r="I2022" s="82">
        <f>G2022*1.1</f>
        <v>13079000.000000002</v>
      </c>
      <c r="J2022" s="82">
        <f>G2022/3</f>
        <v>3963333.3333333335</v>
      </c>
      <c r="K2022" s="7">
        <f>G2290</f>
        <v>14700000</v>
      </c>
      <c r="L2022" s="7">
        <f>K2022-I2022</f>
        <v>1620999.9999999981</v>
      </c>
      <c r="M2022" s="7">
        <f t="shared" si="342"/>
        <v>495416.66666666674</v>
      </c>
      <c r="N2022" s="7">
        <f t="shared" si="351"/>
        <v>2116416.6666666651</v>
      </c>
      <c r="O2022" s="7">
        <f t="shared" si="350"/>
        <v>0</v>
      </c>
      <c r="P2022" s="99">
        <f t="shared" si="343"/>
        <v>0</v>
      </c>
      <c r="Q2022" s="99">
        <f t="shared" si="352"/>
        <v>-1.0300247780934163E-2</v>
      </c>
      <c r="R2022">
        <v>1</v>
      </c>
      <c r="S2022" s="7">
        <f t="shared" si="344"/>
        <v>13079000.000000002</v>
      </c>
      <c r="T2022" s="7">
        <f t="shared" si="345"/>
        <v>3963333.3333333335</v>
      </c>
      <c r="U2022" s="7">
        <f t="shared" si="346"/>
        <v>14700000</v>
      </c>
      <c r="V2022" s="7">
        <f t="shared" si="347"/>
        <v>1620999.9999999981</v>
      </c>
      <c r="W2022" s="7">
        <f t="shared" si="348"/>
        <v>495416.66666666674</v>
      </c>
      <c r="X2022" s="7">
        <f t="shared" si="349"/>
        <v>2116416.6666666651</v>
      </c>
    </row>
    <row r="2023" spans="1:24">
      <c r="A2023">
        <v>2022</v>
      </c>
      <c r="B2023" s="96" t="s">
        <v>1581</v>
      </c>
      <c r="C2023" s="95">
        <v>42786</v>
      </c>
      <c r="D2023" s="82">
        <v>11885000</v>
      </c>
      <c r="E2023" s="82">
        <v>11885000</v>
      </c>
      <c r="F2023" s="82">
        <v>11945000</v>
      </c>
      <c r="G2023" s="82">
        <v>11930000</v>
      </c>
      <c r="I2023" s="97">
        <v>0</v>
      </c>
      <c r="J2023" s="97">
        <v>0</v>
      </c>
      <c r="K2023" s="97">
        <v>0</v>
      </c>
      <c r="M2023" s="7">
        <f t="shared" si="342"/>
        <v>0</v>
      </c>
      <c r="N2023" s="7">
        <f t="shared" si="351"/>
        <v>0</v>
      </c>
      <c r="O2023" s="7">
        <f t="shared" si="350"/>
        <v>40000</v>
      </c>
      <c r="P2023" s="99">
        <f t="shared" si="343"/>
        <v>3.3641715727502101E-3</v>
      </c>
      <c r="Q2023" s="99">
        <f t="shared" si="352"/>
        <v>4.2648791437433229E-3</v>
      </c>
      <c r="S2023" s="7">
        <f t="shared" si="344"/>
        <v>13123000.000000002</v>
      </c>
      <c r="T2023" s="7">
        <f t="shared" si="345"/>
        <v>3976666.6666666665</v>
      </c>
      <c r="U2023" s="7">
        <f t="shared" si="346"/>
        <v>14683000</v>
      </c>
      <c r="V2023" s="7">
        <f t="shared" si="347"/>
        <v>0</v>
      </c>
      <c r="W2023" s="7">
        <f t="shared" si="348"/>
        <v>0</v>
      </c>
      <c r="X2023" s="7">
        <f t="shared" si="349"/>
        <v>0</v>
      </c>
    </row>
    <row r="2024" spans="1:24">
      <c r="A2024">
        <v>2023</v>
      </c>
      <c r="B2024" s="96" t="s">
        <v>1580</v>
      </c>
      <c r="C2024" s="95">
        <v>42787</v>
      </c>
      <c r="D2024" s="82">
        <v>11940000</v>
      </c>
      <c r="E2024" s="82">
        <v>11875000</v>
      </c>
      <c r="F2024" s="82">
        <v>11940000</v>
      </c>
      <c r="G2024" s="82">
        <v>11920000</v>
      </c>
      <c r="I2024" s="97">
        <v>0</v>
      </c>
      <c r="J2024" s="97">
        <v>0</v>
      </c>
      <c r="K2024" s="97">
        <v>0</v>
      </c>
      <c r="M2024" s="7">
        <f t="shared" si="342"/>
        <v>0</v>
      </c>
      <c r="N2024" s="7">
        <f t="shared" si="351"/>
        <v>0</v>
      </c>
      <c r="O2024" s="7">
        <f t="shared" si="350"/>
        <v>-10000</v>
      </c>
      <c r="P2024" s="99">
        <f t="shared" si="343"/>
        <v>-8.3822296730930428E-4</v>
      </c>
      <c r="Q2024" s="99">
        <f t="shared" si="352"/>
        <v>4.5040507164935319E-3</v>
      </c>
      <c r="S2024" s="7">
        <f t="shared" si="344"/>
        <v>13112000.000000002</v>
      </c>
      <c r="T2024" s="7">
        <f t="shared" si="345"/>
        <v>3973333.3333333335</v>
      </c>
      <c r="U2024" s="7">
        <f t="shared" si="346"/>
        <v>14700000</v>
      </c>
      <c r="V2024" s="7">
        <f t="shared" si="347"/>
        <v>0</v>
      </c>
      <c r="W2024" s="7">
        <f t="shared" si="348"/>
        <v>0</v>
      </c>
      <c r="X2024" s="7">
        <f t="shared" si="349"/>
        <v>0</v>
      </c>
    </row>
    <row r="2025" spans="1:24">
      <c r="A2025">
        <v>2024</v>
      </c>
      <c r="B2025" s="96" t="s">
        <v>1579</v>
      </c>
      <c r="C2025" s="95">
        <v>42788</v>
      </c>
      <c r="D2025" s="82">
        <v>11900000</v>
      </c>
      <c r="E2025" s="82">
        <v>11900000</v>
      </c>
      <c r="F2025" s="82">
        <v>11960000</v>
      </c>
      <c r="G2025" s="82">
        <v>11935000</v>
      </c>
      <c r="I2025" s="97">
        <v>0</v>
      </c>
      <c r="J2025" s="97">
        <v>0</v>
      </c>
      <c r="K2025" s="97">
        <v>0</v>
      </c>
      <c r="M2025" s="7">
        <f t="shared" si="342"/>
        <v>0</v>
      </c>
      <c r="N2025" s="7">
        <f t="shared" si="351"/>
        <v>0</v>
      </c>
      <c r="O2025" s="7">
        <f t="shared" si="350"/>
        <v>15000</v>
      </c>
      <c r="P2025" s="99">
        <f t="shared" si="343"/>
        <v>1.2583892617449664E-3</v>
      </c>
      <c r="Q2025" s="99">
        <f t="shared" si="352"/>
        <v>1.4767227563409176E-3</v>
      </c>
      <c r="S2025" s="7">
        <f t="shared" si="344"/>
        <v>13128500.000000002</v>
      </c>
      <c r="T2025" s="7">
        <f t="shared" si="345"/>
        <v>3978333.3333333335</v>
      </c>
      <c r="U2025" s="7">
        <f t="shared" si="346"/>
        <v>14945000</v>
      </c>
      <c r="V2025" s="7">
        <f t="shared" si="347"/>
        <v>0</v>
      </c>
      <c r="W2025" s="7">
        <f t="shared" si="348"/>
        <v>0</v>
      </c>
      <c r="X2025" s="7">
        <f t="shared" si="349"/>
        <v>0</v>
      </c>
    </row>
    <row r="2026" spans="1:24">
      <c r="A2026">
        <v>2025</v>
      </c>
      <c r="B2026" s="96" t="s">
        <v>1578</v>
      </c>
      <c r="C2026" s="95">
        <v>42789</v>
      </c>
      <c r="D2026" s="82">
        <v>11960000</v>
      </c>
      <c r="E2026" s="82">
        <v>11945000</v>
      </c>
      <c r="F2026" s="82">
        <v>12010000</v>
      </c>
      <c r="G2026" s="82">
        <v>12000000</v>
      </c>
      <c r="I2026" s="98">
        <v>0</v>
      </c>
      <c r="J2026" s="98">
        <v>0</v>
      </c>
      <c r="K2026" s="98">
        <v>0</v>
      </c>
      <c r="M2026" s="7">
        <f t="shared" si="342"/>
        <v>0</v>
      </c>
      <c r="N2026" s="7">
        <f t="shared" si="351"/>
        <v>0</v>
      </c>
      <c r="O2026" s="7">
        <f t="shared" si="350"/>
        <v>65000</v>
      </c>
      <c r="P2026" s="99">
        <f t="shared" si="343"/>
        <v>5.4461667364893171E-3</v>
      </c>
      <c r="Q2026" s="99">
        <f t="shared" si="352"/>
        <v>-3.313783218409117E-3</v>
      </c>
      <c r="S2026" s="7">
        <f t="shared" si="344"/>
        <v>13200000.000000002</v>
      </c>
      <c r="T2026" s="7">
        <f t="shared" si="345"/>
        <v>4000000</v>
      </c>
      <c r="U2026" s="7">
        <f t="shared" si="346"/>
        <v>14925000</v>
      </c>
      <c r="V2026" s="7">
        <f t="shared" si="347"/>
        <v>0</v>
      </c>
      <c r="W2026" s="7">
        <f t="shared" si="348"/>
        <v>0</v>
      </c>
      <c r="X2026" s="7">
        <f t="shared" si="349"/>
        <v>0</v>
      </c>
    </row>
    <row r="2027" spans="1:24">
      <c r="A2027">
        <v>2026</v>
      </c>
      <c r="B2027" s="96" t="s">
        <v>1577</v>
      </c>
      <c r="C2027" s="95">
        <v>42791</v>
      </c>
      <c r="D2027" s="82">
        <v>12032000</v>
      </c>
      <c r="E2027" s="82">
        <v>12022000</v>
      </c>
      <c r="F2027" s="82">
        <v>12091000</v>
      </c>
      <c r="G2027" s="82">
        <v>12081000</v>
      </c>
      <c r="I2027" s="82">
        <f>G2027*1.1</f>
        <v>13289100.000000002</v>
      </c>
      <c r="J2027" s="82">
        <f>G2027/3</f>
        <v>4027000</v>
      </c>
      <c r="K2027" s="7">
        <f>G2295</f>
        <v>15015000</v>
      </c>
      <c r="L2027" s="7">
        <f>K2027-I2027</f>
        <v>1725899.9999999981</v>
      </c>
      <c r="M2027" s="7">
        <f t="shared" si="342"/>
        <v>503375</v>
      </c>
      <c r="N2027" s="7">
        <f t="shared" si="351"/>
        <v>2229274.9999999981</v>
      </c>
      <c r="O2027" s="7">
        <f t="shared" si="350"/>
        <v>81000</v>
      </c>
      <c r="P2027" s="99">
        <f t="shared" si="343"/>
        <v>6.7499999999999999E-3</v>
      </c>
      <c r="Q2027" s="99">
        <f t="shared" si="352"/>
        <v>9.2305046036751902E-3</v>
      </c>
      <c r="R2027">
        <v>1</v>
      </c>
      <c r="S2027" s="7">
        <f t="shared" si="344"/>
        <v>13289100.000000002</v>
      </c>
      <c r="T2027" s="7">
        <f t="shared" si="345"/>
        <v>4027000</v>
      </c>
      <c r="U2027" s="7">
        <f t="shared" si="346"/>
        <v>15015000</v>
      </c>
      <c r="V2027" s="7">
        <f t="shared" si="347"/>
        <v>1725899.9999999981</v>
      </c>
      <c r="W2027" s="7">
        <f t="shared" si="348"/>
        <v>503375</v>
      </c>
      <c r="X2027" s="7">
        <f t="shared" si="349"/>
        <v>2229274.9999999981</v>
      </c>
    </row>
    <row r="2028" spans="1:24">
      <c r="A2028">
        <v>2027</v>
      </c>
      <c r="B2028" s="96" t="s">
        <v>1576</v>
      </c>
      <c r="C2028" s="95">
        <v>42792</v>
      </c>
      <c r="D2028" s="82">
        <v>12078000</v>
      </c>
      <c r="E2028" s="82">
        <v>12073000</v>
      </c>
      <c r="F2028" s="82">
        <v>12147000</v>
      </c>
      <c r="G2028" s="82">
        <v>12145000</v>
      </c>
      <c r="I2028" s="97">
        <v>0</v>
      </c>
      <c r="J2028" s="97">
        <v>0</v>
      </c>
      <c r="K2028" s="97">
        <v>0</v>
      </c>
      <c r="M2028" s="7">
        <f t="shared" si="342"/>
        <v>0</v>
      </c>
      <c r="N2028" s="7">
        <f t="shared" si="351"/>
        <v>0</v>
      </c>
      <c r="O2028" s="7">
        <f t="shared" si="350"/>
        <v>64000</v>
      </c>
      <c r="P2028" s="99">
        <f t="shared" si="343"/>
        <v>5.2975747040807878E-3</v>
      </c>
      <c r="Q2028" s="99">
        <f t="shared" si="352"/>
        <v>1.5980504603675189E-2</v>
      </c>
      <c r="S2028" s="7">
        <f t="shared" si="344"/>
        <v>13359500.000000002</v>
      </c>
      <c r="T2028" s="7">
        <f t="shared" si="345"/>
        <v>4048333.3333333335</v>
      </c>
      <c r="U2028" s="7">
        <f t="shared" si="346"/>
        <v>14877000</v>
      </c>
      <c r="V2028" s="7">
        <f t="shared" si="347"/>
        <v>0</v>
      </c>
      <c r="W2028" s="7">
        <f t="shared" si="348"/>
        <v>0</v>
      </c>
      <c r="X2028" s="7">
        <f t="shared" si="349"/>
        <v>0</v>
      </c>
    </row>
    <row r="2029" spans="1:24">
      <c r="A2029">
        <v>2028</v>
      </c>
      <c r="B2029" s="96" t="s">
        <v>1575</v>
      </c>
      <c r="C2029" s="95">
        <v>42793</v>
      </c>
      <c r="D2029" s="82">
        <v>12140000</v>
      </c>
      <c r="E2029" s="82">
        <v>12015000</v>
      </c>
      <c r="F2029" s="82">
        <v>12149000</v>
      </c>
      <c r="G2029" s="82">
        <v>12040000</v>
      </c>
      <c r="I2029" s="97">
        <v>0</v>
      </c>
      <c r="J2029" s="97">
        <v>0</v>
      </c>
      <c r="K2029" s="97">
        <v>0</v>
      </c>
      <c r="M2029" s="7">
        <f t="shared" si="342"/>
        <v>0</v>
      </c>
      <c r="N2029" s="7">
        <f t="shared" si="351"/>
        <v>0</v>
      </c>
      <c r="O2029" s="7">
        <f t="shared" si="350"/>
        <v>-105000</v>
      </c>
      <c r="P2029" s="99">
        <f t="shared" si="343"/>
        <v>-8.6455331412103754E-3</v>
      </c>
      <c r="Q2029" s="99">
        <f t="shared" si="352"/>
        <v>1.7913907735005764E-2</v>
      </c>
      <c r="S2029" s="7">
        <f t="shared" si="344"/>
        <v>13244000.000000002</v>
      </c>
      <c r="T2029" s="7">
        <f t="shared" si="345"/>
        <v>4013333.3333333335</v>
      </c>
      <c r="U2029" s="7">
        <f t="shared" si="346"/>
        <v>14920000</v>
      </c>
      <c r="V2029" s="7">
        <f t="shared" si="347"/>
        <v>0</v>
      </c>
      <c r="W2029" s="7">
        <f t="shared" si="348"/>
        <v>0</v>
      </c>
      <c r="X2029" s="7">
        <f t="shared" si="349"/>
        <v>0</v>
      </c>
    </row>
    <row r="2030" spans="1:24">
      <c r="A2030">
        <v>2029</v>
      </c>
      <c r="B2030" s="96" t="s">
        <v>1574</v>
      </c>
      <c r="C2030" s="95">
        <v>42794</v>
      </c>
      <c r="D2030" s="82">
        <v>12020000</v>
      </c>
      <c r="E2030" s="82">
        <v>11985000</v>
      </c>
      <c r="F2030" s="82">
        <v>12045000</v>
      </c>
      <c r="G2030" s="82">
        <v>12013000</v>
      </c>
      <c r="I2030" s="97">
        <v>0</v>
      </c>
      <c r="J2030" s="97">
        <v>0</v>
      </c>
      <c r="K2030" s="97">
        <v>0</v>
      </c>
      <c r="M2030" s="7">
        <f t="shared" si="342"/>
        <v>0</v>
      </c>
      <c r="N2030" s="7">
        <f t="shared" si="351"/>
        <v>0</v>
      </c>
      <c r="O2030" s="7">
        <f t="shared" si="350"/>
        <v>-27000</v>
      </c>
      <c r="P2030" s="99">
        <f t="shared" si="343"/>
        <v>-2.2425249169435216E-3</v>
      </c>
      <c r="Q2030" s="99">
        <f t="shared" si="352"/>
        <v>1.0106597561104698E-2</v>
      </c>
      <c r="S2030" s="7">
        <f t="shared" si="344"/>
        <v>13214300.000000002</v>
      </c>
      <c r="T2030" s="7">
        <f t="shared" si="345"/>
        <v>4004333.3333333335</v>
      </c>
      <c r="U2030" s="7">
        <f t="shared" si="346"/>
        <v>14940000</v>
      </c>
      <c r="V2030" s="7">
        <f t="shared" si="347"/>
        <v>0</v>
      </c>
      <c r="W2030" s="7">
        <f t="shared" si="348"/>
        <v>0</v>
      </c>
      <c r="X2030" s="7">
        <f t="shared" si="349"/>
        <v>0</v>
      </c>
    </row>
    <row r="2031" spans="1:24">
      <c r="A2031">
        <v>2030</v>
      </c>
      <c r="B2031" s="96" t="s">
        <v>1573</v>
      </c>
      <c r="C2031" s="95">
        <v>42795</v>
      </c>
      <c r="D2031" s="82">
        <v>11972000</v>
      </c>
      <c r="E2031" s="82">
        <v>11965000</v>
      </c>
      <c r="F2031" s="82">
        <v>12020000</v>
      </c>
      <c r="G2031" s="82">
        <v>11985000</v>
      </c>
      <c r="I2031" s="98">
        <v>0</v>
      </c>
      <c r="J2031" s="98">
        <v>0</v>
      </c>
      <c r="K2031" s="98">
        <v>0</v>
      </c>
      <c r="M2031" s="7">
        <f t="shared" si="342"/>
        <v>0</v>
      </c>
      <c r="N2031" s="7">
        <f t="shared" si="351"/>
        <v>0</v>
      </c>
      <c r="O2031" s="7">
        <f t="shared" si="350"/>
        <v>-28000</v>
      </c>
      <c r="P2031" s="99">
        <f t="shared" si="343"/>
        <v>-2.3308082910180636E-3</v>
      </c>
      <c r="Q2031" s="99">
        <f t="shared" si="352"/>
        <v>6.6056833824162074E-3</v>
      </c>
      <c r="S2031" s="7">
        <f t="shared" si="344"/>
        <v>13183500.000000002</v>
      </c>
      <c r="T2031" s="7">
        <f t="shared" si="345"/>
        <v>3995000</v>
      </c>
      <c r="U2031" s="7">
        <f t="shared" si="346"/>
        <v>15150000</v>
      </c>
      <c r="V2031" s="7">
        <f t="shared" si="347"/>
        <v>0</v>
      </c>
      <c r="W2031" s="7">
        <f t="shared" si="348"/>
        <v>0</v>
      </c>
      <c r="X2031" s="7">
        <f t="shared" si="349"/>
        <v>0</v>
      </c>
    </row>
    <row r="2032" spans="1:24">
      <c r="A2032">
        <v>2031</v>
      </c>
      <c r="B2032" s="96" t="s">
        <v>1572</v>
      </c>
      <c r="C2032" s="95">
        <v>42798</v>
      </c>
      <c r="D2032" s="82">
        <v>11960000</v>
      </c>
      <c r="E2032" s="82">
        <v>11945000</v>
      </c>
      <c r="F2032" s="82">
        <v>12034000</v>
      </c>
      <c r="G2032" s="82">
        <v>12029000</v>
      </c>
      <c r="I2032" s="82">
        <f>G2032*1.1</f>
        <v>13231900.000000002</v>
      </c>
      <c r="J2032" s="82">
        <f>G2032/3</f>
        <v>4009666.6666666665</v>
      </c>
      <c r="K2032" s="7">
        <f>G2300</f>
        <v>15025000</v>
      </c>
      <c r="L2032" s="7">
        <f>K2032-I2032</f>
        <v>1793099.9999999981</v>
      </c>
      <c r="M2032" s="7">
        <f t="shared" si="342"/>
        <v>501208.33333333326</v>
      </c>
      <c r="N2032" s="7">
        <f t="shared" si="351"/>
        <v>2294308.3333333312</v>
      </c>
      <c r="O2032" s="7">
        <f t="shared" si="350"/>
        <v>44000</v>
      </c>
      <c r="P2032" s="99">
        <f t="shared" si="343"/>
        <v>3.6712557363370881E-3</v>
      </c>
      <c r="Q2032" s="99">
        <f t="shared" si="352"/>
        <v>-1.171291645091172E-3</v>
      </c>
      <c r="R2032">
        <v>1</v>
      </c>
      <c r="S2032" s="7">
        <f t="shared" si="344"/>
        <v>13231900.000000002</v>
      </c>
      <c r="T2032" s="7">
        <f t="shared" si="345"/>
        <v>4009666.6666666665</v>
      </c>
      <c r="U2032" s="7">
        <f t="shared" si="346"/>
        <v>15025000</v>
      </c>
      <c r="V2032" s="7">
        <f t="shared" si="347"/>
        <v>1793099.9999999981</v>
      </c>
      <c r="W2032" s="7">
        <f t="shared" si="348"/>
        <v>501208.33333333326</v>
      </c>
      <c r="X2032" s="7">
        <f t="shared" si="349"/>
        <v>2294308.3333333312</v>
      </c>
    </row>
    <row r="2033" spans="1:24">
      <c r="A2033">
        <v>2032</v>
      </c>
      <c r="B2033" s="96" t="s">
        <v>1571</v>
      </c>
      <c r="C2033" s="95">
        <v>42799</v>
      </c>
      <c r="D2033" s="82">
        <v>12039000</v>
      </c>
      <c r="E2033" s="82">
        <v>11981000</v>
      </c>
      <c r="F2033" s="82">
        <v>12050000</v>
      </c>
      <c r="G2033" s="82">
        <v>12012000</v>
      </c>
      <c r="I2033" s="97">
        <v>0</v>
      </c>
      <c r="J2033" s="97">
        <v>0</v>
      </c>
      <c r="K2033" s="97">
        <v>0</v>
      </c>
      <c r="M2033" s="7">
        <f t="shared" si="342"/>
        <v>0</v>
      </c>
      <c r="N2033" s="7">
        <f t="shared" si="351"/>
        <v>0</v>
      </c>
      <c r="O2033" s="7">
        <f t="shared" si="350"/>
        <v>-17000</v>
      </c>
      <c r="P2033" s="99">
        <f t="shared" si="343"/>
        <v>-1.413251309335772E-3</v>
      </c>
      <c r="Q2033" s="99">
        <f t="shared" si="352"/>
        <v>-4.2500359087540851E-3</v>
      </c>
      <c r="S2033" s="7">
        <f t="shared" si="344"/>
        <v>13213200.000000002</v>
      </c>
      <c r="T2033" s="7">
        <f t="shared" si="345"/>
        <v>4004000</v>
      </c>
      <c r="U2033" s="7">
        <f t="shared" si="346"/>
        <v>15195000</v>
      </c>
      <c r="V2033" s="7">
        <f t="shared" si="347"/>
        <v>0</v>
      </c>
      <c r="W2033" s="7">
        <f t="shared" si="348"/>
        <v>0</v>
      </c>
      <c r="X2033" s="7">
        <f t="shared" si="349"/>
        <v>0</v>
      </c>
    </row>
    <row r="2034" spans="1:24">
      <c r="A2034">
        <v>2033</v>
      </c>
      <c r="B2034" s="96" t="s">
        <v>1570</v>
      </c>
      <c r="C2034" s="95">
        <v>42800</v>
      </c>
      <c r="D2034" s="82">
        <v>12007000</v>
      </c>
      <c r="E2034" s="82">
        <v>11980000</v>
      </c>
      <c r="F2034" s="82">
        <v>12038000</v>
      </c>
      <c r="G2034" s="82">
        <v>12015000</v>
      </c>
      <c r="I2034" s="97">
        <v>0</v>
      </c>
      <c r="J2034" s="97">
        <v>0</v>
      </c>
      <c r="K2034" s="97">
        <v>0</v>
      </c>
      <c r="M2034" s="7">
        <f t="shared" si="342"/>
        <v>0</v>
      </c>
      <c r="N2034" s="7">
        <f t="shared" si="351"/>
        <v>0</v>
      </c>
      <c r="O2034" s="7">
        <f t="shared" si="350"/>
        <v>3000</v>
      </c>
      <c r="P2034" s="99">
        <f t="shared" si="343"/>
        <v>2.4975024975024975E-4</v>
      </c>
      <c r="Q2034" s="99">
        <f t="shared" si="352"/>
        <v>-1.0960861922170644E-2</v>
      </c>
      <c r="S2034" s="7">
        <f t="shared" si="344"/>
        <v>13216500.000000002</v>
      </c>
      <c r="T2034" s="7">
        <f t="shared" si="345"/>
        <v>4005000</v>
      </c>
      <c r="U2034" s="7">
        <f t="shared" si="346"/>
        <v>15282000</v>
      </c>
      <c r="V2034" s="7">
        <f t="shared" si="347"/>
        <v>0</v>
      </c>
      <c r="W2034" s="7">
        <f t="shared" si="348"/>
        <v>0</v>
      </c>
      <c r="X2034" s="7">
        <f t="shared" si="349"/>
        <v>0</v>
      </c>
    </row>
    <row r="2035" spans="1:24">
      <c r="A2035">
        <v>2034</v>
      </c>
      <c r="B2035" s="96" t="s">
        <v>1569</v>
      </c>
      <c r="C2035" s="95">
        <v>42801</v>
      </c>
      <c r="D2035" s="82">
        <v>12030000</v>
      </c>
      <c r="E2035" s="82">
        <v>11987000</v>
      </c>
      <c r="F2035" s="82">
        <v>12032000</v>
      </c>
      <c r="G2035" s="82">
        <v>11995000</v>
      </c>
      <c r="I2035" s="97">
        <v>0</v>
      </c>
      <c r="J2035" s="97">
        <v>0</v>
      </c>
      <c r="K2035" s="97">
        <v>0</v>
      </c>
      <c r="M2035" s="7">
        <f t="shared" si="342"/>
        <v>0</v>
      </c>
      <c r="N2035" s="7">
        <f t="shared" si="351"/>
        <v>0</v>
      </c>
      <c r="O2035" s="7">
        <f t="shared" si="350"/>
        <v>-20000</v>
      </c>
      <c r="P2035" s="99">
        <f t="shared" si="343"/>
        <v>-1.6645859342488557E-3</v>
      </c>
      <c r="Q2035" s="99">
        <f t="shared" si="352"/>
        <v>-2.0655785312100189E-3</v>
      </c>
      <c r="S2035" s="7">
        <f t="shared" si="344"/>
        <v>13194500.000000002</v>
      </c>
      <c r="T2035" s="7">
        <f t="shared" si="345"/>
        <v>3998333.3333333335</v>
      </c>
      <c r="U2035" s="7">
        <f t="shared" si="346"/>
        <v>15285000</v>
      </c>
      <c r="V2035" s="7">
        <f t="shared" si="347"/>
        <v>0</v>
      </c>
      <c r="W2035" s="7">
        <f t="shared" si="348"/>
        <v>0</v>
      </c>
      <c r="X2035" s="7">
        <f t="shared" si="349"/>
        <v>0</v>
      </c>
    </row>
    <row r="2036" spans="1:24">
      <c r="A2036">
        <v>2035</v>
      </c>
      <c r="B2036" s="96" t="s">
        <v>1568</v>
      </c>
      <c r="C2036" s="95">
        <v>42802</v>
      </c>
      <c r="D2036" s="82">
        <v>11990000</v>
      </c>
      <c r="E2036" s="82">
        <v>11838000</v>
      </c>
      <c r="F2036" s="82">
        <v>11990000</v>
      </c>
      <c r="G2036" s="82">
        <v>11878000</v>
      </c>
      <c r="I2036" s="98">
        <v>0</v>
      </c>
      <c r="J2036" s="98">
        <v>0</v>
      </c>
      <c r="K2036" s="98">
        <v>0</v>
      </c>
      <c r="M2036" s="7">
        <f t="shared" si="342"/>
        <v>0</v>
      </c>
      <c r="N2036" s="7">
        <f t="shared" si="351"/>
        <v>0</v>
      </c>
      <c r="O2036" s="7">
        <f t="shared" si="350"/>
        <v>-117000</v>
      </c>
      <c r="P2036" s="99">
        <f t="shared" si="343"/>
        <v>-9.7540641934139218E-3</v>
      </c>
      <c r="Q2036" s="99">
        <f t="shared" si="352"/>
        <v>-1.4876395485153534E-3</v>
      </c>
      <c r="S2036" s="7">
        <f t="shared" si="344"/>
        <v>13065800.000000002</v>
      </c>
      <c r="T2036" s="7">
        <f t="shared" si="345"/>
        <v>3959333.3333333335</v>
      </c>
      <c r="U2036" s="7">
        <f t="shared" si="346"/>
        <v>15180000</v>
      </c>
      <c r="V2036" s="7">
        <f t="shared" si="347"/>
        <v>0</v>
      </c>
      <c r="W2036" s="7">
        <f t="shared" si="348"/>
        <v>0</v>
      </c>
      <c r="X2036" s="7">
        <f t="shared" si="349"/>
        <v>0</v>
      </c>
    </row>
    <row r="2037" spans="1:24">
      <c r="A2037">
        <v>2036</v>
      </c>
      <c r="B2037" s="96" t="s">
        <v>1567</v>
      </c>
      <c r="C2037" s="95">
        <v>42803</v>
      </c>
      <c r="D2037" s="82">
        <v>11898000</v>
      </c>
      <c r="E2037" s="82">
        <v>11865000</v>
      </c>
      <c r="F2037" s="82">
        <v>11965000</v>
      </c>
      <c r="G2037" s="82">
        <v>11945000</v>
      </c>
      <c r="I2037" s="82">
        <f>G2037*1.1</f>
        <v>13139500.000000002</v>
      </c>
      <c r="J2037" s="82">
        <f>G2037/3</f>
        <v>3981666.6666666665</v>
      </c>
      <c r="K2037" s="7">
        <f>G2305</f>
        <v>15190000</v>
      </c>
      <c r="L2037" s="7">
        <f>K2037-I2037</f>
        <v>2050499.9999999981</v>
      </c>
      <c r="M2037" s="7">
        <f t="shared" si="342"/>
        <v>497708.33333333326</v>
      </c>
      <c r="N2037" s="7">
        <f t="shared" si="351"/>
        <v>2548208.3333333312</v>
      </c>
      <c r="O2037" s="7">
        <f t="shared" si="350"/>
        <v>67000</v>
      </c>
      <c r="P2037" s="99">
        <f t="shared" si="343"/>
        <v>5.6406802492002025E-3</v>
      </c>
      <c r="Q2037" s="99">
        <f t="shared" si="352"/>
        <v>-8.9108954509112114E-3</v>
      </c>
      <c r="R2037">
        <v>1</v>
      </c>
      <c r="S2037" s="7">
        <f t="shared" si="344"/>
        <v>13139500.000000002</v>
      </c>
      <c r="T2037" s="7">
        <f t="shared" si="345"/>
        <v>3981666.6666666665</v>
      </c>
      <c r="U2037" s="7">
        <f t="shared" si="346"/>
        <v>15190000</v>
      </c>
      <c r="V2037" s="7">
        <f t="shared" si="347"/>
        <v>2050499.9999999981</v>
      </c>
      <c r="W2037" s="7">
        <f t="shared" si="348"/>
        <v>497708.33333333326</v>
      </c>
      <c r="X2037" s="7">
        <f t="shared" si="349"/>
        <v>2548208.3333333312</v>
      </c>
    </row>
    <row r="2038" spans="1:24">
      <c r="A2038">
        <v>2037</v>
      </c>
      <c r="B2038" s="96" t="s">
        <v>1566</v>
      </c>
      <c r="C2038" s="95">
        <v>42805</v>
      </c>
      <c r="D2038" s="82">
        <v>11935000</v>
      </c>
      <c r="E2038" s="82">
        <v>11856000</v>
      </c>
      <c r="F2038" s="82">
        <v>11950000</v>
      </c>
      <c r="G2038" s="82">
        <v>11891000</v>
      </c>
      <c r="I2038" s="97">
        <v>0</v>
      </c>
      <c r="J2038" s="97">
        <v>0</v>
      </c>
      <c r="K2038" s="97">
        <v>0</v>
      </c>
      <c r="M2038" s="7">
        <f t="shared" si="342"/>
        <v>0</v>
      </c>
      <c r="N2038" s="7">
        <f t="shared" si="351"/>
        <v>0</v>
      </c>
      <c r="O2038" s="7">
        <f t="shared" si="350"/>
        <v>-54000</v>
      </c>
      <c r="P2038" s="99">
        <f t="shared" si="343"/>
        <v>-4.5207199665131858E-3</v>
      </c>
      <c r="Q2038" s="99">
        <f t="shared" si="352"/>
        <v>-6.9414709380480975E-3</v>
      </c>
      <c r="S2038" s="7">
        <f t="shared" si="344"/>
        <v>13080100.000000002</v>
      </c>
      <c r="T2038" s="7">
        <f t="shared" si="345"/>
        <v>3963666.6666666665</v>
      </c>
      <c r="U2038" s="7">
        <f t="shared" si="346"/>
        <v>15180000</v>
      </c>
      <c r="V2038" s="7">
        <f t="shared" si="347"/>
        <v>0</v>
      </c>
      <c r="W2038" s="7">
        <f t="shared" si="348"/>
        <v>0</v>
      </c>
      <c r="X2038" s="7">
        <f t="shared" si="349"/>
        <v>0</v>
      </c>
    </row>
    <row r="2039" spans="1:24">
      <c r="A2039">
        <v>2038</v>
      </c>
      <c r="B2039" s="96" t="s">
        <v>1565</v>
      </c>
      <c r="C2039" s="95">
        <v>42806</v>
      </c>
      <c r="D2039" s="82">
        <v>11885000</v>
      </c>
      <c r="E2039" s="82">
        <v>11875000</v>
      </c>
      <c r="F2039" s="82">
        <v>12108000</v>
      </c>
      <c r="G2039" s="82">
        <v>12100000</v>
      </c>
      <c r="I2039" s="97">
        <v>0</v>
      </c>
      <c r="J2039" s="97">
        <v>0</v>
      </c>
      <c r="K2039" s="97">
        <v>0</v>
      </c>
      <c r="M2039" s="7">
        <f t="shared" si="342"/>
        <v>0</v>
      </c>
      <c r="N2039" s="7">
        <f t="shared" si="351"/>
        <v>0</v>
      </c>
      <c r="O2039" s="7">
        <f t="shared" si="350"/>
        <v>209000</v>
      </c>
      <c r="P2039" s="99">
        <f t="shared" si="343"/>
        <v>1.757631822386679E-2</v>
      </c>
      <c r="Q2039" s="99">
        <f t="shared" si="352"/>
        <v>-1.0048939595225511E-2</v>
      </c>
      <c r="S2039" s="7">
        <f t="shared" si="344"/>
        <v>13310000.000000002</v>
      </c>
      <c r="T2039" s="7">
        <f t="shared" si="345"/>
        <v>4033333.3333333335</v>
      </c>
      <c r="U2039" s="7">
        <f t="shared" si="346"/>
        <v>14775000</v>
      </c>
      <c r="V2039" s="7">
        <f t="shared" si="347"/>
        <v>0</v>
      </c>
      <c r="W2039" s="7">
        <f t="shared" si="348"/>
        <v>0</v>
      </c>
      <c r="X2039" s="7">
        <f t="shared" si="349"/>
        <v>0</v>
      </c>
    </row>
    <row r="2040" spans="1:24">
      <c r="A2040">
        <v>2039</v>
      </c>
      <c r="B2040" s="96" t="s">
        <v>1564</v>
      </c>
      <c r="C2040" s="95">
        <v>42807</v>
      </c>
      <c r="D2040" s="82">
        <v>12050000</v>
      </c>
      <c r="E2040" s="82">
        <v>11908000</v>
      </c>
      <c r="F2040" s="82">
        <v>12213000</v>
      </c>
      <c r="G2040" s="82">
        <v>11983000</v>
      </c>
      <c r="I2040" s="97">
        <v>0</v>
      </c>
      <c r="J2040" s="97">
        <v>0</v>
      </c>
      <c r="K2040" s="97">
        <v>0</v>
      </c>
      <c r="M2040" s="7">
        <f t="shared" si="342"/>
        <v>0</v>
      </c>
      <c r="N2040" s="7">
        <f t="shared" si="351"/>
        <v>0</v>
      </c>
      <c r="O2040" s="7">
        <f t="shared" si="350"/>
        <v>-117000</v>
      </c>
      <c r="P2040" s="99">
        <f t="shared" si="343"/>
        <v>-9.6694214876033059E-3</v>
      </c>
      <c r="Q2040" s="99">
        <f t="shared" si="352"/>
        <v>7.2776283788910309E-3</v>
      </c>
      <c r="S2040" s="7">
        <f t="shared" si="344"/>
        <v>13181300.000000002</v>
      </c>
      <c r="T2040" s="7">
        <f t="shared" si="345"/>
        <v>3994333.3333333335</v>
      </c>
      <c r="U2040" s="7">
        <f t="shared" si="346"/>
        <v>14890000</v>
      </c>
      <c r="V2040" s="7">
        <f t="shared" si="347"/>
        <v>0</v>
      </c>
      <c r="W2040" s="7">
        <f t="shared" si="348"/>
        <v>0</v>
      </c>
      <c r="X2040" s="7">
        <f t="shared" si="349"/>
        <v>0</v>
      </c>
    </row>
    <row r="2041" spans="1:24">
      <c r="A2041">
        <v>2040</v>
      </c>
      <c r="B2041" s="96" t="s">
        <v>1563</v>
      </c>
      <c r="C2041" s="95">
        <v>42808</v>
      </c>
      <c r="D2041" s="82">
        <v>11973000</v>
      </c>
      <c r="E2041" s="82">
        <v>11870000</v>
      </c>
      <c r="F2041" s="82">
        <v>12233000</v>
      </c>
      <c r="G2041" s="82">
        <v>11880000</v>
      </c>
      <c r="I2041" s="98">
        <v>0</v>
      </c>
      <c r="J2041" s="98">
        <v>0</v>
      </c>
      <c r="K2041" s="98">
        <v>0</v>
      </c>
      <c r="M2041" s="7">
        <f t="shared" si="342"/>
        <v>0</v>
      </c>
      <c r="N2041" s="7">
        <f t="shared" si="351"/>
        <v>0</v>
      </c>
      <c r="O2041" s="7">
        <f t="shared" si="350"/>
        <v>-103000</v>
      </c>
      <c r="P2041" s="99">
        <f t="shared" si="343"/>
        <v>-8.5955103062672119E-3</v>
      </c>
      <c r="Q2041" s="99">
        <f t="shared" si="352"/>
        <v>-7.2720717446341995E-4</v>
      </c>
      <c r="S2041" s="7">
        <f t="shared" si="344"/>
        <v>13068000.000000002</v>
      </c>
      <c r="T2041" s="7">
        <f t="shared" si="345"/>
        <v>3960000</v>
      </c>
      <c r="U2041" s="7">
        <f t="shared" si="346"/>
        <v>14770000</v>
      </c>
      <c r="V2041" s="7">
        <f t="shared" si="347"/>
        <v>0</v>
      </c>
      <c r="W2041" s="7">
        <f t="shared" si="348"/>
        <v>0</v>
      </c>
      <c r="X2041" s="7">
        <f t="shared" si="349"/>
        <v>0</v>
      </c>
    </row>
    <row r="2042" spans="1:24">
      <c r="A2042">
        <v>2041</v>
      </c>
      <c r="B2042" s="96" t="s">
        <v>1562</v>
      </c>
      <c r="C2042" s="95">
        <v>42809</v>
      </c>
      <c r="D2042" s="82">
        <v>11890000</v>
      </c>
      <c r="E2042" s="82">
        <v>11835000</v>
      </c>
      <c r="F2042" s="82">
        <v>11910000</v>
      </c>
      <c r="G2042" s="82">
        <v>11885000</v>
      </c>
      <c r="I2042" s="82">
        <f>G2042*1.1</f>
        <v>13073500.000000002</v>
      </c>
      <c r="J2042" s="82">
        <f>G2042/3</f>
        <v>3961666.6666666665</v>
      </c>
      <c r="K2042" s="7">
        <f>G2310</f>
        <v>14875000</v>
      </c>
      <c r="L2042" s="7">
        <f>K2042-I2042</f>
        <v>1801499.9999999981</v>
      </c>
      <c r="M2042" s="7">
        <f t="shared" si="342"/>
        <v>495208.33333333326</v>
      </c>
      <c r="N2042" s="7">
        <f t="shared" si="351"/>
        <v>2296708.3333333312</v>
      </c>
      <c r="O2042" s="7">
        <f t="shared" si="350"/>
        <v>5000</v>
      </c>
      <c r="P2042" s="99">
        <f t="shared" si="343"/>
        <v>4.2087542087542086E-4</v>
      </c>
      <c r="Q2042" s="99">
        <f t="shared" si="352"/>
        <v>4.3134671268328824E-4</v>
      </c>
      <c r="R2042">
        <v>1</v>
      </c>
      <c r="S2042" s="7">
        <f t="shared" si="344"/>
        <v>13073500.000000002</v>
      </c>
      <c r="T2042" s="7">
        <f t="shared" si="345"/>
        <v>3961666.6666666665</v>
      </c>
      <c r="U2042" s="7">
        <f t="shared" si="346"/>
        <v>14875000</v>
      </c>
      <c r="V2042" s="7">
        <f t="shared" si="347"/>
        <v>1801499.9999999981</v>
      </c>
      <c r="W2042" s="7">
        <f t="shared" si="348"/>
        <v>495208.33333333326</v>
      </c>
      <c r="X2042" s="7">
        <f t="shared" si="349"/>
        <v>2296708.3333333312</v>
      </c>
    </row>
    <row r="2043" spans="1:24">
      <c r="A2043">
        <v>2042</v>
      </c>
      <c r="B2043" s="96" t="s">
        <v>1561</v>
      </c>
      <c r="C2043" s="95">
        <v>42810</v>
      </c>
      <c r="D2043" s="82">
        <v>11925000</v>
      </c>
      <c r="E2043" s="82">
        <v>11925000</v>
      </c>
      <c r="F2043" s="82">
        <v>11982000</v>
      </c>
      <c r="G2043" s="82">
        <v>11952000</v>
      </c>
      <c r="I2043" s="97">
        <v>0</v>
      </c>
      <c r="J2043" s="97">
        <v>0</v>
      </c>
      <c r="K2043" s="97">
        <v>0</v>
      </c>
      <c r="M2043" s="7">
        <f t="shared" si="342"/>
        <v>0</v>
      </c>
      <c r="N2043" s="7">
        <f t="shared" si="351"/>
        <v>0</v>
      </c>
      <c r="O2043" s="7">
        <f t="shared" si="350"/>
        <v>67000</v>
      </c>
      <c r="P2043" s="99">
        <f t="shared" si="343"/>
        <v>5.6373580143037443E-3</v>
      </c>
      <c r="Q2043" s="99">
        <f t="shared" si="352"/>
        <v>-4.7884581156414918E-3</v>
      </c>
      <c r="S2043" s="7">
        <f t="shared" si="344"/>
        <v>13147200.000000002</v>
      </c>
      <c r="T2043" s="7">
        <f t="shared" si="345"/>
        <v>3984000</v>
      </c>
      <c r="U2043" s="7">
        <f t="shared" si="346"/>
        <v>15035000</v>
      </c>
      <c r="V2043" s="7">
        <f t="shared" si="347"/>
        <v>0</v>
      </c>
      <c r="W2043" s="7">
        <f t="shared" si="348"/>
        <v>0</v>
      </c>
      <c r="X2043" s="7">
        <f t="shared" si="349"/>
        <v>0</v>
      </c>
    </row>
    <row r="2044" spans="1:24">
      <c r="A2044">
        <v>2043</v>
      </c>
      <c r="B2044" s="96" t="s">
        <v>1560</v>
      </c>
      <c r="C2044" s="95">
        <v>42812</v>
      </c>
      <c r="D2044" s="82">
        <v>11967000</v>
      </c>
      <c r="E2044" s="82">
        <v>11925000</v>
      </c>
      <c r="F2044" s="82">
        <v>11973000</v>
      </c>
      <c r="G2044" s="82">
        <v>11968000</v>
      </c>
      <c r="I2044" s="97">
        <v>0</v>
      </c>
      <c r="J2044" s="97">
        <v>0</v>
      </c>
      <c r="K2044" s="97">
        <v>0</v>
      </c>
      <c r="M2044" s="7">
        <f t="shared" si="342"/>
        <v>0</v>
      </c>
      <c r="N2044" s="7">
        <f t="shared" si="351"/>
        <v>0</v>
      </c>
      <c r="O2044" s="7">
        <f t="shared" si="350"/>
        <v>16000</v>
      </c>
      <c r="P2044" s="99">
        <f t="shared" si="343"/>
        <v>1.3386880856760374E-3</v>
      </c>
      <c r="Q2044" s="99">
        <f t="shared" si="352"/>
        <v>5.3696198651754373E-3</v>
      </c>
      <c r="S2044" s="7">
        <f t="shared" si="344"/>
        <v>13164800.000000002</v>
      </c>
      <c r="T2044" s="7">
        <f t="shared" si="345"/>
        <v>3989333.3333333335</v>
      </c>
      <c r="U2044" s="7">
        <f t="shared" si="346"/>
        <v>14915000</v>
      </c>
      <c r="V2044" s="7">
        <f t="shared" si="347"/>
        <v>0</v>
      </c>
      <c r="W2044" s="7">
        <f t="shared" si="348"/>
        <v>0</v>
      </c>
      <c r="X2044" s="7">
        <f t="shared" si="349"/>
        <v>0</v>
      </c>
    </row>
    <row r="2045" spans="1:24">
      <c r="A2045">
        <v>2044</v>
      </c>
      <c r="B2045" s="96" t="s">
        <v>1559</v>
      </c>
      <c r="C2045" s="95">
        <v>42815</v>
      </c>
      <c r="D2045" s="82">
        <v>12008000</v>
      </c>
      <c r="E2045" s="82">
        <v>11993000</v>
      </c>
      <c r="F2045" s="82">
        <v>12008000</v>
      </c>
      <c r="G2045" s="82">
        <v>12008000</v>
      </c>
      <c r="I2045" s="97">
        <v>0</v>
      </c>
      <c r="J2045" s="97">
        <v>0</v>
      </c>
      <c r="K2045" s="97">
        <v>0</v>
      </c>
      <c r="M2045" s="7">
        <f t="shared" si="342"/>
        <v>0</v>
      </c>
      <c r="N2045" s="7">
        <f t="shared" si="351"/>
        <v>0</v>
      </c>
      <c r="O2045" s="7">
        <f t="shared" si="350"/>
        <v>40000</v>
      </c>
      <c r="P2045" s="99">
        <f t="shared" si="343"/>
        <v>3.3422459893048127E-3</v>
      </c>
      <c r="Q2045" s="99">
        <f t="shared" si="352"/>
        <v>-1.0868010273015313E-2</v>
      </c>
      <c r="S2045" s="7">
        <f t="shared" si="344"/>
        <v>13208800.000000002</v>
      </c>
      <c r="T2045" s="7">
        <f t="shared" si="345"/>
        <v>4002666.6666666665</v>
      </c>
      <c r="U2045" s="7">
        <f t="shared" si="346"/>
        <v>15095000</v>
      </c>
      <c r="V2045" s="7">
        <f t="shared" si="347"/>
        <v>0</v>
      </c>
      <c r="W2045" s="7">
        <f t="shared" si="348"/>
        <v>0</v>
      </c>
      <c r="X2045" s="7">
        <f t="shared" si="349"/>
        <v>0</v>
      </c>
    </row>
    <row r="2046" spans="1:24">
      <c r="A2046">
        <v>2045</v>
      </c>
      <c r="B2046" s="96" t="s">
        <v>1558</v>
      </c>
      <c r="C2046" s="95">
        <v>42820</v>
      </c>
      <c r="D2046" s="82">
        <v>12010000</v>
      </c>
      <c r="E2046" s="82">
        <v>11965000</v>
      </c>
      <c r="F2046" s="82">
        <v>12010000</v>
      </c>
      <c r="G2046" s="82">
        <v>12010000</v>
      </c>
      <c r="I2046" s="98">
        <v>0</v>
      </c>
      <c r="J2046" s="98">
        <v>0</v>
      </c>
      <c r="K2046" s="98">
        <v>0</v>
      </c>
      <c r="M2046" s="7">
        <f t="shared" si="342"/>
        <v>0</v>
      </c>
      <c r="N2046" s="7">
        <f t="shared" si="351"/>
        <v>0</v>
      </c>
      <c r="O2046" s="7">
        <f t="shared" si="350"/>
        <v>2000</v>
      </c>
      <c r="P2046" s="99">
        <f t="shared" si="343"/>
        <v>1.6655562958027982E-4</v>
      </c>
      <c r="Q2046" s="99">
        <f t="shared" si="352"/>
        <v>2.143657203892803E-3</v>
      </c>
      <c r="S2046" s="7">
        <f t="shared" si="344"/>
        <v>13211000.000000002</v>
      </c>
      <c r="T2046" s="7">
        <f t="shared" si="345"/>
        <v>4003333.3333333335</v>
      </c>
      <c r="U2046" s="7">
        <f t="shared" si="346"/>
        <v>15195000</v>
      </c>
      <c r="V2046" s="7">
        <f t="shared" si="347"/>
        <v>0</v>
      </c>
      <c r="W2046" s="7">
        <f t="shared" si="348"/>
        <v>0</v>
      </c>
      <c r="X2046" s="7">
        <f t="shared" si="349"/>
        <v>0</v>
      </c>
    </row>
    <row r="2047" spans="1:24">
      <c r="A2047">
        <v>2046</v>
      </c>
      <c r="B2047" s="96" t="s">
        <v>1557</v>
      </c>
      <c r="C2047" s="95">
        <v>42821</v>
      </c>
      <c r="D2047" s="82">
        <v>12005000</v>
      </c>
      <c r="E2047" s="82">
        <v>12005000</v>
      </c>
      <c r="F2047" s="82">
        <v>12090000</v>
      </c>
      <c r="G2047" s="82">
        <v>12052000</v>
      </c>
      <c r="I2047" s="82">
        <f>G2047*1.1</f>
        <v>13257200.000000002</v>
      </c>
      <c r="J2047" s="82">
        <f>G2047/3</f>
        <v>4017333.3333333335</v>
      </c>
      <c r="K2047" s="7">
        <f>G2315</f>
        <v>15225000</v>
      </c>
      <c r="L2047" s="7">
        <f>K2047-I2047</f>
        <v>1967799.9999999981</v>
      </c>
      <c r="M2047" s="7">
        <f t="shared" si="342"/>
        <v>502166.66666666674</v>
      </c>
      <c r="N2047" s="7">
        <f t="shared" si="351"/>
        <v>2469966.6666666651</v>
      </c>
      <c r="O2047" s="7">
        <f t="shared" si="350"/>
        <v>42000</v>
      </c>
      <c r="P2047" s="99">
        <f t="shared" si="343"/>
        <v>3.4970857618651123E-3</v>
      </c>
      <c r="Q2047" s="99">
        <f t="shared" si="352"/>
        <v>1.0905723139740295E-2</v>
      </c>
      <c r="R2047">
        <v>1</v>
      </c>
      <c r="S2047" s="7">
        <f t="shared" si="344"/>
        <v>13257200.000000002</v>
      </c>
      <c r="T2047" s="7">
        <f t="shared" si="345"/>
        <v>4017333.3333333335</v>
      </c>
      <c r="U2047" s="7">
        <f t="shared" si="346"/>
        <v>15225000</v>
      </c>
      <c r="V2047" s="7">
        <f t="shared" si="347"/>
        <v>1967799.9999999981</v>
      </c>
      <c r="W2047" s="7">
        <f t="shared" si="348"/>
        <v>502166.66666666674</v>
      </c>
      <c r="X2047" s="7">
        <f t="shared" si="349"/>
        <v>2469966.6666666651</v>
      </c>
    </row>
    <row r="2048" spans="1:24">
      <c r="A2048">
        <v>2047</v>
      </c>
      <c r="B2048" s="96" t="s">
        <v>1556</v>
      </c>
      <c r="C2048" s="95">
        <v>42822</v>
      </c>
      <c r="D2048" s="82">
        <v>12067000</v>
      </c>
      <c r="E2048" s="82">
        <v>12065000</v>
      </c>
      <c r="F2048" s="82">
        <v>12080000</v>
      </c>
      <c r="G2048" s="82">
        <v>12077000</v>
      </c>
      <c r="I2048" s="97">
        <v>0</v>
      </c>
      <c r="J2048" s="97">
        <v>0</v>
      </c>
      <c r="K2048" s="97">
        <v>0</v>
      </c>
      <c r="M2048" s="7">
        <f t="shared" si="342"/>
        <v>0</v>
      </c>
      <c r="N2048" s="7">
        <f t="shared" si="351"/>
        <v>0</v>
      </c>
      <c r="O2048" s="7">
        <f t="shared" si="350"/>
        <v>25000</v>
      </c>
      <c r="P2048" s="99">
        <f t="shared" si="343"/>
        <v>2.074344507135745E-3</v>
      </c>
      <c r="Q2048" s="99">
        <f t="shared" si="352"/>
        <v>1.3981933480729986E-2</v>
      </c>
      <c r="S2048" s="7">
        <f t="shared" si="344"/>
        <v>13284700.000000002</v>
      </c>
      <c r="T2048" s="7">
        <f t="shared" si="345"/>
        <v>4025666.6666666665</v>
      </c>
      <c r="U2048" s="7">
        <f t="shared" si="346"/>
        <v>15225000</v>
      </c>
      <c r="V2048" s="7">
        <f t="shared" si="347"/>
        <v>0</v>
      </c>
      <c r="W2048" s="7">
        <f t="shared" si="348"/>
        <v>0</v>
      </c>
      <c r="X2048" s="7">
        <f t="shared" si="349"/>
        <v>0</v>
      </c>
    </row>
    <row r="2049" spans="1:24">
      <c r="A2049">
        <v>2048</v>
      </c>
      <c r="B2049" s="96" t="s">
        <v>1555</v>
      </c>
      <c r="C2049" s="95">
        <v>42823</v>
      </c>
      <c r="D2049" s="82">
        <v>12025000</v>
      </c>
      <c r="E2049" s="82">
        <v>12020000</v>
      </c>
      <c r="F2049" s="82">
        <v>12045000</v>
      </c>
      <c r="G2049" s="82">
        <v>12045000</v>
      </c>
      <c r="I2049" s="97">
        <v>0</v>
      </c>
      <c r="J2049" s="97">
        <v>0</v>
      </c>
      <c r="K2049" s="97">
        <v>0</v>
      </c>
      <c r="M2049" s="7">
        <f t="shared" si="342"/>
        <v>0</v>
      </c>
      <c r="N2049" s="7">
        <f t="shared" si="351"/>
        <v>0</v>
      </c>
      <c r="O2049" s="7">
        <f t="shared" si="350"/>
        <v>-32000</v>
      </c>
      <c r="P2049" s="99">
        <f t="shared" si="343"/>
        <v>-2.6496646518175044E-3</v>
      </c>
      <c r="Q2049" s="99">
        <f t="shared" si="352"/>
        <v>1.0418919973561987E-2</v>
      </c>
      <c r="S2049" s="7">
        <f t="shared" si="344"/>
        <v>13249500.000000002</v>
      </c>
      <c r="T2049" s="7">
        <f t="shared" si="345"/>
        <v>4015000</v>
      </c>
      <c r="U2049" s="7">
        <f t="shared" si="346"/>
        <v>15205000</v>
      </c>
      <c r="V2049" s="7">
        <f t="shared" si="347"/>
        <v>0</v>
      </c>
      <c r="W2049" s="7">
        <f t="shared" si="348"/>
        <v>0</v>
      </c>
      <c r="X2049" s="7">
        <f t="shared" si="349"/>
        <v>0</v>
      </c>
    </row>
    <row r="2050" spans="1:24">
      <c r="A2050">
        <v>2049</v>
      </c>
      <c r="B2050" s="96" t="s">
        <v>1554</v>
      </c>
      <c r="C2050" s="95">
        <v>42824</v>
      </c>
      <c r="D2050" s="82">
        <v>12030000</v>
      </c>
      <c r="E2050" s="82">
        <v>12015000</v>
      </c>
      <c r="F2050" s="82">
        <v>12055000</v>
      </c>
      <c r="G2050" s="82">
        <v>12045000</v>
      </c>
      <c r="I2050" s="97">
        <v>0</v>
      </c>
      <c r="J2050" s="97">
        <v>0</v>
      </c>
      <c r="K2050" s="97">
        <v>0</v>
      </c>
      <c r="M2050" s="7">
        <f t="shared" ref="M2050:M2113" si="353">J2050*$AI$6/200</f>
        <v>0</v>
      </c>
      <c r="N2050" s="7">
        <f t="shared" si="351"/>
        <v>0</v>
      </c>
      <c r="O2050" s="7">
        <f t="shared" si="350"/>
        <v>0</v>
      </c>
      <c r="P2050" s="99">
        <f t="shared" si="343"/>
        <v>0</v>
      </c>
      <c r="Q2050" s="99">
        <f t="shared" si="352"/>
        <v>6.4305672360684459E-3</v>
      </c>
      <c r="S2050" s="7">
        <f t="shared" si="344"/>
        <v>13249500.000000002</v>
      </c>
      <c r="T2050" s="7">
        <f t="shared" si="345"/>
        <v>4015000</v>
      </c>
      <c r="U2050" s="7">
        <f t="shared" si="346"/>
        <v>15250000</v>
      </c>
      <c r="V2050" s="7">
        <f t="shared" si="347"/>
        <v>0</v>
      </c>
      <c r="W2050" s="7">
        <f t="shared" si="348"/>
        <v>0</v>
      </c>
      <c r="X2050" s="7">
        <f t="shared" si="349"/>
        <v>0</v>
      </c>
    </row>
    <row r="2051" spans="1:24">
      <c r="A2051">
        <v>2050</v>
      </c>
      <c r="B2051" s="96" t="s">
        <v>1553</v>
      </c>
      <c r="C2051" s="95">
        <v>42826</v>
      </c>
      <c r="D2051" s="82">
        <v>12035000</v>
      </c>
      <c r="E2051" s="82">
        <v>12035000</v>
      </c>
      <c r="F2051" s="82">
        <v>12035000</v>
      </c>
      <c r="G2051" s="82">
        <v>12035000</v>
      </c>
      <c r="I2051" s="98">
        <v>0</v>
      </c>
      <c r="J2051" s="98">
        <v>0</v>
      </c>
      <c r="K2051" s="98">
        <v>0</v>
      </c>
      <c r="M2051" s="7">
        <f t="shared" si="353"/>
        <v>0</v>
      </c>
      <c r="N2051" s="7">
        <f t="shared" si="351"/>
        <v>0</v>
      </c>
      <c r="O2051" s="7">
        <f t="shared" si="350"/>
        <v>-10000</v>
      </c>
      <c r="P2051" s="99">
        <f t="shared" ref="P2051:P2114" si="354">O2051/G2050</f>
        <v>-8.3022000830220008E-4</v>
      </c>
      <c r="Q2051" s="99">
        <f t="shared" si="352"/>
        <v>3.0883212467636332E-3</v>
      </c>
      <c r="S2051" s="7">
        <f t="shared" ref="S2051:S2114" si="355">G2051*1.1</f>
        <v>13238500.000000002</v>
      </c>
      <c r="T2051" s="7">
        <f t="shared" ref="T2051:T2114" si="356">G2051/3</f>
        <v>4011666.6666666665</v>
      </c>
      <c r="U2051" s="7">
        <f t="shared" ref="U2051:U2114" si="357">G2319</f>
        <v>15425000</v>
      </c>
      <c r="V2051" s="7">
        <f t="shared" ref="V2051:V2114" si="358">(U2051-S2051)*R2051</f>
        <v>0</v>
      </c>
      <c r="W2051" s="7">
        <f t="shared" ref="W2051:W2114" si="359">(T2051*$AI$6/200)*R2051</f>
        <v>0</v>
      </c>
      <c r="X2051" s="7">
        <f t="shared" ref="X2051:X2114" si="360">V2051+W2051</f>
        <v>0</v>
      </c>
    </row>
    <row r="2052" spans="1:24">
      <c r="A2052">
        <v>2051</v>
      </c>
      <c r="B2052" s="96" t="s">
        <v>1552</v>
      </c>
      <c r="C2052" s="95">
        <v>42828</v>
      </c>
      <c r="D2052" s="82">
        <v>12040000</v>
      </c>
      <c r="E2052" s="82">
        <v>11985000</v>
      </c>
      <c r="F2052" s="82">
        <v>12040000</v>
      </c>
      <c r="G2052" s="82">
        <v>12040000</v>
      </c>
      <c r="I2052" s="82">
        <f>G2052*1.1</f>
        <v>13244000.000000002</v>
      </c>
      <c r="J2052" s="82">
        <f>G2052/3</f>
        <v>4013333.3333333335</v>
      </c>
      <c r="K2052" s="7">
        <f>G2320</f>
        <v>15440000</v>
      </c>
      <c r="L2052" s="7">
        <f>K2052-I2052</f>
        <v>2195999.9999999981</v>
      </c>
      <c r="M2052" s="7">
        <f t="shared" si="353"/>
        <v>501666.66666666674</v>
      </c>
      <c r="N2052" s="7">
        <f t="shared" si="351"/>
        <v>2697666.6666666651</v>
      </c>
      <c r="O2052" s="7">
        <f t="shared" ref="O2052:O2115" si="361">G2052-G2051</f>
        <v>5000</v>
      </c>
      <c r="P2052" s="99">
        <f t="shared" si="354"/>
        <v>4.1545492314083921E-4</v>
      </c>
      <c r="Q2052" s="99">
        <f t="shared" si="352"/>
        <v>2.0915456088811523E-3</v>
      </c>
      <c r="R2052">
        <v>1</v>
      </c>
      <c r="S2052" s="7">
        <f t="shared" si="355"/>
        <v>13244000.000000002</v>
      </c>
      <c r="T2052" s="7">
        <f t="shared" si="356"/>
        <v>4013333.3333333335</v>
      </c>
      <c r="U2052" s="7">
        <f t="shared" si="357"/>
        <v>15440000</v>
      </c>
      <c r="V2052" s="7">
        <f t="shared" si="358"/>
        <v>2195999.9999999981</v>
      </c>
      <c r="W2052" s="7">
        <f t="shared" si="359"/>
        <v>501666.66666666674</v>
      </c>
      <c r="X2052" s="7">
        <f t="shared" si="360"/>
        <v>2697666.6666666651</v>
      </c>
    </row>
    <row r="2053" spans="1:24">
      <c r="A2053">
        <v>2052</v>
      </c>
      <c r="B2053" s="96" t="s">
        <v>1551</v>
      </c>
      <c r="C2053" s="95">
        <v>42829</v>
      </c>
      <c r="D2053" s="82">
        <v>12050000</v>
      </c>
      <c r="E2053" s="82">
        <v>12040000</v>
      </c>
      <c r="F2053" s="82">
        <v>12110000</v>
      </c>
      <c r="G2053" s="82">
        <v>12085000</v>
      </c>
      <c r="I2053" s="97">
        <v>0</v>
      </c>
      <c r="J2053" s="97">
        <v>0</v>
      </c>
      <c r="K2053" s="97">
        <v>0</v>
      </c>
      <c r="M2053" s="7">
        <f t="shared" si="353"/>
        <v>0</v>
      </c>
      <c r="N2053" s="7">
        <f t="shared" si="351"/>
        <v>0</v>
      </c>
      <c r="O2053" s="7">
        <f t="shared" si="361"/>
        <v>45000</v>
      </c>
      <c r="P2053" s="99">
        <f t="shared" si="354"/>
        <v>3.7375415282392029E-3</v>
      </c>
      <c r="Q2053" s="99">
        <f t="shared" si="352"/>
        <v>-9.9008522984312037E-4</v>
      </c>
      <c r="S2053" s="7">
        <f t="shared" si="355"/>
        <v>13293500.000000002</v>
      </c>
      <c r="T2053" s="7">
        <f t="shared" si="356"/>
        <v>4028333.3333333335</v>
      </c>
      <c r="U2053" s="7">
        <f t="shared" si="357"/>
        <v>15740000</v>
      </c>
      <c r="V2053" s="7">
        <f t="shared" si="358"/>
        <v>0</v>
      </c>
      <c r="W2053" s="7">
        <f t="shared" si="359"/>
        <v>0</v>
      </c>
      <c r="X2053" s="7">
        <f t="shared" si="360"/>
        <v>0</v>
      </c>
    </row>
    <row r="2054" spans="1:24">
      <c r="A2054">
        <v>2053</v>
      </c>
      <c r="B2054" s="96" t="s">
        <v>1550</v>
      </c>
      <c r="C2054" s="95">
        <v>42830</v>
      </c>
      <c r="D2054" s="82">
        <v>12090000</v>
      </c>
      <c r="E2054" s="82">
        <v>12010000</v>
      </c>
      <c r="F2054" s="82">
        <v>12120000</v>
      </c>
      <c r="G2054" s="82">
        <v>12100000</v>
      </c>
      <c r="I2054" s="97">
        <v>0</v>
      </c>
      <c r="J2054" s="97">
        <v>0</v>
      </c>
      <c r="K2054" s="97">
        <v>0</v>
      </c>
      <c r="M2054" s="7">
        <f t="shared" si="353"/>
        <v>0</v>
      </c>
      <c r="N2054" s="7">
        <f t="shared" si="351"/>
        <v>0</v>
      </c>
      <c r="O2054" s="7">
        <f t="shared" si="361"/>
        <v>15000</v>
      </c>
      <c r="P2054" s="99">
        <f t="shared" si="354"/>
        <v>1.2412081092263137E-3</v>
      </c>
      <c r="Q2054" s="99">
        <f t="shared" si="352"/>
        <v>6.7311179126033774E-4</v>
      </c>
      <c r="S2054" s="7">
        <f t="shared" si="355"/>
        <v>13310000.000000002</v>
      </c>
      <c r="T2054" s="7">
        <f t="shared" si="356"/>
        <v>4033333.3333333335</v>
      </c>
      <c r="U2054" s="7">
        <f t="shared" si="357"/>
        <v>15905000</v>
      </c>
      <c r="V2054" s="7">
        <f t="shared" si="358"/>
        <v>0</v>
      </c>
      <c r="W2054" s="7">
        <f t="shared" si="359"/>
        <v>0</v>
      </c>
      <c r="X2054" s="7">
        <f t="shared" si="360"/>
        <v>0</v>
      </c>
    </row>
    <row r="2055" spans="1:24">
      <c r="A2055">
        <v>2054</v>
      </c>
      <c r="B2055" s="96" t="s">
        <v>1549</v>
      </c>
      <c r="C2055" s="95">
        <v>42831</v>
      </c>
      <c r="D2055" s="82">
        <v>12095000</v>
      </c>
      <c r="E2055" s="82">
        <v>12080000</v>
      </c>
      <c r="F2055" s="82">
        <v>12125000</v>
      </c>
      <c r="G2055" s="82">
        <v>12095000</v>
      </c>
      <c r="I2055" s="97">
        <v>0</v>
      </c>
      <c r="J2055" s="97">
        <v>0</v>
      </c>
      <c r="K2055" s="97">
        <v>0</v>
      </c>
      <c r="M2055" s="7">
        <f t="shared" si="353"/>
        <v>0</v>
      </c>
      <c r="N2055" s="7">
        <f t="shared" si="351"/>
        <v>0</v>
      </c>
      <c r="O2055" s="7">
        <f t="shared" si="361"/>
        <v>-5000</v>
      </c>
      <c r="P2055" s="99">
        <f t="shared" si="354"/>
        <v>-4.1322314049586776E-4</v>
      </c>
      <c r="Q2055" s="99">
        <f t="shared" si="352"/>
        <v>4.5639845523041556E-3</v>
      </c>
      <c r="S2055" s="7">
        <f t="shared" si="355"/>
        <v>13304500.000000002</v>
      </c>
      <c r="T2055" s="7">
        <f t="shared" si="356"/>
        <v>4031666.6666666665</v>
      </c>
      <c r="U2055" s="7">
        <f t="shared" si="357"/>
        <v>15775000</v>
      </c>
      <c r="V2055" s="7">
        <f t="shared" si="358"/>
        <v>0</v>
      </c>
      <c r="W2055" s="7">
        <f t="shared" si="359"/>
        <v>0</v>
      </c>
      <c r="X2055" s="7">
        <f t="shared" si="360"/>
        <v>0</v>
      </c>
    </row>
    <row r="2056" spans="1:24">
      <c r="A2056">
        <v>2055</v>
      </c>
      <c r="B2056" s="96" t="s">
        <v>1548</v>
      </c>
      <c r="C2056" s="95">
        <v>42833</v>
      </c>
      <c r="D2056" s="82">
        <v>12115000</v>
      </c>
      <c r="E2056" s="82">
        <v>12005000</v>
      </c>
      <c r="F2056" s="82">
        <v>12115000</v>
      </c>
      <c r="G2056" s="82">
        <v>12025000</v>
      </c>
      <c r="I2056" s="98">
        <v>0</v>
      </c>
      <c r="J2056" s="98">
        <v>0</v>
      </c>
      <c r="K2056" s="98">
        <v>0</v>
      </c>
      <c r="M2056" s="7">
        <f t="shared" si="353"/>
        <v>0</v>
      </c>
      <c r="N2056" s="7">
        <f t="shared" ref="N2056:N2119" si="362">L2056+M2056</f>
        <v>0</v>
      </c>
      <c r="O2056" s="7">
        <f t="shared" si="361"/>
        <v>-70000</v>
      </c>
      <c r="P2056" s="99">
        <f t="shared" si="354"/>
        <v>-5.7875155022736671E-3</v>
      </c>
      <c r="Q2056" s="99">
        <f t="shared" ref="Q2056:Q2119" si="363">SUM(P2051:P2055)</f>
        <v>4.1507614118082882E-3</v>
      </c>
      <c r="S2056" s="7">
        <f t="shared" si="355"/>
        <v>13227500.000000002</v>
      </c>
      <c r="T2056" s="7">
        <f t="shared" si="356"/>
        <v>4008333.3333333335</v>
      </c>
      <c r="U2056" s="7">
        <f t="shared" si="357"/>
        <v>15155000</v>
      </c>
      <c r="V2056" s="7">
        <f t="shared" si="358"/>
        <v>0</v>
      </c>
      <c r="W2056" s="7">
        <f t="shared" si="359"/>
        <v>0</v>
      </c>
      <c r="X2056" s="7">
        <f t="shared" si="360"/>
        <v>0</v>
      </c>
    </row>
    <row r="2057" spans="1:24">
      <c r="A2057">
        <v>2056</v>
      </c>
      <c r="B2057" s="96" t="s">
        <v>1547</v>
      </c>
      <c r="C2057" s="95">
        <v>42834</v>
      </c>
      <c r="D2057" s="82">
        <v>12020000</v>
      </c>
      <c r="E2057" s="82">
        <v>12009000</v>
      </c>
      <c r="F2057" s="82">
        <v>12050000</v>
      </c>
      <c r="G2057" s="82">
        <v>12014500</v>
      </c>
      <c r="I2057" s="82">
        <f>G2057*1.1</f>
        <v>13215950.000000002</v>
      </c>
      <c r="J2057" s="82">
        <f>G2057/3</f>
        <v>4004833.3333333335</v>
      </c>
      <c r="K2057" s="7">
        <f>G2325</f>
        <v>15017500</v>
      </c>
      <c r="L2057" s="7">
        <f>K2057-I2057</f>
        <v>1801549.9999999981</v>
      </c>
      <c r="M2057" s="7">
        <f t="shared" si="353"/>
        <v>500604.16666666674</v>
      </c>
      <c r="N2057" s="7">
        <f t="shared" si="362"/>
        <v>2302154.1666666651</v>
      </c>
      <c r="O2057" s="7">
        <f t="shared" si="361"/>
        <v>-10500</v>
      </c>
      <c r="P2057" s="99">
        <f t="shared" si="354"/>
        <v>-8.7318087318087319E-4</v>
      </c>
      <c r="Q2057" s="99">
        <f t="shared" si="363"/>
        <v>-8.0653408216317928E-4</v>
      </c>
      <c r="R2057">
        <v>1</v>
      </c>
      <c r="S2057" s="7">
        <f t="shared" si="355"/>
        <v>13215950.000000002</v>
      </c>
      <c r="T2057" s="7">
        <f t="shared" si="356"/>
        <v>4004833.3333333335</v>
      </c>
      <c r="U2057" s="7">
        <f t="shared" si="357"/>
        <v>15017500</v>
      </c>
      <c r="V2057" s="7">
        <f t="shared" si="358"/>
        <v>1801549.9999999981</v>
      </c>
      <c r="W2057" s="7">
        <f t="shared" si="359"/>
        <v>500604.16666666674</v>
      </c>
      <c r="X2057" s="7">
        <f t="shared" si="360"/>
        <v>2302154.1666666651</v>
      </c>
    </row>
    <row r="2058" spans="1:24">
      <c r="A2058">
        <v>2057</v>
      </c>
      <c r="B2058" s="96" t="s">
        <v>1546</v>
      </c>
      <c r="C2058" s="95">
        <v>42835</v>
      </c>
      <c r="D2058" s="82">
        <v>12015000</v>
      </c>
      <c r="E2058" s="82">
        <v>11987500</v>
      </c>
      <c r="F2058" s="82">
        <v>12026500</v>
      </c>
      <c r="G2058" s="82">
        <v>12000000</v>
      </c>
      <c r="I2058" s="97">
        <v>0</v>
      </c>
      <c r="J2058" s="97">
        <v>0</v>
      </c>
      <c r="K2058" s="97">
        <v>0</v>
      </c>
      <c r="M2058" s="7">
        <f t="shared" si="353"/>
        <v>0</v>
      </c>
      <c r="N2058" s="7">
        <f t="shared" si="362"/>
        <v>0</v>
      </c>
      <c r="O2058" s="7">
        <f t="shared" si="361"/>
        <v>-14500</v>
      </c>
      <c r="P2058" s="99">
        <f t="shared" si="354"/>
        <v>-1.2068750260102376E-3</v>
      </c>
      <c r="Q2058" s="99">
        <f t="shared" si="363"/>
        <v>-2.0951698784848916E-3</v>
      </c>
      <c r="S2058" s="7">
        <f t="shared" si="355"/>
        <v>13200000.000000002</v>
      </c>
      <c r="T2058" s="7">
        <f t="shared" si="356"/>
        <v>4000000</v>
      </c>
      <c r="U2058" s="7">
        <f t="shared" si="357"/>
        <v>14862500</v>
      </c>
      <c r="V2058" s="7">
        <f t="shared" si="358"/>
        <v>0</v>
      </c>
      <c r="W2058" s="7">
        <f t="shared" si="359"/>
        <v>0</v>
      </c>
      <c r="X2058" s="7">
        <f t="shared" si="360"/>
        <v>0</v>
      </c>
    </row>
    <row r="2059" spans="1:24">
      <c r="A2059">
        <v>2058</v>
      </c>
      <c r="B2059" s="96" t="s">
        <v>1545</v>
      </c>
      <c r="C2059" s="95">
        <v>42836</v>
      </c>
      <c r="D2059" s="82">
        <v>11997500</v>
      </c>
      <c r="E2059" s="82">
        <v>11997500</v>
      </c>
      <c r="F2059" s="82">
        <v>12022500</v>
      </c>
      <c r="G2059" s="82">
        <v>12012500</v>
      </c>
      <c r="I2059" s="97">
        <v>0</v>
      </c>
      <c r="J2059" s="97">
        <v>0</v>
      </c>
      <c r="K2059" s="97">
        <v>0</v>
      </c>
      <c r="M2059" s="7">
        <f t="shared" si="353"/>
        <v>0</v>
      </c>
      <c r="N2059" s="7">
        <f t="shared" si="362"/>
        <v>0</v>
      </c>
      <c r="O2059" s="7">
        <f t="shared" si="361"/>
        <v>12500</v>
      </c>
      <c r="P2059" s="99">
        <f t="shared" si="354"/>
        <v>1.0416666666666667E-3</v>
      </c>
      <c r="Q2059" s="99">
        <f t="shared" si="363"/>
        <v>-7.0395864327343323E-3</v>
      </c>
      <c r="S2059" s="7">
        <f t="shared" si="355"/>
        <v>13213750.000000002</v>
      </c>
      <c r="T2059" s="7">
        <f t="shared" si="356"/>
        <v>4004166.6666666665</v>
      </c>
      <c r="U2059" s="7">
        <f t="shared" si="357"/>
        <v>14750000</v>
      </c>
      <c r="V2059" s="7">
        <f t="shared" si="358"/>
        <v>0</v>
      </c>
      <c r="W2059" s="7">
        <f t="shared" si="359"/>
        <v>0</v>
      </c>
      <c r="X2059" s="7">
        <f t="shared" si="360"/>
        <v>0</v>
      </c>
    </row>
    <row r="2060" spans="1:24">
      <c r="A2060">
        <v>2059</v>
      </c>
      <c r="B2060" s="96" t="s">
        <v>1544</v>
      </c>
      <c r="C2060" s="95">
        <v>42837</v>
      </c>
      <c r="D2060" s="82">
        <v>12020000</v>
      </c>
      <c r="E2060" s="82">
        <v>12015000</v>
      </c>
      <c r="F2060" s="82">
        <v>12075000</v>
      </c>
      <c r="G2060" s="82">
        <v>12061500</v>
      </c>
      <c r="I2060" s="97">
        <v>0</v>
      </c>
      <c r="J2060" s="97">
        <v>0</v>
      </c>
      <c r="K2060" s="97">
        <v>0</v>
      </c>
      <c r="M2060" s="7">
        <f t="shared" si="353"/>
        <v>0</v>
      </c>
      <c r="N2060" s="7">
        <f t="shared" si="362"/>
        <v>0</v>
      </c>
      <c r="O2060" s="7">
        <f t="shared" si="361"/>
        <v>49000</v>
      </c>
      <c r="P2060" s="99">
        <f t="shared" si="354"/>
        <v>4.0790842872008327E-3</v>
      </c>
      <c r="Q2060" s="99">
        <f t="shared" si="363"/>
        <v>-7.2391278752939794E-3</v>
      </c>
      <c r="S2060" s="7">
        <f t="shared" si="355"/>
        <v>13267650.000000002</v>
      </c>
      <c r="T2060" s="7">
        <f t="shared" si="356"/>
        <v>4020500</v>
      </c>
      <c r="U2060" s="7">
        <f t="shared" si="357"/>
        <v>14799000</v>
      </c>
      <c r="V2060" s="7">
        <f t="shared" si="358"/>
        <v>0</v>
      </c>
      <c r="W2060" s="7">
        <f t="shared" si="359"/>
        <v>0</v>
      </c>
      <c r="X2060" s="7">
        <f t="shared" si="360"/>
        <v>0</v>
      </c>
    </row>
    <row r="2061" spans="1:24">
      <c r="A2061">
        <v>2060</v>
      </c>
      <c r="B2061" s="96" t="s">
        <v>1543</v>
      </c>
      <c r="C2061" s="95">
        <v>42838</v>
      </c>
      <c r="D2061" s="82">
        <v>12079000</v>
      </c>
      <c r="E2061" s="82">
        <v>12066500</v>
      </c>
      <c r="F2061" s="82">
        <v>12092500</v>
      </c>
      <c r="G2061" s="82">
        <v>12073500</v>
      </c>
      <c r="I2061" s="98">
        <v>0</v>
      </c>
      <c r="J2061" s="98">
        <v>0</v>
      </c>
      <c r="K2061" s="98">
        <v>0</v>
      </c>
      <c r="M2061" s="7">
        <f t="shared" si="353"/>
        <v>0</v>
      </c>
      <c r="N2061" s="7">
        <f t="shared" si="362"/>
        <v>0</v>
      </c>
      <c r="O2061" s="7">
        <f t="shared" si="361"/>
        <v>12000</v>
      </c>
      <c r="P2061" s="99">
        <f t="shared" si="354"/>
        <v>9.9490113170003724E-4</v>
      </c>
      <c r="Q2061" s="99">
        <f t="shared" si="363"/>
        <v>-2.7468204475972792E-3</v>
      </c>
      <c r="S2061" s="7">
        <f t="shared" si="355"/>
        <v>13280850.000000002</v>
      </c>
      <c r="T2061" s="7">
        <f t="shared" si="356"/>
        <v>4024500</v>
      </c>
      <c r="U2061" s="7">
        <f t="shared" si="357"/>
        <v>14788000</v>
      </c>
      <c r="V2061" s="7">
        <f t="shared" si="358"/>
        <v>0</v>
      </c>
      <c r="W2061" s="7">
        <f t="shared" si="359"/>
        <v>0</v>
      </c>
      <c r="X2061" s="7">
        <f t="shared" si="360"/>
        <v>0</v>
      </c>
    </row>
    <row r="2062" spans="1:24">
      <c r="A2062">
        <v>2061</v>
      </c>
      <c r="B2062" s="96" t="s">
        <v>1542</v>
      </c>
      <c r="C2062" s="95">
        <v>42840</v>
      </c>
      <c r="D2062" s="82">
        <v>12100500</v>
      </c>
      <c r="E2062" s="82">
        <v>12097500</v>
      </c>
      <c r="F2062" s="82">
        <v>12170000</v>
      </c>
      <c r="G2062" s="82">
        <v>12164000</v>
      </c>
      <c r="I2062" s="82">
        <f>G2062*1.1</f>
        <v>13380400.000000002</v>
      </c>
      <c r="J2062" s="82">
        <f>G2062/3</f>
        <v>4054666.6666666665</v>
      </c>
      <c r="K2062" s="7">
        <f>G2330</f>
        <v>15100000</v>
      </c>
      <c r="L2062" s="7">
        <f>K2062-I2062</f>
        <v>1719599.9999999981</v>
      </c>
      <c r="M2062" s="7">
        <f t="shared" si="353"/>
        <v>506833.33333333326</v>
      </c>
      <c r="N2062" s="7">
        <f t="shared" si="362"/>
        <v>2226433.3333333312</v>
      </c>
      <c r="O2062" s="7">
        <f t="shared" si="361"/>
        <v>90500</v>
      </c>
      <c r="P2062" s="99">
        <f t="shared" si="354"/>
        <v>7.4957551662732432E-3</v>
      </c>
      <c r="Q2062" s="99">
        <f t="shared" si="363"/>
        <v>4.0355961863764262E-3</v>
      </c>
      <c r="R2062">
        <v>1</v>
      </c>
      <c r="S2062" s="7">
        <f t="shared" si="355"/>
        <v>13380400.000000002</v>
      </c>
      <c r="T2062" s="7">
        <f t="shared" si="356"/>
        <v>4054666.6666666665</v>
      </c>
      <c r="U2062" s="7">
        <f t="shared" si="357"/>
        <v>15100000</v>
      </c>
      <c r="V2062" s="7">
        <f t="shared" si="358"/>
        <v>1719599.9999999981</v>
      </c>
      <c r="W2062" s="7">
        <f t="shared" si="359"/>
        <v>506833.33333333326</v>
      </c>
      <c r="X2062" s="7">
        <f t="shared" si="360"/>
        <v>2226433.3333333312</v>
      </c>
    </row>
    <row r="2063" spans="1:24">
      <c r="A2063">
        <v>2062</v>
      </c>
      <c r="B2063" s="96" t="s">
        <v>1541</v>
      </c>
      <c r="C2063" s="95">
        <v>42841</v>
      </c>
      <c r="D2063" s="82">
        <v>12161000</v>
      </c>
      <c r="E2063" s="82">
        <v>12149500</v>
      </c>
      <c r="F2063" s="82">
        <v>12236000</v>
      </c>
      <c r="G2063" s="82">
        <v>12226000</v>
      </c>
      <c r="I2063" s="97">
        <v>0</v>
      </c>
      <c r="J2063" s="97">
        <v>0</v>
      </c>
      <c r="K2063" s="97">
        <v>0</v>
      </c>
      <c r="M2063" s="7">
        <f t="shared" si="353"/>
        <v>0</v>
      </c>
      <c r="N2063" s="7">
        <f t="shared" si="362"/>
        <v>0</v>
      </c>
      <c r="O2063" s="7">
        <f t="shared" si="361"/>
        <v>62000</v>
      </c>
      <c r="P2063" s="99">
        <f t="shared" si="354"/>
        <v>5.0970075633015458E-3</v>
      </c>
      <c r="Q2063" s="99">
        <f t="shared" si="363"/>
        <v>1.2404532225830543E-2</v>
      </c>
      <c r="S2063" s="7">
        <f t="shared" si="355"/>
        <v>13448600.000000002</v>
      </c>
      <c r="T2063" s="7">
        <f t="shared" si="356"/>
        <v>4075333.3333333335</v>
      </c>
      <c r="U2063" s="7">
        <f t="shared" si="357"/>
        <v>15200000</v>
      </c>
      <c r="V2063" s="7">
        <f t="shared" si="358"/>
        <v>0</v>
      </c>
      <c r="W2063" s="7">
        <f t="shared" si="359"/>
        <v>0</v>
      </c>
      <c r="X2063" s="7">
        <f t="shared" si="360"/>
        <v>0</v>
      </c>
    </row>
    <row r="2064" spans="1:24">
      <c r="A2064">
        <v>2063</v>
      </c>
      <c r="B2064" s="96" t="s">
        <v>1540</v>
      </c>
      <c r="C2064" s="95">
        <v>42842</v>
      </c>
      <c r="D2064" s="82">
        <v>12228500</v>
      </c>
      <c r="E2064" s="82">
        <v>12196000</v>
      </c>
      <c r="F2064" s="82">
        <v>12306000</v>
      </c>
      <c r="G2064" s="82">
        <v>12279000</v>
      </c>
      <c r="I2064" s="97">
        <v>0</v>
      </c>
      <c r="J2064" s="97">
        <v>0</v>
      </c>
      <c r="K2064" s="97">
        <v>0</v>
      </c>
      <c r="M2064" s="7">
        <f t="shared" si="353"/>
        <v>0</v>
      </c>
      <c r="N2064" s="7">
        <f t="shared" si="362"/>
        <v>0</v>
      </c>
      <c r="O2064" s="7">
        <f t="shared" si="361"/>
        <v>53000</v>
      </c>
      <c r="P2064" s="99">
        <f t="shared" si="354"/>
        <v>4.3350237199411088E-3</v>
      </c>
      <c r="Q2064" s="99">
        <f t="shared" si="363"/>
        <v>1.8708414815142325E-2</v>
      </c>
      <c r="S2064" s="7">
        <f t="shared" si="355"/>
        <v>13506900.000000002</v>
      </c>
      <c r="T2064" s="7">
        <f t="shared" si="356"/>
        <v>4093000</v>
      </c>
      <c r="U2064" s="7">
        <f t="shared" si="357"/>
        <v>15370000</v>
      </c>
      <c r="V2064" s="7">
        <f t="shared" si="358"/>
        <v>0</v>
      </c>
      <c r="W2064" s="7">
        <f t="shared" si="359"/>
        <v>0</v>
      </c>
      <c r="X2064" s="7">
        <f t="shared" si="360"/>
        <v>0</v>
      </c>
    </row>
    <row r="2065" spans="1:24">
      <c r="A2065">
        <v>2064</v>
      </c>
      <c r="B2065" s="96" t="s">
        <v>1539</v>
      </c>
      <c r="C2065" s="95">
        <v>42843</v>
      </c>
      <c r="D2065" s="82">
        <v>12273500</v>
      </c>
      <c r="E2065" s="82">
        <v>12190000</v>
      </c>
      <c r="F2065" s="82">
        <v>12273500</v>
      </c>
      <c r="G2065" s="82">
        <v>12221000</v>
      </c>
      <c r="I2065" s="97">
        <v>0</v>
      </c>
      <c r="J2065" s="97">
        <v>0</v>
      </c>
      <c r="K2065" s="97">
        <v>0</v>
      </c>
      <c r="M2065" s="7">
        <f t="shared" si="353"/>
        <v>0</v>
      </c>
      <c r="N2065" s="7">
        <f t="shared" si="362"/>
        <v>0</v>
      </c>
      <c r="O2065" s="7">
        <f t="shared" si="361"/>
        <v>-58000</v>
      </c>
      <c r="P2065" s="99">
        <f t="shared" si="354"/>
        <v>-4.7235116866194311E-3</v>
      </c>
      <c r="Q2065" s="99">
        <f t="shared" si="363"/>
        <v>2.2001771868416765E-2</v>
      </c>
      <c r="S2065" s="7">
        <f t="shared" si="355"/>
        <v>13443100.000000002</v>
      </c>
      <c r="T2065" s="7">
        <f t="shared" si="356"/>
        <v>4073666.6666666665</v>
      </c>
      <c r="U2065" s="7">
        <f t="shared" si="357"/>
        <v>15416000</v>
      </c>
      <c r="V2065" s="7">
        <f t="shared" si="358"/>
        <v>0</v>
      </c>
      <c r="W2065" s="7">
        <f t="shared" si="359"/>
        <v>0</v>
      </c>
      <c r="X2065" s="7">
        <f t="shared" si="360"/>
        <v>0</v>
      </c>
    </row>
    <row r="2066" spans="1:24">
      <c r="A2066">
        <v>2065</v>
      </c>
      <c r="B2066" s="96" t="s">
        <v>1538</v>
      </c>
      <c r="C2066" s="95">
        <v>42844</v>
      </c>
      <c r="D2066" s="82">
        <v>12226000</v>
      </c>
      <c r="E2066" s="82">
        <v>12162500</v>
      </c>
      <c r="F2066" s="82">
        <v>12226000</v>
      </c>
      <c r="G2066" s="82">
        <v>12167000</v>
      </c>
      <c r="I2066" s="98">
        <v>0</v>
      </c>
      <c r="J2066" s="98">
        <v>0</v>
      </c>
      <c r="K2066" s="98">
        <v>0</v>
      </c>
      <c r="M2066" s="7">
        <f t="shared" si="353"/>
        <v>0</v>
      </c>
      <c r="N2066" s="7">
        <f t="shared" si="362"/>
        <v>0</v>
      </c>
      <c r="O2066" s="7">
        <f t="shared" si="361"/>
        <v>-54000</v>
      </c>
      <c r="P2066" s="99">
        <f t="shared" si="354"/>
        <v>-4.4186236805498734E-3</v>
      </c>
      <c r="Q2066" s="99">
        <f t="shared" si="363"/>
        <v>1.3199175894596505E-2</v>
      </c>
      <c r="S2066" s="7">
        <f t="shared" si="355"/>
        <v>13383700.000000002</v>
      </c>
      <c r="T2066" s="7">
        <f t="shared" si="356"/>
        <v>4055666.6666666665</v>
      </c>
      <c r="U2066" s="7">
        <f t="shared" si="357"/>
        <v>15550000</v>
      </c>
      <c r="V2066" s="7">
        <f t="shared" si="358"/>
        <v>0</v>
      </c>
      <c r="W2066" s="7">
        <f t="shared" si="359"/>
        <v>0</v>
      </c>
      <c r="X2066" s="7">
        <f t="shared" si="360"/>
        <v>0</v>
      </c>
    </row>
    <row r="2067" spans="1:24">
      <c r="A2067">
        <v>2066</v>
      </c>
      <c r="B2067" s="96" t="s">
        <v>1537</v>
      </c>
      <c r="C2067" s="95">
        <v>42845</v>
      </c>
      <c r="D2067" s="82">
        <v>12159000</v>
      </c>
      <c r="E2067" s="82">
        <v>12141500</v>
      </c>
      <c r="F2067" s="82">
        <v>12173500</v>
      </c>
      <c r="G2067" s="82">
        <v>12170000</v>
      </c>
      <c r="I2067" s="82">
        <f>G2067*1.1</f>
        <v>13387000.000000002</v>
      </c>
      <c r="J2067" s="82">
        <f>G2067/3</f>
        <v>4056666.6666666665</v>
      </c>
      <c r="K2067" s="7">
        <f>G2335</f>
        <v>15503000</v>
      </c>
      <c r="L2067" s="7">
        <f>K2067-I2067</f>
        <v>2115999.9999999981</v>
      </c>
      <c r="M2067" s="7">
        <f t="shared" si="353"/>
        <v>507083.33333333326</v>
      </c>
      <c r="N2067" s="7">
        <f t="shared" si="362"/>
        <v>2623083.3333333312</v>
      </c>
      <c r="O2067" s="7">
        <f t="shared" si="361"/>
        <v>3000</v>
      </c>
      <c r="P2067" s="99">
        <f t="shared" si="354"/>
        <v>2.4656858716199558E-4</v>
      </c>
      <c r="Q2067" s="99">
        <f t="shared" si="363"/>
        <v>7.7856510823465924E-3</v>
      </c>
      <c r="R2067">
        <v>1</v>
      </c>
      <c r="S2067" s="7">
        <f t="shared" si="355"/>
        <v>13387000.000000002</v>
      </c>
      <c r="T2067" s="7">
        <f t="shared" si="356"/>
        <v>4056666.6666666665</v>
      </c>
      <c r="U2067" s="7">
        <f t="shared" si="357"/>
        <v>15503000</v>
      </c>
      <c r="V2067" s="7">
        <f t="shared" si="358"/>
        <v>2115999.9999999981</v>
      </c>
      <c r="W2067" s="7">
        <f t="shared" si="359"/>
        <v>507083.33333333326</v>
      </c>
      <c r="X2067" s="7">
        <f t="shared" si="360"/>
        <v>2623083.3333333312</v>
      </c>
    </row>
    <row r="2068" spans="1:24">
      <c r="A2068">
        <v>2067</v>
      </c>
      <c r="B2068" s="96" t="s">
        <v>1536</v>
      </c>
      <c r="C2068" s="95">
        <v>42847</v>
      </c>
      <c r="D2068" s="82">
        <v>12170500</v>
      </c>
      <c r="E2068" s="82">
        <v>12165000</v>
      </c>
      <c r="F2068" s="82">
        <v>12237500</v>
      </c>
      <c r="G2068" s="82">
        <v>12230000</v>
      </c>
      <c r="I2068" s="97">
        <v>0</v>
      </c>
      <c r="J2068" s="97">
        <v>0</v>
      </c>
      <c r="K2068" s="97">
        <v>0</v>
      </c>
      <c r="M2068" s="7">
        <f t="shared" si="353"/>
        <v>0</v>
      </c>
      <c r="N2068" s="7">
        <f t="shared" si="362"/>
        <v>0</v>
      </c>
      <c r="O2068" s="7">
        <f t="shared" si="361"/>
        <v>60000</v>
      </c>
      <c r="P2068" s="99">
        <f t="shared" si="354"/>
        <v>4.9301561216105174E-3</v>
      </c>
      <c r="Q2068" s="99">
        <f t="shared" si="363"/>
        <v>5.3646450323534657E-4</v>
      </c>
      <c r="S2068" s="7">
        <f t="shared" si="355"/>
        <v>13453000.000000002</v>
      </c>
      <c r="T2068" s="7">
        <f t="shared" si="356"/>
        <v>4076666.6666666665</v>
      </c>
      <c r="U2068" s="7">
        <f t="shared" si="357"/>
        <v>15535000</v>
      </c>
      <c r="V2068" s="7">
        <f t="shared" si="358"/>
        <v>0</v>
      </c>
      <c r="W2068" s="7">
        <f t="shared" si="359"/>
        <v>0</v>
      </c>
      <c r="X2068" s="7">
        <f t="shared" si="360"/>
        <v>0</v>
      </c>
    </row>
    <row r="2069" spans="1:24">
      <c r="A2069">
        <v>2068</v>
      </c>
      <c r="B2069" s="96" t="s">
        <v>1535</v>
      </c>
      <c r="C2069" s="95">
        <v>42848</v>
      </c>
      <c r="D2069" s="82">
        <v>12235000</v>
      </c>
      <c r="E2069" s="82">
        <v>12221500</v>
      </c>
      <c r="F2069" s="82">
        <v>12266000</v>
      </c>
      <c r="G2069" s="82">
        <v>12250000</v>
      </c>
      <c r="I2069" s="97">
        <v>0</v>
      </c>
      <c r="J2069" s="97">
        <v>0</v>
      </c>
      <c r="K2069" s="97">
        <v>0</v>
      </c>
      <c r="M2069" s="7">
        <f t="shared" si="353"/>
        <v>0</v>
      </c>
      <c r="N2069" s="7">
        <f t="shared" si="362"/>
        <v>0</v>
      </c>
      <c r="O2069" s="7">
        <f t="shared" si="361"/>
        <v>20000</v>
      </c>
      <c r="P2069" s="99">
        <f t="shared" si="354"/>
        <v>1.6353229762878169E-3</v>
      </c>
      <c r="Q2069" s="99">
        <f t="shared" si="363"/>
        <v>3.6961306154431692E-4</v>
      </c>
      <c r="S2069" s="7">
        <f t="shared" si="355"/>
        <v>13475000.000000002</v>
      </c>
      <c r="T2069" s="7">
        <f t="shared" si="356"/>
        <v>4083333.3333333335</v>
      </c>
      <c r="U2069" s="7">
        <f t="shared" si="357"/>
        <v>15730000</v>
      </c>
      <c r="V2069" s="7">
        <f t="shared" si="358"/>
        <v>0</v>
      </c>
      <c r="W2069" s="7">
        <f t="shared" si="359"/>
        <v>0</v>
      </c>
      <c r="X2069" s="7">
        <f t="shared" si="360"/>
        <v>0</v>
      </c>
    </row>
    <row r="2070" spans="1:24">
      <c r="A2070">
        <v>2069</v>
      </c>
      <c r="B2070" s="96" t="s">
        <v>1534</v>
      </c>
      <c r="C2070" s="95">
        <v>42849</v>
      </c>
      <c r="D2070" s="82">
        <v>12244000</v>
      </c>
      <c r="E2070" s="82">
        <v>12185000</v>
      </c>
      <c r="F2070" s="82">
        <v>12244000</v>
      </c>
      <c r="G2070" s="82">
        <v>12203500</v>
      </c>
      <c r="I2070" s="97">
        <v>0</v>
      </c>
      <c r="J2070" s="97">
        <v>0</v>
      </c>
      <c r="K2070" s="97">
        <v>0</v>
      </c>
      <c r="M2070" s="7">
        <f t="shared" si="353"/>
        <v>0</v>
      </c>
      <c r="N2070" s="7">
        <f t="shared" si="362"/>
        <v>0</v>
      </c>
      <c r="O2070" s="7">
        <f t="shared" si="361"/>
        <v>-46500</v>
      </c>
      <c r="P2070" s="99">
        <f t="shared" si="354"/>
        <v>-3.7959183673469386E-3</v>
      </c>
      <c r="Q2070" s="99">
        <f t="shared" si="363"/>
        <v>-2.330087682108975E-3</v>
      </c>
      <c r="S2070" s="7">
        <f t="shared" si="355"/>
        <v>13423850.000000002</v>
      </c>
      <c r="T2070" s="7">
        <f t="shared" si="356"/>
        <v>4067833.3333333335</v>
      </c>
      <c r="U2070" s="7">
        <f t="shared" si="357"/>
        <v>15910000</v>
      </c>
      <c r="V2070" s="7">
        <f t="shared" si="358"/>
        <v>0</v>
      </c>
      <c r="W2070" s="7">
        <f t="shared" si="359"/>
        <v>0</v>
      </c>
      <c r="X2070" s="7">
        <f t="shared" si="360"/>
        <v>0</v>
      </c>
    </row>
    <row r="2071" spans="1:24">
      <c r="A2071">
        <v>2070</v>
      </c>
      <c r="B2071" s="96" t="s">
        <v>1533</v>
      </c>
      <c r="C2071" s="95">
        <v>42850</v>
      </c>
      <c r="D2071" s="82">
        <v>12202500</v>
      </c>
      <c r="E2071" s="82">
        <v>12192500</v>
      </c>
      <c r="F2071" s="82">
        <v>12208500</v>
      </c>
      <c r="G2071" s="82">
        <v>12196000</v>
      </c>
      <c r="I2071" s="98">
        <v>0</v>
      </c>
      <c r="J2071" s="98">
        <v>0</v>
      </c>
      <c r="K2071" s="98">
        <v>0</v>
      </c>
      <c r="M2071" s="7">
        <f t="shared" si="353"/>
        <v>0</v>
      </c>
      <c r="N2071" s="7">
        <f t="shared" si="362"/>
        <v>0</v>
      </c>
      <c r="O2071" s="7">
        <f t="shared" si="361"/>
        <v>-7500</v>
      </c>
      <c r="P2071" s="99">
        <f t="shared" si="354"/>
        <v>-6.1457778506166265E-4</v>
      </c>
      <c r="Q2071" s="99">
        <f t="shared" si="363"/>
        <v>-1.4024943628364824E-3</v>
      </c>
      <c r="S2071" s="7">
        <f t="shared" si="355"/>
        <v>13415600.000000002</v>
      </c>
      <c r="T2071" s="7">
        <f t="shared" si="356"/>
        <v>4065333.3333333335</v>
      </c>
      <c r="U2071" s="7">
        <f t="shared" si="357"/>
        <v>15917000</v>
      </c>
      <c r="V2071" s="7">
        <f t="shared" si="358"/>
        <v>0</v>
      </c>
      <c r="W2071" s="7">
        <f t="shared" si="359"/>
        <v>0</v>
      </c>
      <c r="X2071" s="7">
        <f t="shared" si="360"/>
        <v>0</v>
      </c>
    </row>
    <row r="2072" spans="1:24">
      <c r="A2072">
        <v>2071</v>
      </c>
      <c r="B2072" s="96" t="s">
        <v>1532</v>
      </c>
      <c r="C2072" s="95">
        <v>42851</v>
      </c>
      <c r="D2072" s="82">
        <v>12195500</v>
      </c>
      <c r="E2072" s="82">
        <v>12188000</v>
      </c>
      <c r="F2072" s="82">
        <v>12212500</v>
      </c>
      <c r="G2072" s="82">
        <v>12199500</v>
      </c>
      <c r="I2072" s="82">
        <f>G2072*1.1</f>
        <v>13419450.000000002</v>
      </c>
      <c r="J2072" s="82">
        <f>G2072/3</f>
        <v>4066500</v>
      </c>
      <c r="K2072" s="7">
        <f>G2340</f>
        <v>15888000</v>
      </c>
      <c r="L2072" s="7">
        <f>K2072-I2072</f>
        <v>2468549.9999999981</v>
      </c>
      <c r="M2072" s="7">
        <f t="shared" si="353"/>
        <v>508312.5</v>
      </c>
      <c r="N2072" s="7">
        <f t="shared" si="362"/>
        <v>2976862.4999999981</v>
      </c>
      <c r="O2072" s="7">
        <f t="shared" si="361"/>
        <v>3500</v>
      </c>
      <c r="P2072" s="99">
        <f t="shared" si="354"/>
        <v>2.869793374877009E-4</v>
      </c>
      <c r="Q2072" s="99">
        <f t="shared" si="363"/>
        <v>2.4015515326517283E-3</v>
      </c>
      <c r="R2072">
        <v>1</v>
      </c>
      <c r="S2072" s="7">
        <f t="shared" si="355"/>
        <v>13419450.000000002</v>
      </c>
      <c r="T2072" s="7">
        <f t="shared" si="356"/>
        <v>4066500</v>
      </c>
      <c r="U2072" s="7">
        <f t="shared" si="357"/>
        <v>15888000</v>
      </c>
      <c r="V2072" s="7">
        <f t="shared" si="358"/>
        <v>2468549.9999999981</v>
      </c>
      <c r="W2072" s="7">
        <f t="shared" si="359"/>
        <v>508312.5</v>
      </c>
      <c r="X2072" s="7">
        <f t="shared" si="360"/>
        <v>2976862.4999999981</v>
      </c>
    </row>
    <row r="2073" spans="1:24">
      <c r="A2073">
        <v>2072</v>
      </c>
      <c r="B2073" s="96" t="s">
        <v>1531</v>
      </c>
      <c r="C2073" s="95">
        <v>42852</v>
      </c>
      <c r="D2073" s="82">
        <v>12214500</v>
      </c>
      <c r="E2073" s="82">
        <v>12199500</v>
      </c>
      <c r="F2073" s="82">
        <v>12218000</v>
      </c>
      <c r="G2073" s="82">
        <v>12204000</v>
      </c>
      <c r="I2073" s="97">
        <v>0</v>
      </c>
      <c r="J2073" s="97">
        <v>0</v>
      </c>
      <c r="K2073" s="97">
        <v>0</v>
      </c>
      <c r="M2073" s="7">
        <f t="shared" si="353"/>
        <v>0</v>
      </c>
      <c r="N2073" s="7">
        <f t="shared" si="362"/>
        <v>0</v>
      </c>
      <c r="O2073" s="7">
        <f t="shared" si="361"/>
        <v>4500</v>
      </c>
      <c r="P2073" s="99">
        <f t="shared" si="354"/>
        <v>3.6886757654002215E-4</v>
      </c>
      <c r="Q2073" s="99">
        <f t="shared" si="363"/>
        <v>2.4419622829774338E-3</v>
      </c>
      <c r="S2073" s="7">
        <f t="shared" si="355"/>
        <v>13424400.000000002</v>
      </c>
      <c r="T2073" s="7">
        <f t="shared" si="356"/>
        <v>4068000</v>
      </c>
      <c r="U2073" s="7">
        <f t="shared" si="357"/>
        <v>15861000</v>
      </c>
      <c r="V2073" s="7">
        <f t="shared" si="358"/>
        <v>0</v>
      </c>
      <c r="W2073" s="7">
        <f t="shared" si="359"/>
        <v>0</v>
      </c>
      <c r="X2073" s="7">
        <f t="shared" si="360"/>
        <v>0</v>
      </c>
    </row>
    <row r="2074" spans="1:24">
      <c r="A2074">
        <v>2073</v>
      </c>
      <c r="B2074" s="96" t="s">
        <v>1530</v>
      </c>
      <c r="C2074" s="95">
        <v>42854</v>
      </c>
      <c r="D2074" s="82">
        <v>12194000</v>
      </c>
      <c r="E2074" s="82">
        <v>12159500</v>
      </c>
      <c r="F2074" s="82">
        <v>12198000</v>
      </c>
      <c r="G2074" s="82">
        <v>12188000</v>
      </c>
      <c r="I2074" s="97">
        <v>0</v>
      </c>
      <c r="J2074" s="97">
        <v>0</v>
      </c>
      <c r="K2074" s="97">
        <v>0</v>
      </c>
      <c r="M2074" s="7">
        <f t="shared" si="353"/>
        <v>0</v>
      </c>
      <c r="N2074" s="7">
        <f t="shared" si="362"/>
        <v>0</v>
      </c>
      <c r="O2074" s="7">
        <f t="shared" si="361"/>
        <v>-16000</v>
      </c>
      <c r="P2074" s="99">
        <f t="shared" si="354"/>
        <v>-1.3110455588331695E-3</v>
      </c>
      <c r="Q2074" s="99">
        <f t="shared" si="363"/>
        <v>-2.1193262620930616E-3</v>
      </c>
      <c r="S2074" s="7">
        <f t="shared" si="355"/>
        <v>13406800.000000002</v>
      </c>
      <c r="T2074" s="7">
        <f t="shared" si="356"/>
        <v>4062666.6666666665</v>
      </c>
      <c r="U2074" s="7">
        <f t="shared" si="357"/>
        <v>15831000</v>
      </c>
      <c r="V2074" s="7">
        <f t="shared" si="358"/>
        <v>0</v>
      </c>
      <c r="W2074" s="7">
        <f t="shared" si="359"/>
        <v>0</v>
      </c>
      <c r="X2074" s="7">
        <f t="shared" si="360"/>
        <v>0</v>
      </c>
    </row>
    <row r="2075" spans="1:24">
      <c r="A2075">
        <v>2074</v>
      </c>
      <c r="B2075" s="96" t="s">
        <v>1529</v>
      </c>
      <c r="C2075" s="95">
        <v>42855</v>
      </c>
      <c r="D2075" s="82">
        <v>12187500</v>
      </c>
      <c r="E2075" s="82">
        <v>12187500</v>
      </c>
      <c r="F2075" s="82">
        <v>12210500</v>
      </c>
      <c r="G2075" s="82">
        <v>12202000</v>
      </c>
      <c r="I2075" s="97">
        <v>0</v>
      </c>
      <c r="J2075" s="97">
        <v>0</v>
      </c>
      <c r="K2075" s="97">
        <v>0</v>
      </c>
      <c r="M2075" s="7">
        <f t="shared" si="353"/>
        <v>0</v>
      </c>
      <c r="N2075" s="7">
        <f t="shared" si="362"/>
        <v>0</v>
      </c>
      <c r="O2075" s="7">
        <f t="shared" si="361"/>
        <v>14000</v>
      </c>
      <c r="P2075" s="99">
        <f t="shared" si="354"/>
        <v>1.1486708237610766E-3</v>
      </c>
      <c r="Q2075" s="99">
        <f t="shared" si="363"/>
        <v>-5.0656947972140482E-3</v>
      </c>
      <c r="S2075" s="7">
        <f t="shared" si="355"/>
        <v>13422200.000000002</v>
      </c>
      <c r="T2075" s="7">
        <f t="shared" si="356"/>
        <v>4067333.3333333335</v>
      </c>
      <c r="U2075" s="7">
        <f t="shared" si="357"/>
        <v>15837000</v>
      </c>
      <c r="V2075" s="7">
        <f t="shared" si="358"/>
        <v>0</v>
      </c>
      <c r="W2075" s="7">
        <f t="shared" si="359"/>
        <v>0</v>
      </c>
      <c r="X2075" s="7">
        <f t="shared" si="360"/>
        <v>0</v>
      </c>
    </row>
    <row r="2076" spans="1:24">
      <c r="A2076">
        <v>2075</v>
      </c>
      <c r="B2076" s="96" t="s">
        <v>1528</v>
      </c>
      <c r="C2076" s="95">
        <v>42856</v>
      </c>
      <c r="D2076" s="82">
        <v>12201000</v>
      </c>
      <c r="E2076" s="82">
        <v>12132000</v>
      </c>
      <c r="F2076" s="82">
        <v>12201000</v>
      </c>
      <c r="G2076" s="82">
        <v>12134000</v>
      </c>
      <c r="I2076" s="98">
        <v>0</v>
      </c>
      <c r="J2076" s="98">
        <v>0</v>
      </c>
      <c r="K2076" s="98">
        <v>0</v>
      </c>
      <c r="M2076" s="7">
        <f t="shared" si="353"/>
        <v>0</v>
      </c>
      <c r="N2076" s="7">
        <f t="shared" si="362"/>
        <v>0</v>
      </c>
      <c r="O2076" s="7">
        <f t="shared" si="361"/>
        <v>-68000</v>
      </c>
      <c r="P2076" s="99">
        <f t="shared" si="354"/>
        <v>-5.5728569087034911E-3</v>
      </c>
      <c r="Q2076" s="99">
        <f t="shared" si="363"/>
        <v>-1.2110560610603259E-4</v>
      </c>
      <c r="S2076" s="7">
        <f t="shared" si="355"/>
        <v>13347400.000000002</v>
      </c>
      <c r="T2076" s="7">
        <f t="shared" si="356"/>
        <v>4044666.6666666665</v>
      </c>
      <c r="U2076" s="7">
        <f t="shared" si="357"/>
        <v>15750000</v>
      </c>
      <c r="V2076" s="7">
        <f t="shared" si="358"/>
        <v>0</v>
      </c>
      <c r="W2076" s="7">
        <f t="shared" si="359"/>
        <v>0</v>
      </c>
      <c r="X2076" s="7">
        <f t="shared" si="360"/>
        <v>0</v>
      </c>
    </row>
    <row r="2077" spans="1:24">
      <c r="A2077">
        <v>2076</v>
      </c>
      <c r="B2077" s="96" t="s">
        <v>1527</v>
      </c>
      <c r="C2077" s="95">
        <v>42857</v>
      </c>
      <c r="D2077" s="82">
        <v>12125000</v>
      </c>
      <c r="E2077" s="82">
        <v>12084000</v>
      </c>
      <c r="F2077" s="82">
        <v>12132000</v>
      </c>
      <c r="G2077" s="82">
        <v>12092000</v>
      </c>
      <c r="I2077" s="82">
        <f>G2077*1.1</f>
        <v>13301200.000000002</v>
      </c>
      <c r="J2077" s="82">
        <f>G2077/3</f>
        <v>4030666.6666666665</v>
      </c>
      <c r="K2077" s="7">
        <f>G2345</f>
        <v>15820000</v>
      </c>
      <c r="L2077" s="7">
        <f>K2077-I2077</f>
        <v>2518799.9999999981</v>
      </c>
      <c r="M2077" s="7">
        <f t="shared" si="353"/>
        <v>503833.33333333326</v>
      </c>
      <c r="N2077" s="7">
        <f t="shared" si="362"/>
        <v>3022633.3333333312</v>
      </c>
      <c r="O2077" s="7">
        <f t="shared" si="361"/>
        <v>-42000</v>
      </c>
      <c r="P2077" s="99">
        <f t="shared" si="354"/>
        <v>-3.4613482775671667E-3</v>
      </c>
      <c r="Q2077" s="99">
        <f t="shared" si="363"/>
        <v>-5.0793847297478613E-3</v>
      </c>
      <c r="R2077">
        <v>1</v>
      </c>
      <c r="S2077" s="7">
        <f t="shared" si="355"/>
        <v>13301200.000000002</v>
      </c>
      <c r="T2077" s="7">
        <f t="shared" si="356"/>
        <v>4030666.6666666665</v>
      </c>
      <c r="U2077" s="7">
        <f t="shared" si="357"/>
        <v>15820000</v>
      </c>
      <c r="V2077" s="7">
        <f t="shared" si="358"/>
        <v>2518799.9999999981</v>
      </c>
      <c r="W2077" s="7">
        <f t="shared" si="359"/>
        <v>503833.33333333326</v>
      </c>
      <c r="X2077" s="7">
        <f t="shared" si="360"/>
        <v>3022633.3333333312</v>
      </c>
    </row>
    <row r="2078" spans="1:24">
      <c r="A2078">
        <v>2077</v>
      </c>
      <c r="B2078" s="96" t="s">
        <v>1526</v>
      </c>
      <c r="C2078" s="95">
        <v>42858</v>
      </c>
      <c r="D2078" s="82">
        <v>12100000</v>
      </c>
      <c r="E2078" s="82">
        <v>12086000</v>
      </c>
      <c r="F2078" s="82">
        <v>12135000</v>
      </c>
      <c r="G2078" s="82">
        <v>12113000</v>
      </c>
      <c r="I2078" s="97">
        <v>0</v>
      </c>
      <c r="J2078" s="97">
        <v>0</v>
      </c>
      <c r="K2078" s="97">
        <v>0</v>
      </c>
      <c r="M2078" s="7">
        <f t="shared" si="353"/>
        <v>0</v>
      </c>
      <c r="N2078" s="7">
        <f t="shared" si="362"/>
        <v>0</v>
      </c>
      <c r="O2078" s="7">
        <f t="shared" si="361"/>
        <v>21000</v>
      </c>
      <c r="P2078" s="99">
        <f t="shared" si="354"/>
        <v>1.7366854118425405E-3</v>
      </c>
      <c r="Q2078" s="99">
        <f t="shared" si="363"/>
        <v>-8.8277123448027295E-3</v>
      </c>
      <c r="S2078" s="7">
        <f t="shared" si="355"/>
        <v>13324300.000000002</v>
      </c>
      <c r="T2078" s="7">
        <f t="shared" si="356"/>
        <v>4037666.6666666665</v>
      </c>
      <c r="U2078" s="7">
        <f t="shared" si="357"/>
        <v>16000000</v>
      </c>
      <c r="V2078" s="7">
        <f t="shared" si="358"/>
        <v>0</v>
      </c>
      <c r="W2078" s="7">
        <f t="shared" si="359"/>
        <v>0</v>
      </c>
      <c r="X2078" s="7">
        <f t="shared" si="360"/>
        <v>0</v>
      </c>
    </row>
    <row r="2079" spans="1:24">
      <c r="A2079">
        <v>2078</v>
      </c>
      <c r="B2079" s="96" t="s">
        <v>1525</v>
      </c>
      <c r="C2079" s="95">
        <v>42859</v>
      </c>
      <c r="D2079" s="82">
        <v>12084000</v>
      </c>
      <c r="E2079" s="82">
        <v>12058000</v>
      </c>
      <c r="F2079" s="82">
        <v>12088000</v>
      </c>
      <c r="G2079" s="82">
        <v>12080000</v>
      </c>
      <c r="I2079" s="97">
        <v>0</v>
      </c>
      <c r="J2079" s="97">
        <v>0</v>
      </c>
      <c r="K2079" s="97">
        <v>0</v>
      </c>
      <c r="M2079" s="7">
        <f t="shared" si="353"/>
        <v>0</v>
      </c>
      <c r="N2079" s="7">
        <f t="shared" si="362"/>
        <v>0</v>
      </c>
      <c r="O2079" s="7">
        <f t="shared" si="361"/>
        <v>-33000</v>
      </c>
      <c r="P2079" s="99">
        <f t="shared" si="354"/>
        <v>-2.7243457442417238E-3</v>
      </c>
      <c r="Q2079" s="99">
        <f t="shared" si="363"/>
        <v>-7.4598945095002093E-3</v>
      </c>
      <c r="S2079" s="7">
        <f t="shared" si="355"/>
        <v>13288000.000000002</v>
      </c>
      <c r="T2079" s="7">
        <f t="shared" si="356"/>
        <v>4026666.6666666665</v>
      </c>
      <c r="U2079" s="7">
        <f t="shared" si="357"/>
        <v>16144000</v>
      </c>
      <c r="V2079" s="7">
        <f t="shared" si="358"/>
        <v>0</v>
      </c>
      <c r="W2079" s="7">
        <f t="shared" si="359"/>
        <v>0</v>
      </c>
      <c r="X2079" s="7">
        <f t="shared" si="360"/>
        <v>0</v>
      </c>
    </row>
    <row r="2080" spans="1:24">
      <c r="A2080">
        <v>2079</v>
      </c>
      <c r="B2080" s="96" t="s">
        <v>1524</v>
      </c>
      <c r="C2080" s="95">
        <v>42861</v>
      </c>
      <c r="D2080" s="82">
        <v>12045000</v>
      </c>
      <c r="E2080" s="82">
        <v>11950500</v>
      </c>
      <c r="F2080" s="82">
        <v>12045000</v>
      </c>
      <c r="G2080" s="82">
        <v>11958000</v>
      </c>
      <c r="I2080" s="97">
        <v>0</v>
      </c>
      <c r="J2080" s="97">
        <v>0</v>
      </c>
      <c r="K2080" s="97">
        <v>0</v>
      </c>
      <c r="M2080" s="7">
        <f t="shared" si="353"/>
        <v>0</v>
      </c>
      <c r="N2080" s="7">
        <f t="shared" si="362"/>
        <v>0</v>
      </c>
      <c r="O2080" s="7">
        <f t="shared" si="361"/>
        <v>-122000</v>
      </c>
      <c r="P2080" s="99">
        <f t="shared" si="354"/>
        <v>-1.0099337748344371E-2</v>
      </c>
      <c r="Q2080" s="99">
        <f t="shared" si="363"/>
        <v>-8.8731946949087634E-3</v>
      </c>
      <c r="S2080" s="7">
        <f t="shared" si="355"/>
        <v>13153800.000000002</v>
      </c>
      <c r="T2080" s="7">
        <f t="shared" si="356"/>
        <v>3986000</v>
      </c>
      <c r="U2080" s="7">
        <f t="shared" si="357"/>
        <v>16402000</v>
      </c>
      <c r="V2080" s="7">
        <f t="shared" si="358"/>
        <v>0</v>
      </c>
      <c r="W2080" s="7">
        <f t="shared" si="359"/>
        <v>0</v>
      </c>
      <c r="X2080" s="7">
        <f t="shared" si="360"/>
        <v>0</v>
      </c>
    </row>
    <row r="2081" spans="1:24">
      <c r="A2081">
        <v>2080</v>
      </c>
      <c r="B2081" s="96" t="s">
        <v>1523</v>
      </c>
      <c r="C2081" s="95">
        <v>42862</v>
      </c>
      <c r="D2081" s="82">
        <v>11923000</v>
      </c>
      <c r="E2081" s="82">
        <v>11866500</v>
      </c>
      <c r="F2081" s="82">
        <v>11960500</v>
      </c>
      <c r="G2081" s="82">
        <v>11956000</v>
      </c>
      <c r="I2081" s="98">
        <v>0</v>
      </c>
      <c r="J2081" s="98">
        <v>0</v>
      </c>
      <c r="K2081" s="98">
        <v>0</v>
      </c>
      <c r="M2081" s="7">
        <f t="shared" si="353"/>
        <v>0</v>
      </c>
      <c r="N2081" s="7">
        <f t="shared" si="362"/>
        <v>0</v>
      </c>
      <c r="O2081" s="7">
        <f t="shared" si="361"/>
        <v>-2000</v>
      </c>
      <c r="P2081" s="99">
        <f t="shared" si="354"/>
        <v>-1.6725204883759825E-4</v>
      </c>
      <c r="Q2081" s="99">
        <f t="shared" si="363"/>
        <v>-2.0121203267014214E-2</v>
      </c>
      <c r="S2081" s="7">
        <f t="shared" si="355"/>
        <v>13151600.000000002</v>
      </c>
      <c r="T2081" s="7">
        <f t="shared" si="356"/>
        <v>3985333.3333333335</v>
      </c>
      <c r="U2081" s="7">
        <f t="shared" si="357"/>
        <v>16300000</v>
      </c>
      <c r="V2081" s="7">
        <f t="shared" si="358"/>
        <v>0</v>
      </c>
      <c r="W2081" s="7">
        <f t="shared" si="359"/>
        <v>0</v>
      </c>
      <c r="X2081" s="7">
        <f t="shared" si="360"/>
        <v>0</v>
      </c>
    </row>
    <row r="2082" spans="1:24">
      <c r="A2082">
        <v>2081</v>
      </c>
      <c r="B2082" s="96" t="s">
        <v>1522</v>
      </c>
      <c r="C2082" s="95">
        <v>42863</v>
      </c>
      <c r="D2082" s="82">
        <v>11963500</v>
      </c>
      <c r="E2082" s="82">
        <v>11957500</v>
      </c>
      <c r="F2082" s="82">
        <v>12049500</v>
      </c>
      <c r="G2082" s="82">
        <v>12032000</v>
      </c>
      <c r="I2082" s="82">
        <f>G2082*1.1</f>
        <v>13235200.000000002</v>
      </c>
      <c r="J2082" s="82">
        <f>G2082/3</f>
        <v>4010666.6666666665</v>
      </c>
      <c r="K2082" s="7">
        <f>G2350</f>
        <v>16000000</v>
      </c>
      <c r="L2082" s="7">
        <f>K2082-I2082</f>
        <v>2764799.9999999981</v>
      </c>
      <c r="M2082" s="7">
        <f t="shared" si="353"/>
        <v>501333.33333333326</v>
      </c>
      <c r="N2082" s="7">
        <f t="shared" si="362"/>
        <v>3266133.3333333312</v>
      </c>
      <c r="O2082" s="7">
        <f t="shared" si="361"/>
        <v>76000</v>
      </c>
      <c r="P2082" s="99">
        <f t="shared" si="354"/>
        <v>6.3566410170625628E-3</v>
      </c>
      <c r="Q2082" s="99">
        <f t="shared" si="363"/>
        <v>-1.471559840714832E-2</v>
      </c>
      <c r="R2082">
        <v>1</v>
      </c>
      <c r="S2082" s="7">
        <f t="shared" si="355"/>
        <v>13235200.000000002</v>
      </c>
      <c r="T2082" s="7">
        <f t="shared" si="356"/>
        <v>4010666.6666666665</v>
      </c>
      <c r="U2082" s="7">
        <f t="shared" si="357"/>
        <v>16000000</v>
      </c>
      <c r="V2082" s="7">
        <f t="shared" si="358"/>
        <v>2764799.9999999981</v>
      </c>
      <c r="W2082" s="7">
        <f t="shared" si="359"/>
        <v>501333.33333333326</v>
      </c>
      <c r="X2082" s="7">
        <f t="shared" si="360"/>
        <v>3266133.3333333312</v>
      </c>
    </row>
    <row r="2083" spans="1:24">
      <c r="A2083">
        <v>2082</v>
      </c>
      <c r="B2083" s="96" t="s">
        <v>1521</v>
      </c>
      <c r="C2083" s="95">
        <v>42864</v>
      </c>
      <c r="D2083" s="82">
        <v>12031000</v>
      </c>
      <c r="E2083" s="82">
        <v>11996500</v>
      </c>
      <c r="F2083" s="82">
        <v>12046500</v>
      </c>
      <c r="G2083" s="82">
        <v>12033000</v>
      </c>
      <c r="I2083" s="97">
        <v>0</v>
      </c>
      <c r="J2083" s="97">
        <v>0</v>
      </c>
      <c r="K2083" s="97">
        <v>0</v>
      </c>
      <c r="M2083" s="7">
        <f t="shared" si="353"/>
        <v>0</v>
      </c>
      <c r="N2083" s="7">
        <f t="shared" si="362"/>
        <v>0</v>
      </c>
      <c r="O2083" s="7">
        <f t="shared" si="361"/>
        <v>1000</v>
      </c>
      <c r="P2083" s="99">
        <f t="shared" si="354"/>
        <v>8.3111702127659572E-5</v>
      </c>
      <c r="Q2083" s="99">
        <f t="shared" si="363"/>
        <v>-4.8976091125185906E-3</v>
      </c>
      <c r="S2083" s="7">
        <f t="shared" si="355"/>
        <v>13236300.000000002</v>
      </c>
      <c r="T2083" s="7">
        <f t="shared" si="356"/>
        <v>4011000</v>
      </c>
      <c r="U2083" s="7">
        <f t="shared" si="357"/>
        <v>16060000</v>
      </c>
      <c r="V2083" s="7">
        <f t="shared" si="358"/>
        <v>0</v>
      </c>
      <c r="W2083" s="7">
        <f t="shared" si="359"/>
        <v>0</v>
      </c>
      <c r="X2083" s="7">
        <f t="shared" si="360"/>
        <v>0</v>
      </c>
    </row>
    <row r="2084" spans="1:24">
      <c r="A2084">
        <v>2083</v>
      </c>
      <c r="B2084" s="96" t="s">
        <v>1520</v>
      </c>
      <c r="C2084" s="95">
        <v>42865</v>
      </c>
      <c r="D2084" s="82">
        <v>12049000</v>
      </c>
      <c r="E2084" s="82">
        <v>12041000</v>
      </c>
      <c r="F2084" s="82">
        <v>12068000</v>
      </c>
      <c r="G2084" s="82">
        <v>12060000</v>
      </c>
      <c r="I2084" s="97">
        <v>0</v>
      </c>
      <c r="J2084" s="97">
        <v>0</v>
      </c>
      <c r="K2084" s="97">
        <v>0</v>
      </c>
      <c r="M2084" s="7">
        <f t="shared" si="353"/>
        <v>0</v>
      </c>
      <c r="N2084" s="7">
        <f t="shared" si="362"/>
        <v>0</v>
      </c>
      <c r="O2084" s="7">
        <f t="shared" si="361"/>
        <v>27000</v>
      </c>
      <c r="P2084" s="99">
        <f t="shared" si="354"/>
        <v>2.243829468960359E-3</v>
      </c>
      <c r="Q2084" s="99">
        <f t="shared" si="363"/>
        <v>-6.5511828222334706E-3</v>
      </c>
      <c r="S2084" s="7">
        <f t="shared" si="355"/>
        <v>13266000.000000002</v>
      </c>
      <c r="T2084" s="7">
        <f t="shared" si="356"/>
        <v>4020000</v>
      </c>
      <c r="U2084" s="7">
        <f t="shared" si="357"/>
        <v>16166000</v>
      </c>
      <c r="V2084" s="7">
        <f t="shared" si="358"/>
        <v>0</v>
      </c>
      <c r="W2084" s="7">
        <f t="shared" si="359"/>
        <v>0</v>
      </c>
      <c r="X2084" s="7">
        <f t="shared" si="360"/>
        <v>0</v>
      </c>
    </row>
    <row r="2085" spans="1:24">
      <c r="A2085">
        <v>2084</v>
      </c>
      <c r="B2085" s="96" t="s">
        <v>1519</v>
      </c>
      <c r="C2085" s="95">
        <v>42866</v>
      </c>
      <c r="D2085" s="82">
        <v>12062500</v>
      </c>
      <c r="E2085" s="82">
        <v>12061000</v>
      </c>
      <c r="F2085" s="82">
        <v>12090000</v>
      </c>
      <c r="G2085" s="82">
        <v>12083500</v>
      </c>
      <c r="I2085" s="97">
        <v>0</v>
      </c>
      <c r="J2085" s="97">
        <v>0</v>
      </c>
      <c r="K2085" s="97">
        <v>0</v>
      </c>
      <c r="M2085" s="7">
        <f t="shared" si="353"/>
        <v>0</v>
      </c>
      <c r="N2085" s="7">
        <f t="shared" si="362"/>
        <v>0</v>
      </c>
      <c r="O2085" s="7">
        <f t="shared" si="361"/>
        <v>23500</v>
      </c>
      <c r="P2085" s="99">
        <f t="shared" si="354"/>
        <v>1.9485903814262023E-3</v>
      </c>
      <c r="Q2085" s="99">
        <f t="shared" si="363"/>
        <v>-1.5830076090313878E-3</v>
      </c>
      <c r="S2085" s="7">
        <f t="shared" si="355"/>
        <v>13291850.000000002</v>
      </c>
      <c r="T2085" s="7">
        <f t="shared" si="356"/>
        <v>4027833.3333333335</v>
      </c>
      <c r="U2085" s="7">
        <f t="shared" si="357"/>
        <v>16143000</v>
      </c>
      <c r="V2085" s="7">
        <f t="shared" si="358"/>
        <v>0</v>
      </c>
      <c r="W2085" s="7">
        <f t="shared" si="359"/>
        <v>0</v>
      </c>
      <c r="X2085" s="7">
        <f t="shared" si="360"/>
        <v>0</v>
      </c>
    </row>
    <row r="2086" spans="1:24">
      <c r="A2086">
        <v>2085</v>
      </c>
      <c r="B2086" s="96" t="s">
        <v>1518</v>
      </c>
      <c r="C2086" s="95">
        <v>42868</v>
      </c>
      <c r="D2086" s="82">
        <v>12086000</v>
      </c>
      <c r="E2086" s="82">
        <v>12060000</v>
      </c>
      <c r="F2086" s="82">
        <v>12105000</v>
      </c>
      <c r="G2086" s="82">
        <v>12093500</v>
      </c>
      <c r="I2086" s="98">
        <v>0</v>
      </c>
      <c r="J2086" s="98">
        <v>0</v>
      </c>
      <c r="K2086" s="98">
        <v>0</v>
      </c>
      <c r="M2086" s="7">
        <f t="shared" si="353"/>
        <v>0</v>
      </c>
      <c r="N2086" s="7">
        <f t="shared" si="362"/>
        <v>0</v>
      </c>
      <c r="O2086" s="7">
        <f t="shared" si="361"/>
        <v>10000</v>
      </c>
      <c r="P2086" s="99">
        <f t="shared" si="354"/>
        <v>8.2757479207183344E-4</v>
      </c>
      <c r="Q2086" s="99">
        <f t="shared" si="363"/>
        <v>1.0464920520739183E-2</v>
      </c>
      <c r="S2086" s="7">
        <f t="shared" si="355"/>
        <v>13302850.000000002</v>
      </c>
      <c r="T2086" s="7">
        <f t="shared" si="356"/>
        <v>4031166.6666666665</v>
      </c>
      <c r="U2086" s="7">
        <f t="shared" si="357"/>
        <v>16211000</v>
      </c>
      <c r="V2086" s="7">
        <f t="shared" si="358"/>
        <v>0</v>
      </c>
      <c r="W2086" s="7">
        <f t="shared" si="359"/>
        <v>0</v>
      </c>
      <c r="X2086" s="7">
        <f t="shared" si="360"/>
        <v>0</v>
      </c>
    </row>
    <row r="2087" spans="1:24">
      <c r="A2087">
        <v>2086</v>
      </c>
      <c r="B2087" s="96" t="s">
        <v>1517</v>
      </c>
      <c r="C2087" s="95">
        <v>42869</v>
      </c>
      <c r="D2087" s="82">
        <v>12096500</v>
      </c>
      <c r="E2087" s="82">
        <v>12091500</v>
      </c>
      <c r="F2087" s="82">
        <v>12151000</v>
      </c>
      <c r="G2087" s="82">
        <v>12140500</v>
      </c>
      <c r="I2087" s="82">
        <f>G2087*1.1</f>
        <v>13354550.000000002</v>
      </c>
      <c r="J2087" s="82">
        <f>G2087/3</f>
        <v>4046833.3333333335</v>
      </c>
      <c r="K2087" s="7">
        <f>G2355</f>
        <v>16361000</v>
      </c>
      <c r="L2087" s="7">
        <f>K2087-I2087</f>
        <v>3006449.9999999981</v>
      </c>
      <c r="M2087" s="7">
        <f t="shared" si="353"/>
        <v>505854.16666666674</v>
      </c>
      <c r="N2087" s="7">
        <f t="shared" si="362"/>
        <v>3512304.1666666651</v>
      </c>
      <c r="O2087" s="7">
        <f t="shared" si="361"/>
        <v>47000</v>
      </c>
      <c r="P2087" s="99">
        <f t="shared" si="354"/>
        <v>3.8863852482738663E-3</v>
      </c>
      <c r="Q2087" s="99">
        <f t="shared" si="363"/>
        <v>1.1459747361648617E-2</v>
      </c>
      <c r="R2087">
        <v>1</v>
      </c>
      <c r="S2087" s="7">
        <f t="shared" si="355"/>
        <v>13354550.000000002</v>
      </c>
      <c r="T2087" s="7">
        <f t="shared" si="356"/>
        <v>4046833.3333333335</v>
      </c>
      <c r="U2087" s="7">
        <f t="shared" si="357"/>
        <v>16361000</v>
      </c>
      <c r="V2087" s="7">
        <f t="shared" si="358"/>
        <v>3006449.9999999981</v>
      </c>
      <c r="W2087" s="7">
        <f t="shared" si="359"/>
        <v>505854.16666666674</v>
      </c>
      <c r="X2087" s="7">
        <f t="shared" si="360"/>
        <v>3512304.1666666651</v>
      </c>
    </row>
    <row r="2088" spans="1:24">
      <c r="A2088">
        <v>2087</v>
      </c>
      <c r="B2088" s="96" t="s">
        <v>1516</v>
      </c>
      <c r="C2088" s="95">
        <v>42870</v>
      </c>
      <c r="D2088" s="82">
        <v>12145500</v>
      </c>
      <c r="E2088" s="82">
        <v>12115000</v>
      </c>
      <c r="F2088" s="82">
        <v>12171500</v>
      </c>
      <c r="G2088" s="82">
        <v>12122000</v>
      </c>
      <c r="I2088" s="97">
        <v>0</v>
      </c>
      <c r="J2088" s="97">
        <v>0</v>
      </c>
      <c r="K2088" s="97">
        <v>0</v>
      </c>
      <c r="M2088" s="7">
        <f t="shared" si="353"/>
        <v>0</v>
      </c>
      <c r="N2088" s="7">
        <f t="shared" si="362"/>
        <v>0</v>
      </c>
      <c r="O2088" s="7">
        <f t="shared" si="361"/>
        <v>-18500</v>
      </c>
      <c r="P2088" s="99">
        <f t="shared" si="354"/>
        <v>-1.5238252131296074E-3</v>
      </c>
      <c r="Q2088" s="99">
        <f t="shared" si="363"/>
        <v>8.9894915928599214E-3</v>
      </c>
      <c r="S2088" s="7">
        <f t="shared" si="355"/>
        <v>13334200.000000002</v>
      </c>
      <c r="T2088" s="7">
        <f t="shared" si="356"/>
        <v>4040666.6666666665</v>
      </c>
      <c r="U2088" s="7">
        <f t="shared" si="357"/>
        <v>17100000</v>
      </c>
      <c r="V2088" s="7">
        <f t="shared" si="358"/>
        <v>0</v>
      </c>
      <c r="W2088" s="7">
        <f t="shared" si="359"/>
        <v>0</v>
      </c>
      <c r="X2088" s="7">
        <f t="shared" si="360"/>
        <v>0</v>
      </c>
    </row>
    <row r="2089" spans="1:24">
      <c r="A2089">
        <v>2088</v>
      </c>
      <c r="B2089" s="96" t="s">
        <v>1515</v>
      </c>
      <c r="C2089" s="95">
        <v>42871</v>
      </c>
      <c r="D2089" s="82">
        <v>12128000</v>
      </c>
      <c r="E2089" s="82">
        <v>12101500</v>
      </c>
      <c r="F2089" s="82">
        <v>12170500</v>
      </c>
      <c r="G2089" s="82">
        <v>12150500</v>
      </c>
      <c r="I2089" s="97">
        <v>0</v>
      </c>
      <c r="J2089" s="97">
        <v>0</v>
      </c>
      <c r="K2089" s="97">
        <v>0</v>
      </c>
      <c r="M2089" s="7">
        <f t="shared" si="353"/>
        <v>0</v>
      </c>
      <c r="N2089" s="7">
        <f t="shared" si="362"/>
        <v>0</v>
      </c>
      <c r="O2089" s="7">
        <f t="shared" si="361"/>
        <v>28500</v>
      </c>
      <c r="P2089" s="99">
        <f t="shared" si="354"/>
        <v>2.3510971786833857E-3</v>
      </c>
      <c r="Q2089" s="99">
        <f t="shared" si="363"/>
        <v>7.382554677602654E-3</v>
      </c>
      <c r="S2089" s="7">
        <f t="shared" si="355"/>
        <v>13365550.000000002</v>
      </c>
      <c r="T2089" s="7">
        <f t="shared" si="356"/>
        <v>4050166.6666666665</v>
      </c>
      <c r="U2089" s="7">
        <f t="shared" si="357"/>
        <v>17125000</v>
      </c>
      <c r="V2089" s="7">
        <f t="shared" si="358"/>
        <v>0</v>
      </c>
      <c r="W2089" s="7">
        <f t="shared" si="359"/>
        <v>0</v>
      </c>
      <c r="X2089" s="7">
        <f t="shared" si="360"/>
        <v>0</v>
      </c>
    </row>
    <row r="2090" spans="1:24">
      <c r="A2090">
        <v>2089</v>
      </c>
      <c r="B2090" s="96" t="s">
        <v>1514</v>
      </c>
      <c r="C2090" s="95">
        <v>42872</v>
      </c>
      <c r="D2090" s="82">
        <v>12166500</v>
      </c>
      <c r="E2090" s="82">
        <v>12166500</v>
      </c>
      <c r="F2090" s="82">
        <v>12271500</v>
      </c>
      <c r="G2090" s="82">
        <v>12256500</v>
      </c>
      <c r="I2090" s="97">
        <v>0</v>
      </c>
      <c r="J2090" s="97">
        <v>0</v>
      </c>
      <c r="K2090" s="97">
        <v>0</v>
      </c>
      <c r="M2090" s="7">
        <f t="shared" si="353"/>
        <v>0</v>
      </c>
      <c r="N2090" s="7">
        <f t="shared" si="362"/>
        <v>0</v>
      </c>
      <c r="O2090" s="7">
        <f t="shared" si="361"/>
        <v>106000</v>
      </c>
      <c r="P2090" s="99">
        <f t="shared" si="354"/>
        <v>8.7239208263034437E-3</v>
      </c>
      <c r="Q2090" s="99">
        <f t="shared" si="363"/>
        <v>7.4898223873256804E-3</v>
      </c>
      <c r="S2090" s="7">
        <f t="shared" si="355"/>
        <v>13482150.000000002</v>
      </c>
      <c r="T2090" s="7">
        <f t="shared" si="356"/>
        <v>4085500</v>
      </c>
      <c r="U2090" s="7">
        <f t="shared" si="357"/>
        <v>17050000</v>
      </c>
      <c r="V2090" s="7">
        <f t="shared" si="358"/>
        <v>0</v>
      </c>
      <c r="W2090" s="7">
        <f t="shared" si="359"/>
        <v>0</v>
      </c>
      <c r="X2090" s="7">
        <f t="shared" si="360"/>
        <v>0</v>
      </c>
    </row>
    <row r="2091" spans="1:24">
      <c r="A2091">
        <v>2090</v>
      </c>
      <c r="B2091" s="96" t="s">
        <v>1513</v>
      </c>
      <c r="C2091" s="95">
        <v>42873</v>
      </c>
      <c r="D2091" s="82">
        <v>12255500</v>
      </c>
      <c r="E2091" s="82">
        <v>12201000</v>
      </c>
      <c r="F2091" s="82">
        <v>12265000</v>
      </c>
      <c r="G2091" s="82">
        <v>12211000</v>
      </c>
      <c r="I2091" s="98">
        <v>0</v>
      </c>
      <c r="J2091" s="98">
        <v>0</v>
      </c>
      <c r="K2091" s="98">
        <v>0</v>
      </c>
      <c r="M2091" s="7">
        <f t="shared" si="353"/>
        <v>0</v>
      </c>
      <c r="N2091" s="7">
        <f t="shared" si="362"/>
        <v>0</v>
      </c>
      <c r="O2091" s="7">
        <f t="shared" si="361"/>
        <v>-45500</v>
      </c>
      <c r="P2091" s="99">
        <f t="shared" si="354"/>
        <v>-3.7123159140048136E-3</v>
      </c>
      <c r="Q2091" s="99">
        <f t="shared" si="363"/>
        <v>1.4265152832202921E-2</v>
      </c>
      <c r="S2091" s="7">
        <f t="shared" si="355"/>
        <v>13432100.000000002</v>
      </c>
      <c r="T2091" s="7">
        <f t="shared" si="356"/>
        <v>4070333.3333333335</v>
      </c>
      <c r="U2091" s="7">
        <f t="shared" si="357"/>
        <v>17250000</v>
      </c>
      <c r="V2091" s="7">
        <f t="shared" si="358"/>
        <v>0</v>
      </c>
      <c r="W2091" s="7">
        <f t="shared" si="359"/>
        <v>0</v>
      </c>
      <c r="X2091" s="7">
        <f t="shared" si="360"/>
        <v>0</v>
      </c>
    </row>
    <row r="2092" spans="1:24">
      <c r="A2092">
        <v>2091</v>
      </c>
      <c r="B2092" s="96" t="s">
        <v>1512</v>
      </c>
      <c r="C2092" s="95">
        <v>42877</v>
      </c>
      <c r="D2092" s="82">
        <v>12152500</v>
      </c>
      <c r="E2092" s="82">
        <v>12085000</v>
      </c>
      <c r="F2092" s="82">
        <v>12152500</v>
      </c>
      <c r="G2092" s="82">
        <v>12115500</v>
      </c>
      <c r="I2092" s="82">
        <f>G2092*1.1</f>
        <v>13327050.000000002</v>
      </c>
      <c r="J2092" s="82">
        <f>G2092/3</f>
        <v>4038500</v>
      </c>
      <c r="K2092" s="7">
        <f>G2360</f>
        <v>17290000</v>
      </c>
      <c r="L2092" s="7">
        <f>K2092-I2092</f>
        <v>3962949.9999999981</v>
      </c>
      <c r="M2092" s="7">
        <f t="shared" si="353"/>
        <v>504812.5</v>
      </c>
      <c r="N2092" s="7">
        <f t="shared" si="362"/>
        <v>4467762.4999999981</v>
      </c>
      <c r="O2092" s="7">
        <f t="shared" si="361"/>
        <v>-95500</v>
      </c>
      <c r="P2092" s="99">
        <f t="shared" si="354"/>
        <v>-7.8208172958807633E-3</v>
      </c>
      <c r="Q2092" s="99">
        <f t="shared" si="363"/>
        <v>9.7252621261262745E-3</v>
      </c>
      <c r="R2092">
        <v>1</v>
      </c>
      <c r="S2092" s="7">
        <f t="shared" si="355"/>
        <v>13327050.000000002</v>
      </c>
      <c r="T2092" s="7">
        <f t="shared" si="356"/>
        <v>4038500</v>
      </c>
      <c r="U2092" s="7">
        <f t="shared" si="357"/>
        <v>17290000</v>
      </c>
      <c r="V2092" s="7">
        <f t="shared" si="358"/>
        <v>3962949.9999999981</v>
      </c>
      <c r="W2092" s="7">
        <f t="shared" si="359"/>
        <v>504812.5</v>
      </c>
      <c r="X2092" s="7">
        <f t="shared" si="360"/>
        <v>4467762.4999999981</v>
      </c>
    </row>
    <row r="2093" spans="1:24">
      <c r="A2093">
        <v>2092</v>
      </c>
      <c r="B2093" s="96" t="s">
        <v>1511</v>
      </c>
      <c r="C2093" s="95">
        <v>42875</v>
      </c>
      <c r="D2093" s="82">
        <v>12201000</v>
      </c>
      <c r="E2093" s="82">
        <v>12160000</v>
      </c>
      <c r="F2093" s="82">
        <v>12201000</v>
      </c>
      <c r="G2093" s="82">
        <v>12167500</v>
      </c>
      <c r="I2093" s="97">
        <v>0</v>
      </c>
      <c r="J2093" s="97">
        <v>0</v>
      </c>
      <c r="K2093" s="97">
        <v>0</v>
      </c>
      <c r="M2093" s="7">
        <f t="shared" si="353"/>
        <v>0</v>
      </c>
      <c r="N2093" s="7">
        <f t="shared" si="362"/>
        <v>0</v>
      </c>
      <c r="O2093" s="7">
        <f t="shared" si="361"/>
        <v>52000</v>
      </c>
      <c r="P2093" s="99">
        <f t="shared" si="354"/>
        <v>4.2920226156576285E-3</v>
      </c>
      <c r="Q2093" s="99">
        <f t="shared" si="363"/>
        <v>-1.9819404180283547E-3</v>
      </c>
      <c r="S2093" s="7">
        <f t="shared" si="355"/>
        <v>13384250.000000002</v>
      </c>
      <c r="T2093" s="7">
        <f t="shared" si="356"/>
        <v>4055833.3333333335</v>
      </c>
      <c r="U2093" s="7">
        <f t="shared" si="357"/>
        <v>17360000</v>
      </c>
      <c r="V2093" s="7">
        <f t="shared" si="358"/>
        <v>0</v>
      </c>
      <c r="W2093" s="7">
        <f t="shared" si="359"/>
        <v>0</v>
      </c>
      <c r="X2093" s="7">
        <f t="shared" si="360"/>
        <v>0</v>
      </c>
    </row>
    <row r="2094" spans="1:24">
      <c r="A2094">
        <v>2093</v>
      </c>
      <c r="B2094" s="96" t="s">
        <v>1510</v>
      </c>
      <c r="C2094" s="95">
        <v>42878</v>
      </c>
      <c r="D2094" s="82">
        <v>12118500</v>
      </c>
      <c r="E2094" s="82">
        <v>12058000</v>
      </c>
      <c r="F2094" s="82">
        <v>12148500</v>
      </c>
      <c r="G2094" s="82">
        <v>12059500</v>
      </c>
      <c r="I2094" s="97">
        <v>0</v>
      </c>
      <c r="J2094" s="97">
        <v>0</v>
      </c>
      <c r="K2094" s="97">
        <v>0</v>
      </c>
      <c r="M2094" s="7">
        <f t="shared" si="353"/>
        <v>0</v>
      </c>
      <c r="N2094" s="7">
        <f t="shared" si="362"/>
        <v>0</v>
      </c>
      <c r="O2094" s="7">
        <f t="shared" si="361"/>
        <v>-108000</v>
      </c>
      <c r="P2094" s="99">
        <f t="shared" si="354"/>
        <v>-8.876104376412574E-3</v>
      </c>
      <c r="Q2094" s="99">
        <f t="shared" si="363"/>
        <v>3.833907410758881E-3</v>
      </c>
      <c r="S2094" s="7">
        <f t="shared" si="355"/>
        <v>13265450.000000002</v>
      </c>
      <c r="T2094" s="7">
        <f t="shared" si="356"/>
        <v>4019833.3333333335</v>
      </c>
      <c r="U2094" s="7">
        <f t="shared" si="357"/>
        <v>17490000</v>
      </c>
      <c r="V2094" s="7">
        <f t="shared" si="358"/>
        <v>0</v>
      </c>
      <c r="W2094" s="7">
        <f t="shared" si="359"/>
        <v>0</v>
      </c>
      <c r="X2094" s="7">
        <f t="shared" si="360"/>
        <v>0</v>
      </c>
    </row>
    <row r="2095" spans="1:24">
      <c r="A2095">
        <v>2094</v>
      </c>
      <c r="B2095" s="96" t="s">
        <v>1509</v>
      </c>
      <c r="C2095" s="95">
        <v>42876</v>
      </c>
      <c r="D2095" s="82">
        <v>12169500</v>
      </c>
      <c r="E2095" s="82">
        <v>12148000</v>
      </c>
      <c r="F2095" s="82">
        <v>12197500</v>
      </c>
      <c r="G2095" s="82">
        <v>12151500</v>
      </c>
      <c r="I2095" s="97">
        <v>0</v>
      </c>
      <c r="J2095" s="97">
        <v>0</v>
      </c>
      <c r="K2095" s="97">
        <v>0</v>
      </c>
      <c r="M2095" s="7">
        <f t="shared" si="353"/>
        <v>0</v>
      </c>
      <c r="N2095" s="7">
        <f t="shared" si="362"/>
        <v>0</v>
      </c>
      <c r="O2095" s="7">
        <f t="shared" si="361"/>
        <v>92000</v>
      </c>
      <c r="P2095" s="99">
        <f t="shared" si="354"/>
        <v>7.6288403333471533E-3</v>
      </c>
      <c r="Q2095" s="99">
        <f t="shared" si="363"/>
        <v>-7.3932941443370787E-3</v>
      </c>
      <c r="S2095" s="7">
        <f t="shared" si="355"/>
        <v>13366650.000000002</v>
      </c>
      <c r="T2095" s="7">
        <f t="shared" si="356"/>
        <v>4050500</v>
      </c>
      <c r="U2095" s="7">
        <f t="shared" si="357"/>
        <v>17830000</v>
      </c>
      <c r="V2095" s="7">
        <f t="shared" si="358"/>
        <v>0</v>
      </c>
      <c r="W2095" s="7">
        <f t="shared" si="359"/>
        <v>0</v>
      </c>
      <c r="X2095" s="7">
        <f t="shared" si="360"/>
        <v>0</v>
      </c>
    </row>
    <row r="2096" spans="1:24">
      <c r="A2096">
        <v>2095</v>
      </c>
      <c r="B2096" s="96" t="s">
        <v>1508</v>
      </c>
      <c r="C2096" s="95">
        <v>42879</v>
      </c>
      <c r="D2096" s="82">
        <v>12062000</v>
      </c>
      <c r="E2096" s="82">
        <v>11975500</v>
      </c>
      <c r="F2096" s="82">
        <v>12062000</v>
      </c>
      <c r="G2096" s="82">
        <v>11984500</v>
      </c>
      <c r="I2096" s="98">
        <v>0</v>
      </c>
      <c r="J2096" s="98">
        <v>0</v>
      </c>
      <c r="K2096" s="98">
        <v>0</v>
      </c>
      <c r="M2096" s="7">
        <f t="shared" si="353"/>
        <v>0</v>
      </c>
      <c r="N2096" s="7">
        <f t="shared" si="362"/>
        <v>0</v>
      </c>
      <c r="O2096" s="7">
        <f t="shared" si="361"/>
        <v>-167000</v>
      </c>
      <c r="P2096" s="99">
        <f t="shared" si="354"/>
        <v>-1.3743159280747232E-2</v>
      </c>
      <c r="Q2096" s="99">
        <f t="shared" si="363"/>
        <v>-8.4883746372933708E-3</v>
      </c>
      <c r="S2096" s="7">
        <f t="shared" si="355"/>
        <v>13182950.000000002</v>
      </c>
      <c r="T2096" s="7">
        <f t="shared" si="356"/>
        <v>3994833.3333333335</v>
      </c>
      <c r="U2096" s="7">
        <f t="shared" si="357"/>
        <v>19300000</v>
      </c>
      <c r="V2096" s="7">
        <f t="shared" si="358"/>
        <v>0</v>
      </c>
      <c r="W2096" s="7">
        <f t="shared" si="359"/>
        <v>0</v>
      </c>
      <c r="X2096" s="7">
        <f t="shared" si="360"/>
        <v>0</v>
      </c>
    </row>
    <row r="2097" spans="1:24">
      <c r="A2097">
        <v>2096</v>
      </c>
      <c r="B2097" s="96" t="s">
        <v>1507</v>
      </c>
      <c r="C2097" s="95">
        <v>42880</v>
      </c>
      <c r="D2097" s="82">
        <v>11991000</v>
      </c>
      <c r="E2097" s="82">
        <v>11991000</v>
      </c>
      <c r="F2097" s="82">
        <v>12038000</v>
      </c>
      <c r="G2097" s="82">
        <v>12029000</v>
      </c>
      <c r="I2097" s="82">
        <f>G2097*1.1</f>
        <v>13231900.000000002</v>
      </c>
      <c r="J2097" s="82">
        <f>G2097/3</f>
        <v>4009666.6666666665</v>
      </c>
      <c r="K2097" s="7">
        <f>G2365</f>
        <v>19550000</v>
      </c>
      <c r="L2097" s="7">
        <f>K2097-I2097</f>
        <v>6318099.9999999981</v>
      </c>
      <c r="M2097" s="7">
        <f t="shared" si="353"/>
        <v>501208.33333333326</v>
      </c>
      <c r="N2097" s="7">
        <f t="shared" si="362"/>
        <v>6819308.3333333312</v>
      </c>
      <c r="O2097" s="7">
        <f t="shared" si="361"/>
        <v>44500</v>
      </c>
      <c r="P2097" s="99">
        <f t="shared" si="354"/>
        <v>3.7131294588843922E-3</v>
      </c>
      <c r="Q2097" s="99">
        <f t="shared" si="363"/>
        <v>-1.851921800403579E-2</v>
      </c>
      <c r="R2097">
        <v>1</v>
      </c>
      <c r="S2097" s="7">
        <f t="shared" si="355"/>
        <v>13231900.000000002</v>
      </c>
      <c r="T2097" s="7">
        <f t="shared" si="356"/>
        <v>4009666.6666666665</v>
      </c>
      <c r="U2097" s="7">
        <f t="shared" si="357"/>
        <v>19550000</v>
      </c>
      <c r="V2097" s="7">
        <f t="shared" si="358"/>
        <v>6318099.9999999981</v>
      </c>
      <c r="W2097" s="7">
        <f t="shared" si="359"/>
        <v>501208.33333333326</v>
      </c>
      <c r="X2097" s="7">
        <f t="shared" si="360"/>
        <v>6819308.3333333312</v>
      </c>
    </row>
    <row r="2098" spans="1:24">
      <c r="A2098">
        <v>2097</v>
      </c>
      <c r="B2098" s="96" t="s">
        <v>1506</v>
      </c>
      <c r="C2098" s="95">
        <v>42882</v>
      </c>
      <c r="D2098" s="82">
        <v>12035000</v>
      </c>
      <c r="E2098" s="82">
        <v>12026500</v>
      </c>
      <c r="F2098" s="82">
        <v>12088500</v>
      </c>
      <c r="G2098" s="82">
        <v>12055000</v>
      </c>
      <c r="I2098" s="97">
        <v>0</v>
      </c>
      <c r="J2098" s="97">
        <v>0</v>
      </c>
      <c r="K2098" s="97">
        <v>0</v>
      </c>
      <c r="M2098" s="7">
        <f t="shared" si="353"/>
        <v>0</v>
      </c>
      <c r="N2098" s="7">
        <f t="shared" si="362"/>
        <v>0</v>
      </c>
      <c r="O2098" s="7">
        <f t="shared" si="361"/>
        <v>26000</v>
      </c>
      <c r="P2098" s="99">
        <f t="shared" si="354"/>
        <v>2.1614431789841217E-3</v>
      </c>
      <c r="Q2098" s="99">
        <f t="shared" si="363"/>
        <v>-6.9852712492706323E-3</v>
      </c>
      <c r="S2098" s="7">
        <f t="shared" si="355"/>
        <v>13260500.000000002</v>
      </c>
      <c r="T2098" s="7">
        <f t="shared" si="356"/>
        <v>4018333.3333333335</v>
      </c>
      <c r="U2098" s="7">
        <f t="shared" si="357"/>
        <v>17700000</v>
      </c>
      <c r="V2098" s="7">
        <f t="shared" si="358"/>
        <v>0</v>
      </c>
      <c r="W2098" s="7">
        <f t="shared" si="359"/>
        <v>0</v>
      </c>
      <c r="X2098" s="7">
        <f t="shared" si="360"/>
        <v>0</v>
      </c>
    </row>
    <row r="2099" spans="1:24">
      <c r="A2099">
        <v>2098</v>
      </c>
      <c r="B2099" s="96" t="s">
        <v>1505</v>
      </c>
      <c r="C2099" s="95">
        <v>42883</v>
      </c>
      <c r="D2099" s="82">
        <v>12054000</v>
      </c>
      <c r="E2099" s="82">
        <v>12043000</v>
      </c>
      <c r="F2099" s="82">
        <v>12076500</v>
      </c>
      <c r="G2099" s="82">
        <v>12065500</v>
      </c>
      <c r="I2099" s="97">
        <v>0</v>
      </c>
      <c r="J2099" s="97">
        <v>0</v>
      </c>
      <c r="K2099" s="97">
        <v>0</v>
      </c>
      <c r="M2099" s="7">
        <f t="shared" si="353"/>
        <v>0</v>
      </c>
      <c r="N2099" s="7">
        <f t="shared" si="362"/>
        <v>0</v>
      </c>
      <c r="O2099" s="7">
        <f t="shared" si="361"/>
        <v>10500</v>
      </c>
      <c r="P2099" s="99">
        <f t="shared" si="354"/>
        <v>8.7100788054749064E-4</v>
      </c>
      <c r="Q2099" s="99">
        <f t="shared" si="363"/>
        <v>-9.11585068594414E-3</v>
      </c>
      <c r="S2099" s="7">
        <f t="shared" si="355"/>
        <v>13272050.000000002</v>
      </c>
      <c r="T2099" s="7">
        <f t="shared" si="356"/>
        <v>4021833.3333333335</v>
      </c>
      <c r="U2099" s="7">
        <f t="shared" si="357"/>
        <v>17910000</v>
      </c>
      <c r="V2099" s="7">
        <f t="shared" si="358"/>
        <v>0</v>
      </c>
      <c r="W2099" s="7">
        <f t="shared" si="359"/>
        <v>0</v>
      </c>
      <c r="X2099" s="7">
        <f t="shared" si="360"/>
        <v>0</v>
      </c>
    </row>
    <row r="2100" spans="1:24">
      <c r="A2100">
        <v>2099</v>
      </c>
      <c r="B2100" s="96" t="s">
        <v>1504</v>
      </c>
      <c r="C2100" s="95">
        <v>42884</v>
      </c>
      <c r="D2100" s="82">
        <v>12067500</v>
      </c>
      <c r="E2100" s="82">
        <v>12043000</v>
      </c>
      <c r="F2100" s="82">
        <v>12074500</v>
      </c>
      <c r="G2100" s="82">
        <v>12045500</v>
      </c>
      <c r="I2100" s="97">
        <v>0</v>
      </c>
      <c r="J2100" s="97">
        <v>0</v>
      </c>
      <c r="K2100" s="97">
        <v>0</v>
      </c>
      <c r="M2100" s="7">
        <f t="shared" si="353"/>
        <v>0</v>
      </c>
      <c r="N2100" s="7">
        <f t="shared" si="362"/>
        <v>0</v>
      </c>
      <c r="O2100" s="7">
        <f t="shared" si="361"/>
        <v>-20000</v>
      </c>
      <c r="P2100" s="99">
        <f t="shared" si="354"/>
        <v>-1.6576188305499151E-3</v>
      </c>
      <c r="Q2100" s="99">
        <f t="shared" si="363"/>
        <v>6.3126157101592545E-4</v>
      </c>
      <c r="S2100" s="7">
        <f t="shared" si="355"/>
        <v>13250050.000000002</v>
      </c>
      <c r="T2100" s="7">
        <f t="shared" si="356"/>
        <v>4015166.6666666665</v>
      </c>
      <c r="U2100" s="7">
        <f t="shared" si="357"/>
        <v>17850000</v>
      </c>
      <c r="V2100" s="7">
        <f t="shared" si="358"/>
        <v>0</v>
      </c>
      <c r="W2100" s="7">
        <f t="shared" si="359"/>
        <v>0</v>
      </c>
      <c r="X2100" s="7">
        <f t="shared" si="360"/>
        <v>0</v>
      </c>
    </row>
    <row r="2101" spans="1:24">
      <c r="A2101">
        <v>2100</v>
      </c>
      <c r="B2101" s="96" t="s">
        <v>1503</v>
      </c>
      <c r="C2101" s="95">
        <v>42885</v>
      </c>
      <c r="D2101" s="82">
        <v>12036500</v>
      </c>
      <c r="E2101" s="82">
        <v>11988000</v>
      </c>
      <c r="F2101" s="82">
        <v>12044500</v>
      </c>
      <c r="G2101" s="82">
        <v>11996000</v>
      </c>
      <c r="I2101" s="98">
        <v>0</v>
      </c>
      <c r="J2101" s="98">
        <v>0</v>
      </c>
      <c r="K2101" s="98">
        <v>0</v>
      </c>
      <c r="M2101" s="7">
        <f t="shared" si="353"/>
        <v>0</v>
      </c>
      <c r="N2101" s="7">
        <f t="shared" si="362"/>
        <v>0</v>
      </c>
      <c r="O2101" s="7">
        <f t="shared" si="361"/>
        <v>-49500</v>
      </c>
      <c r="P2101" s="99">
        <f t="shared" si="354"/>
        <v>-4.1094184550246977E-3</v>
      </c>
      <c r="Q2101" s="99">
        <f t="shared" si="363"/>
        <v>-8.6551975928811434E-3</v>
      </c>
      <c r="S2101" s="7">
        <f t="shared" si="355"/>
        <v>13195600.000000002</v>
      </c>
      <c r="T2101" s="7">
        <f t="shared" si="356"/>
        <v>3998666.6666666665</v>
      </c>
      <c r="U2101" s="7">
        <f t="shared" si="357"/>
        <v>17810000</v>
      </c>
      <c r="V2101" s="7">
        <f t="shared" si="358"/>
        <v>0</v>
      </c>
      <c r="W2101" s="7">
        <f t="shared" si="359"/>
        <v>0</v>
      </c>
      <c r="X2101" s="7">
        <f t="shared" si="360"/>
        <v>0</v>
      </c>
    </row>
    <row r="2102" spans="1:24">
      <c r="A2102">
        <v>2101</v>
      </c>
      <c r="B2102" s="96" t="s">
        <v>1502</v>
      </c>
      <c r="C2102" s="95">
        <v>42886</v>
      </c>
      <c r="D2102" s="82">
        <v>11991000</v>
      </c>
      <c r="E2102" s="82">
        <v>11968000</v>
      </c>
      <c r="F2102" s="82">
        <v>11998000</v>
      </c>
      <c r="G2102" s="82">
        <v>11990000</v>
      </c>
      <c r="I2102" s="82">
        <f>G2102*1.1</f>
        <v>13189000.000000002</v>
      </c>
      <c r="J2102" s="82">
        <f>G2102/3</f>
        <v>3996666.6666666665</v>
      </c>
      <c r="K2102" s="7">
        <f>G2370</f>
        <v>18560000</v>
      </c>
      <c r="L2102" s="7">
        <f>K2102-I2102</f>
        <v>5370999.9999999981</v>
      </c>
      <c r="M2102" s="7">
        <f t="shared" si="353"/>
        <v>499583.33333333326</v>
      </c>
      <c r="N2102" s="7">
        <f t="shared" si="362"/>
        <v>5870583.3333333312</v>
      </c>
      <c r="O2102" s="7">
        <f t="shared" si="361"/>
        <v>-6000</v>
      </c>
      <c r="P2102" s="99">
        <f t="shared" si="354"/>
        <v>-5.0016672224074694E-4</v>
      </c>
      <c r="Q2102" s="99">
        <f t="shared" si="363"/>
        <v>9.7854323284139212E-4</v>
      </c>
      <c r="R2102">
        <v>1</v>
      </c>
      <c r="S2102" s="7">
        <f t="shared" si="355"/>
        <v>13189000.000000002</v>
      </c>
      <c r="T2102" s="7">
        <f t="shared" si="356"/>
        <v>3996666.6666666665</v>
      </c>
      <c r="U2102" s="7">
        <f t="shared" si="357"/>
        <v>18560000</v>
      </c>
      <c r="V2102" s="7">
        <f t="shared" si="358"/>
        <v>5370999.9999999981</v>
      </c>
      <c r="W2102" s="7">
        <f t="shared" si="359"/>
        <v>499583.33333333326</v>
      </c>
      <c r="X2102" s="7">
        <f t="shared" si="360"/>
        <v>5870583.3333333312</v>
      </c>
    </row>
    <row r="2103" spans="1:24">
      <c r="A2103">
        <v>2102</v>
      </c>
      <c r="B2103" s="96" t="s">
        <v>1501</v>
      </c>
      <c r="C2103" s="95">
        <v>42887</v>
      </c>
      <c r="D2103" s="82">
        <v>11987500</v>
      </c>
      <c r="E2103" s="82">
        <v>11983500</v>
      </c>
      <c r="F2103" s="82">
        <v>12010500</v>
      </c>
      <c r="G2103" s="82">
        <v>12004000</v>
      </c>
      <c r="I2103" s="97">
        <v>0</v>
      </c>
      <c r="J2103" s="97">
        <v>0</v>
      </c>
      <c r="K2103" s="97">
        <v>0</v>
      </c>
      <c r="M2103" s="7">
        <f t="shared" si="353"/>
        <v>0</v>
      </c>
      <c r="N2103" s="7">
        <f t="shared" si="362"/>
        <v>0</v>
      </c>
      <c r="O2103" s="7">
        <f t="shared" si="361"/>
        <v>14000</v>
      </c>
      <c r="P2103" s="99">
        <f t="shared" si="354"/>
        <v>1.1676396997497916E-3</v>
      </c>
      <c r="Q2103" s="99">
        <f t="shared" si="363"/>
        <v>-3.2347529482837471E-3</v>
      </c>
      <c r="S2103" s="7">
        <f t="shared" si="355"/>
        <v>13204400.000000002</v>
      </c>
      <c r="T2103" s="7">
        <f t="shared" si="356"/>
        <v>4001333.3333333335</v>
      </c>
      <c r="U2103" s="7">
        <f t="shared" si="357"/>
        <v>17970000</v>
      </c>
      <c r="V2103" s="7">
        <f t="shared" si="358"/>
        <v>0</v>
      </c>
      <c r="W2103" s="7">
        <f t="shared" si="359"/>
        <v>0</v>
      </c>
      <c r="X2103" s="7">
        <f t="shared" si="360"/>
        <v>0</v>
      </c>
    </row>
    <row r="2104" spans="1:24">
      <c r="A2104">
        <v>2103</v>
      </c>
      <c r="B2104" s="96" t="s">
        <v>1500</v>
      </c>
      <c r="C2104" s="95">
        <v>42889</v>
      </c>
      <c r="D2104" s="82">
        <v>12007000</v>
      </c>
      <c r="E2104" s="82">
        <v>12007000</v>
      </c>
      <c r="F2104" s="82">
        <v>12032000</v>
      </c>
      <c r="G2104" s="82">
        <v>12027000</v>
      </c>
      <c r="I2104" s="97">
        <v>0</v>
      </c>
      <c r="J2104" s="97">
        <v>0</v>
      </c>
      <c r="K2104" s="97">
        <v>0</v>
      </c>
      <c r="M2104" s="7">
        <f t="shared" si="353"/>
        <v>0</v>
      </c>
      <c r="N2104" s="7">
        <f t="shared" si="362"/>
        <v>0</v>
      </c>
      <c r="O2104" s="7">
        <f t="shared" si="361"/>
        <v>23000</v>
      </c>
      <c r="P2104" s="99">
        <f t="shared" si="354"/>
        <v>1.9160279906697767E-3</v>
      </c>
      <c r="Q2104" s="99">
        <f t="shared" si="363"/>
        <v>-4.2285564275180779E-3</v>
      </c>
      <c r="S2104" s="7">
        <f t="shared" si="355"/>
        <v>13229700.000000002</v>
      </c>
      <c r="T2104" s="7">
        <f t="shared" si="356"/>
        <v>4009000</v>
      </c>
      <c r="U2104" s="7">
        <f t="shared" si="357"/>
        <v>18400000</v>
      </c>
      <c r="V2104" s="7">
        <f t="shared" si="358"/>
        <v>0</v>
      </c>
      <c r="W2104" s="7">
        <f t="shared" si="359"/>
        <v>0</v>
      </c>
      <c r="X2104" s="7">
        <f t="shared" si="360"/>
        <v>0</v>
      </c>
    </row>
    <row r="2105" spans="1:24">
      <c r="A2105">
        <v>2104</v>
      </c>
      <c r="B2105" s="96" t="s">
        <v>1499</v>
      </c>
      <c r="C2105" s="95">
        <v>42890</v>
      </c>
      <c r="D2105" s="82">
        <v>12028000</v>
      </c>
      <c r="E2105" s="82">
        <v>12025500</v>
      </c>
      <c r="F2105" s="82">
        <v>12031000</v>
      </c>
      <c r="G2105" s="82">
        <v>12028500</v>
      </c>
      <c r="I2105" s="97">
        <v>0</v>
      </c>
      <c r="J2105" s="97">
        <v>0</v>
      </c>
      <c r="K2105" s="97">
        <v>0</v>
      </c>
      <c r="M2105" s="7">
        <f t="shared" si="353"/>
        <v>0</v>
      </c>
      <c r="N2105" s="7">
        <f t="shared" si="362"/>
        <v>0</v>
      </c>
      <c r="O2105" s="7">
        <f t="shared" si="361"/>
        <v>1500</v>
      </c>
      <c r="P2105" s="99">
        <f t="shared" si="354"/>
        <v>1.2471938139186831E-4</v>
      </c>
      <c r="Q2105" s="99">
        <f t="shared" si="363"/>
        <v>-3.1835363173957909E-3</v>
      </c>
      <c r="S2105" s="7">
        <f t="shared" si="355"/>
        <v>13231350.000000002</v>
      </c>
      <c r="T2105" s="7">
        <f t="shared" si="356"/>
        <v>4009500</v>
      </c>
      <c r="U2105" s="7">
        <f t="shared" si="357"/>
        <v>18290000</v>
      </c>
      <c r="V2105" s="7">
        <f t="shared" si="358"/>
        <v>0</v>
      </c>
      <c r="W2105" s="7">
        <f t="shared" si="359"/>
        <v>0</v>
      </c>
      <c r="X2105" s="7">
        <f t="shared" si="360"/>
        <v>0</v>
      </c>
    </row>
    <row r="2106" spans="1:24">
      <c r="A2106">
        <v>2105</v>
      </c>
      <c r="B2106" s="96" t="s">
        <v>1498</v>
      </c>
      <c r="C2106" s="95">
        <v>42891</v>
      </c>
      <c r="D2106" s="82">
        <v>12026500</v>
      </c>
      <c r="E2106" s="82">
        <v>12009500</v>
      </c>
      <c r="F2106" s="82">
        <v>12030500</v>
      </c>
      <c r="G2106" s="82">
        <v>12017000</v>
      </c>
      <c r="I2106" s="98">
        <v>0</v>
      </c>
      <c r="J2106" s="98">
        <v>0</v>
      </c>
      <c r="K2106" s="98">
        <v>0</v>
      </c>
      <c r="M2106" s="7">
        <f t="shared" si="353"/>
        <v>0</v>
      </c>
      <c r="N2106" s="7">
        <f t="shared" si="362"/>
        <v>0</v>
      </c>
      <c r="O2106" s="7">
        <f t="shared" si="361"/>
        <v>-11500</v>
      </c>
      <c r="P2106" s="99">
        <f t="shared" si="354"/>
        <v>-9.5606268445774616E-4</v>
      </c>
      <c r="Q2106" s="99">
        <f t="shared" si="363"/>
        <v>-1.4011981054540079E-3</v>
      </c>
      <c r="S2106" s="7">
        <f t="shared" si="355"/>
        <v>13218700.000000002</v>
      </c>
      <c r="T2106" s="7">
        <f t="shared" si="356"/>
        <v>4005666.6666666665</v>
      </c>
      <c r="U2106" s="7">
        <f t="shared" si="357"/>
        <v>18350000</v>
      </c>
      <c r="V2106" s="7">
        <f t="shared" si="358"/>
        <v>0</v>
      </c>
      <c r="W2106" s="7">
        <f t="shared" si="359"/>
        <v>0</v>
      </c>
      <c r="X2106" s="7">
        <f t="shared" si="360"/>
        <v>0</v>
      </c>
    </row>
    <row r="2107" spans="1:24">
      <c r="A2107">
        <v>2106</v>
      </c>
      <c r="B2107" s="96" t="s">
        <v>1497</v>
      </c>
      <c r="C2107" s="95">
        <v>42892</v>
      </c>
      <c r="D2107" s="82">
        <v>12029500</v>
      </c>
      <c r="E2107" s="82">
        <v>12029500</v>
      </c>
      <c r="F2107" s="82">
        <v>12064500</v>
      </c>
      <c r="G2107" s="82">
        <v>12051000</v>
      </c>
      <c r="I2107" s="82">
        <f>G2107*1.1</f>
        <v>13256100.000000002</v>
      </c>
      <c r="J2107" s="82">
        <f>G2107/3</f>
        <v>4017000</v>
      </c>
      <c r="K2107" s="7">
        <f>G2375</f>
        <v>18200000</v>
      </c>
      <c r="L2107" s="7">
        <f>K2107-I2107</f>
        <v>4943899.9999999981</v>
      </c>
      <c r="M2107" s="7">
        <f t="shared" si="353"/>
        <v>502125</v>
      </c>
      <c r="N2107" s="7">
        <f t="shared" si="362"/>
        <v>5446024.9999999981</v>
      </c>
      <c r="O2107" s="7">
        <f t="shared" si="361"/>
        <v>34000</v>
      </c>
      <c r="P2107" s="99">
        <f t="shared" si="354"/>
        <v>2.8293251227427809E-3</v>
      </c>
      <c r="Q2107" s="99">
        <f t="shared" si="363"/>
        <v>1.7521576651129433E-3</v>
      </c>
      <c r="R2107">
        <v>1</v>
      </c>
      <c r="S2107" s="7">
        <f t="shared" si="355"/>
        <v>13256100.000000002</v>
      </c>
      <c r="T2107" s="7">
        <f t="shared" si="356"/>
        <v>4017000</v>
      </c>
      <c r="U2107" s="7">
        <f t="shared" si="357"/>
        <v>18200000</v>
      </c>
      <c r="V2107" s="7">
        <f t="shared" si="358"/>
        <v>4943899.9999999981</v>
      </c>
      <c r="W2107" s="7">
        <f t="shared" si="359"/>
        <v>502125</v>
      </c>
      <c r="X2107" s="7">
        <f t="shared" si="360"/>
        <v>5446024.9999999981</v>
      </c>
    </row>
    <row r="2108" spans="1:24">
      <c r="A2108">
        <v>2107</v>
      </c>
      <c r="B2108" s="96" t="s">
        <v>1496</v>
      </c>
      <c r="C2108" s="95">
        <v>42893</v>
      </c>
      <c r="D2108" s="82">
        <v>12049000</v>
      </c>
      <c r="E2108" s="82">
        <v>12047500</v>
      </c>
      <c r="F2108" s="82">
        <v>12078500</v>
      </c>
      <c r="G2108" s="82">
        <v>12052500</v>
      </c>
      <c r="I2108" s="97">
        <v>0</v>
      </c>
      <c r="J2108" s="97">
        <v>0</v>
      </c>
      <c r="K2108" s="97">
        <v>0</v>
      </c>
      <c r="M2108" s="7">
        <f t="shared" si="353"/>
        <v>0</v>
      </c>
      <c r="N2108" s="7">
        <f t="shared" si="362"/>
        <v>0</v>
      </c>
      <c r="O2108" s="7">
        <f t="shared" si="361"/>
        <v>1500</v>
      </c>
      <c r="P2108" s="99">
        <f t="shared" si="354"/>
        <v>1.2447099825740602E-4</v>
      </c>
      <c r="Q2108" s="99">
        <f t="shared" si="363"/>
        <v>5.0816495100964709E-3</v>
      </c>
      <c r="S2108" s="7">
        <f t="shared" si="355"/>
        <v>13257750.000000002</v>
      </c>
      <c r="T2108" s="7">
        <f t="shared" si="356"/>
        <v>4017500</v>
      </c>
      <c r="U2108" s="7">
        <f t="shared" si="357"/>
        <v>17700000</v>
      </c>
      <c r="V2108" s="7">
        <f t="shared" si="358"/>
        <v>0</v>
      </c>
      <c r="W2108" s="7">
        <f t="shared" si="359"/>
        <v>0</v>
      </c>
      <c r="X2108" s="7">
        <f t="shared" si="360"/>
        <v>0</v>
      </c>
    </row>
    <row r="2109" spans="1:24">
      <c r="A2109">
        <v>2108</v>
      </c>
      <c r="B2109" s="96" t="s">
        <v>1495</v>
      </c>
      <c r="C2109" s="95">
        <v>42894</v>
      </c>
      <c r="D2109" s="82">
        <v>12049500</v>
      </c>
      <c r="E2109" s="82">
        <v>12024000</v>
      </c>
      <c r="F2109" s="82">
        <v>12054500</v>
      </c>
      <c r="G2109" s="82">
        <v>12029500</v>
      </c>
      <c r="I2109" s="97">
        <v>0</v>
      </c>
      <c r="J2109" s="97">
        <v>0</v>
      </c>
      <c r="K2109" s="97">
        <v>0</v>
      </c>
      <c r="M2109" s="7">
        <f t="shared" si="353"/>
        <v>0</v>
      </c>
      <c r="N2109" s="7">
        <f t="shared" si="362"/>
        <v>0</v>
      </c>
      <c r="O2109" s="7">
        <f t="shared" si="361"/>
        <v>-23000</v>
      </c>
      <c r="P2109" s="99">
        <f t="shared" si="354"/>
        <v>-1.9083177763949389E-3</v>
      </c>
      <c r="Q2109" s="99">
        <f t="shared" si="363"/>
        <v>4.0384808086040861E-3</v>
      </c>
      <c r="S2109" s="7">
        <f t="shared" si="355"/>
        <v>13232450.000000002</v>
      </c>
      <c r="T2109" s="7">
        <f t="shared" si="356"/>
        <v>4009833.3333333335</v>
      </c>
      <c r="U2109" s="7">
        <f t="shared" si="357"/>
        <v>17600000</v>
      </c>
      <c r="V2109" s="7">
        <f t="shared" si="358"/>
        <v>0</v>
      </c>
      <c r="W2109" s="7">
        <f t="shared" si="359"/>
        <v>0</v>
      </c>
      <c r="X2109" s="7">
        <f t="shared" si="360"/>
        <v>0</v>
      </c>
    </row>
    <row r="2110" spans="1:24">
      <c r="A2110">
        <v>2109</v>
      </c>
      <c r="B2110" s="96" t="s">
        <v>1494</v>
      </c>
      <c r="C2110" s="95">
        <v>42896</v>
      </c>
      <c r="D2110" s="82">
        <v>12014000</v>
      </c>
      <c r="E2110" s="82">
        <v>11972000</v>
      </c>
      <c r="F2110" s="82">
        <v>12017500</v>
      </c>
      <c r="G2110" s="82">
        <v>11984000</v>
      </c>
      <c r="I2110" s="97">
        <v>0</v>
      </c>
      <c r="J2110" s="97">
        <v>0</v>
      </c>
      <c r="K2110" s="97">
        <v>0</v>
      </c>
      <c r="M2110" s="7">
        <f t="shared" si="353"/>
        <v>0</v>
      </c>
      <c r="N2110" s="7">
        <f t="shared" si="362"/>
        <v>0</v>
      </c>
      <c r="O2110" s="7">
        <f t="shared" si="361"/>
        <v>-45500</v>
      </c>
      <c r="P2110" s="99">
        <f t="shared" si="354"/>
        <v>-3.782368344486471E-3</v>
      </c>
      <c r="Q2110" s="99">
        <f t="shared" si="363"/>
        <v>2.1413504153937031E-4</v>
      </c>
      <c r="S2110" s="7">
        <f t="shared" si="355"/>
        <v>13182400.000000002</v>
      </c>
      <c r="T2110" s="7">
        <f t="shared" si="356"/>
        <v>3994666.6666666665</v>
      </c>
      <c r="U2110" s="7">
        <f t="shared" si="357"/>
        <v>17470000</v>
      </c>
      <c r="V2110" s="7">
        <f t="shared" si="358"/>
        <v>0</v>
      </c>
      <c r="W2110" s="7">
        <f t="shared" si="359"/>
        <v>0</v>
      </c>
      <c r="X2110" s="7">
        <f t="shared" si="360"/>
        <v>0</v>
      </c>
    </row>
    <row r="2111" spans="1:24">
      <c r="A2111">
        <v>2110</v>
      </c>
      <c r="B2111" s="96" t="s">
        <v>1493</v>
      </c>
      <c r="C2111" s="95">
        <v>42897</v>
      </c>
      <c r="D2111" s="82">
        <v>11983000</v>
      </c>
      <c r="E2111" s="82">
        <v>11981500</v>
      </c>
      <c r="F2111" s="82">
        <v>12014500</v>
      </c>
      <c r="G2111" s="82">
        <v>12000000</v>
      </c>
      <c r="I2111" s="98">
        <v>0</v>
      </c>
      <c r="J2111" s="98">
        <v>0</v>
      </c>
      <c r="K2111" s="98">
        <v>0</v>
      </c>
      <c r="M2111" s="7">
        <f t="shared" si="353"/>
        <v>0</v>
      </c>
      <c r="N2111" s="7">
        <f t="shared" si="362"/>
        <v>0</v>
      </c>
      <c r="O2111" s="7">
        <f t="shared" si="361"/>
        <v>16000</v>
      </c>
      <c r="P2111" s="99">
        <f t="shared" si="354"/>
        <v>1.3351134846461949E-3</v>
      </c>
      <c r="Q2111" s="99">
        <f t="shared" si="363"/>
        <v>-3.692952684338969E-3</v>
      </c>
      <c r="S2111" s="7">
        <f t="shared" si="355"/>
        <v>13200000.000000002</v>
      </c>
      <c r="T2111" s="7">
        <f t="shared" si="356"/>
        <v>4000000</v>
      </c>
      <c r="U2111" s="7">
        <f t="shared" si="357"/>
        <v>17670000</v>
      </c>
      <c r="V2111" s="7">
        <f t="shared" si="358"/>
        <v>0</v>
      </c>
      <c r="W2111" s="7">
        <f t="shared" si="359"/>
        <v>0</v>
      </c>
      <c r="X2111" s="7">
        <f t="shared" si="360"/>
        <v>0</v>
      </c>
    </row>
    <row r="2112" spans="1:24">
      <c r="A2112">
        <v>2111</v>
      </c>
      <c r="B2112" s="96" t="s">
        <v>1492</v>
      </c>
      <c r="C2112" s="95">
        <v>42898</v>
      </c>
      <c r="D2112" s="82">
        <v>11997000</v>
      </c>
      <c r="E2112" s="82">
        <v>11983000</v>
      </c>
      <c r="F2112" s="82">
        <v>12009000</v>
      </c>
      <c r="G2112" s="82">
        <v>11990000</v>
      </c>
      <c r="I2112" s="82">
        <f>G2112*1.1</f>
        <v>13189000.000000002</v>
      </c>
      <c r="J2112" s="82">
        <f>G2112/3</f>
        <v>3996666.6666666665</v>
      </c>
      <c r="K2112" s="7">
        <f>G2380</f>
        <v>18000000</v>
      </c>
      <c r="L2112" s="7">
        <f>K2112-I2112</f>
        <v>4810999.9999999981</v>
      </c>
      <c r="M2112" s="7">
        <f t="shared" si="353"/>
        <v>499583.33333333326</v>
      </c>
      <c r="N2112" s="7">
        <f t="shared" si="362"/>
        <v>5310583.3333333312</v>
      </c>
      <c r="O2112" s="7">
        <f t="shared" si="361"/>
        <v>-10000</v>
      </c>
      <c r="P2112" s="99">
        <f t="shared" si="354"/>
        <v>-8.3333333333333339E-4</v>
      </c>
      <c r="Q2112" s="99">
        <f t="shared" si="363"/>
        <v>-1.4017765152350278E-3</v>
      </c>
      <c r="R2112">
        <v>1</v>
      </c>
      <c r="S2112" s="7">
        <f t="shared" si="355"/>
        <v>13189000.000000002</v>
      </c>
      <c r="T2112" s="7">
        <f t="shared" si="356"/>
        <v>3996666.6666666665</v>
      </c>
      <c r="U2112" s="7">
        <f t="shared" si="357"/>
        <v>18000000</v>
      </c>
      <c r="V2112" s="7">
        <f t="shared" si="358"/>
        <v>4810999.9999999981</v>
      </c>
      <c r="W2112" s="7">
        <f t="shared" si="359"/>
        <v>499583.33333333326</v>
      </c>
      <c r="X2112" s="7">
        <f t="shared" si="360"/>
        <v>5310583.3333333312</v>
      </c>
    </row>
    <row r="2113" spans="1:24">
      <c r="A2113">
        <v>2112</v>
      </c>
      <c r="B2113" s="96" t="s">
        <v>1491</v>
      </c>
      <c r="C2113" s="95">
        <v>42899</v>
      </c>
      <c r="D2113" s="82">
        <v>11996000</v>
      </c>
      <c r="E2113" s="82">
        <v>11976000</v>
      </c>
      <c r="F2113" s="82">
        <v>12008000</v>
      </c>
      <c r="G2113" s="82">
        <v>12008000</v>
      </c>
      <c r="I2113" s="97">
        <v>0</v>
      </c>
      <c r="J2113" s="97">
        <v>0</v>
      </c>
      <c r="K2113" s="97">
        <v>0</v>
      </c>
      <c r="M2113" s="7">
        <f t="shared" si="353"/>
        <v>0</v>
      </c>
      <c r="N2113" s="7">
        <f t="shared" si="362"/>
        <v>0</v>
      </c>
      <c r="O2113" s="7">
        <f t="shared" si="361"/>
        <v>18000</v>
      </c>
      <c r="P2113" s="99">
        <f t="shared" si="354"/>
        <v>1.5012510425354462E-3</v>
      </c>
      <c r="Q2113" s="99">
        <f t="shared" si="363"/>
        <v>-5.0644349713111422E-3</v>
      </c>
      <c r="S2113" s="7">
        <f t="shared" si="355"/>
        <v>13208800.000000002</v>
      </c>
      <c r="T2113" s="7">
        <f t="shared" si="356"/>
        <v>4002666.6666666665</v>
      </c>
      <c r="U2113" s="7">
        <f t="shared" si="357"/>
        <v>18450000</v>
      </c>
      <c r="V2113" s="7">
        <f t="shared" si="358"/>
        <v>0</v>
      </c>
      <c r="W2113" s="7">
        <f t="shared" si="359"/>
        <v>0</v>
      </c>
      <c r="X2113" s="7">
        <f t="shared" si="360"/>
        <v>0</v>
      </c>
    </row>
    <row r="2114" spans="1:24">
      <c r="A2114">
        <v>2113</v>
      </c>
      <c r="B2114" s="96" t="s">
        <v>1490</v>
      </c>
      <c r="C2114" s="95">
        <v>42900</v>
      </c>
      <c r="D2114" s="82">
        <v>12012000</v>
      </c>
      <c r="E2114" s="82">
        <v>11998000</v>
      </c>
      <c r="F2114" s="82">
        <v>12020000</v>
      </c>
      <c r="G2114" s="82">
        <v>12014500</v>
      </c>
      <c r="I2114" s="97">
        <v>0</v>
      </c>
      <c r="J2114" s="97">
        <v>0</v>
      </c>
      <c r="K2114" s="97">
        <v>0</v>
      </c>
      <c r="M2114" s="7">
        <f t="shared" ref="M2114:M2177" si="364">J2114*$AI$6/200</f>
        <v>0</v>
      </c>
      <c r="N2114" s="7">
        <f t="shared" si="362"/>
        <v>0</v>
      </c>
      <c r="O2114" s="7">
        <f t="shared" si="361"/>
        <v>6500</v>
      </c>
      <c r="P2114" s="99">
        <f t="shared" si="354"/>
        <v>5.4130579613590943E-4</v>
      </c>
      <c r="Q2114" s="99">
        <f t="shared" si="363"/>
        <v>-3.6876549270331016E-3</v>
      </c>
      <c r="S2114" s="7">
        <f t="shared" si="355"/>
        <v>13215950.000000002</v>
      </c>
      <c r="T2114" s="7">
        <f t="shared" si="356"/>
        <v>4004833.3333333335</v>
      </c>
      <c r="U2114" s="7">
        <f t="shared" si="357"/>
        <v>18550000</v>
      </c>
      <c r="V2114" s="7">
        <f t="shared" si="358"/>
        <v>0</v>
      </c>
      <c r="W2114" s="7">
        <f t="shared" si="359"/>
        <v>0</v>
      </c>
      <c r="X2114" s="7">
        <f t="shared" si="360"/>
        <v>0</v>
      </c>
    </row>
    <row r="2115" spans="1:24">
      <c r="A2115">
        <v>2114</v>
      </c>
      <c r="B2115" s="96" t="s">
        <v>1489</v>
      </c>
      <c r="C2115" s="95">
        <v>42901</v>
      </c>
      <c r="D2115" s="82">
        <v>12003000</v>
      </c>
      <c r="E2115" s="82">
        <v>11990000</v>
      </c>
      <c r="F2115" s="82">
        <v>12004500</v>
      </c>
      <c r="G2115" s="82">
        <v>12000000</v>
      </c>
      <c r="I2115" s="97">
        <v>0</v>
      </c>
      <c r="J2115" s="97">
        <v>0</v>
      </c>
      <c r="K2115" s="97">
        <v>0</v>
      </c>
      <c r="M2115" s="7">
        <f t="shared" si="364"/>
        <v>0</v>
      </c>
      <c r="N2115" s="7">
        <f t="shared" si="362"/>
        <v>0</v>
      </c>
      <c r="O2115" s="7">
        <f t="shared" si="361"/>
        <v>-14500</v>
      </c>
      <c r="P2115" s="99">
        <f t="shared" ref="P2115:P2178" si="365">O2115/G2114</f>
        <v>-1.2068750260102376E-3</v>
      </c>
      <c r="Q2115" s="99">
        <f t="shared" si="363"/>
        <v>-1.2380313545022541E-3</v>
      </c>
      <c r="S2115" s="7">
        <f t="shared" ref="S2115:S2178" si="366">G2115*1.1</f>
        <v>13200000.000000002</v>
      </c>
      <c r="T2115" s="7">
        <f t="shared" ref="T2115:T2122" si="367">G2115/3</f>
        <v>4000000</v>
      </c>
      <c r="U2115" s="7">
        <f t="shared" ref="U2115:U2122" si="368">G2383</f>
        <v>19000000</v>
      </c>
      <c r="V2115" s="7">
        <f t="shared" ref="V2115:V2178" si="369">(U2115-S2115)*R2115</f>
        <v>0</v>
      </c>
      <c r="W2115" s="7">
        <f t="shared" ref="W2115:W2178" si="370">(T2115*$AI$6/200)*R2115</f>
        <v>0</v>
      </c>
      <c r="X2115" s="7">
        <f t="shared" ref="X2115:X2178" si="371">V2115+W2115</f>
        <v>0</v>
      </c>
    </row>
    <row r="2116" spans="1:24">
      <c r="A2116">
        <v>2115</v>
      </c>
      <c r="B2116" s="96" t="s">
        <v>1488</v>
      </c>
      <c r="C2116" s="95">
        <v>42903</v>
      </c>
      <c r="D2116" s="82">
        <v>12031500</v>
      </c>
      <c r="E2116" s="82">
        <v>12029000</v>
      </c>
      <c r="F2116" s="82">
        <v>12172000</v>
      </c>
      <c r="G2116" s="82">
        <v>12164500</v>
      </c>
      <c r="I2116" s="98">
        <v>0</v>
      </c>
      <c r="J2116" s="98">
        <v>0</v>
      </c>
      <c r="K2116" s="98">
        <v>0</v>
      </c>
      <c r="M2116" s="7">
        <f t="shared" si="364"/>
        <v>0</v>
      </c>
      <c r="N2116" s="7">
        <f t="shared" si="362"/>
        <v>0</v>
      </c>
      <c r="O2116" s="7">
        <f t="shared" ref="O2116:O2179" si="372">G2116-G2115</f>
        <v>164500</v>
      </c>
      <c r="P2116" s="99">
        <f t="shared" si="365"/>
        <v>1.3708333333333333E-2</v>
      </c>
      <c r="Q2116" s="99">
        <f t="shared" si="363"/>
        <v>1.3374619639739797E-3</v>
      </c>
      <c r="S2116" s="7">
        <f t="shared" si="366"/>
        <v>13380950.000000002</v>
      </c>
      <c r="T2116" s="7">
        <f t="shared" si="367"/>
        <v>4054833.3333333335</v>
      </c>
      <c r="U2116" s="7">
        <f t="shared" si="368"/>
        <v>19600000</v>
      </c>
      <c r="V2116" s="7">
        <f t="shared" si="369"/>
        <v>0</v>
      </c>
      <c r="W2116" s="7">
        <f t="shared" si="370"/>
        <v>0</v>
      </c>
      <c r="X2116" s="7">
        <f t="shared" si="371"/>
        <v>0</v>
      </c>
    </row>
    <row r="2117" spans="1:24">
      <c r="A2117">
        <v>2116</v>
      </c>
      <c r="B2117" s="96" t="s">
        <v>1487</v>
      </c>
      <c r="C2117" s="95">
        <v>42904</v>
      </c>
      <c r="D2117" s="82">
        <v>12160500</v>
      </c>
      <c r="E2117" s="82">
        <v>12152500</v>
      </c>
      <c r="F2117" s="82">
        <v>12228000</v>
      </c>
      <c r="G2117" s="82">
        <v>12195000</v>
      </c>
      <c r="I2117" s="82">
        <f>G2117*1.1</f>
        <v>13414500.000000002</v>
      </c>
      <c r="J2117" s="82">
        <f>G2117/3</f>
        <v>4065000</v>
      </c>
      <c r="K2117" s="7">
        <f>G2385</f>
        <v>20475000</v>
      </c>
      <c r="L2117" s="7">
        <f>K2117-I2117</f>
        <v>7060499.9999999981</v>
      </c>
      <c r="M2117" s="7">
        <f t="shared" si="364"/>
        <v>508125</v>
      </c>
      <c r="N2117" s="7">
        <f t="shared" si="362"/>
        <v>7568624.9999999981</v>
      </c>
      <c r="O2117" s="7">
        <f t="shared" si="372"/>
        <v>30500</v>
      </c>
      <c r="P2117" s="99">
        <f t="shared" si="365"/>
        <v>2.5072958198035268E-3</v>
      </c>
      <c r="Q2117" s="99">
        <f t="shared" si="363"/>
        <v>1.3710681812661118E-2</v>
      </c>
      <c r="R2117">
        <v>1</v>
      </c>
      <c r="S2117" s="7">
        <f t="shared" si="366"/>
        <v>13414500.000000002</v>
      </c>
      <c r="T2117" s="7">
        <f t="shared" si="367"/>
        <v>4065000</v>
      </c>
      <c r="U2117" s="7">
        <f t="shared" si="368"/>
        <v>20475000</v>
      </c>
      <c r="V2117" s="7">
        <f t="shared" si="369"/>
        <v>7060499.9999999981</v>
      </c>
      <c r="W2117" s="7">
        <f t="shared" si="370"/>
        <v>508125</v>
      </c>
      <c r="X2117" s="7">
        <f t="shared" si="371"/>
        <v>7568624.9999999981</v>
      </c>
    </row>
    <row r="2118" spans="1:24">
      <c r="A2118">
        <v>2117</v>
      </c>
      <c r="B2118" s="96" t="s">
        <v>1486</v>
      </c>
      <c r="C2118" s="95">
        <v>42905</v>
      </c>
      <c r="D2118" s="82">
        <v>12199000</v>
      </c>
      <c r="E2118" s="82">
        <v>12116500</v>
      </c>
      <c r="F2118" s="82">
        <v>12207000</v>
      </c>
      <c r="G2118" s="82">
        <v>12118500</v>
      </c>
      <c r="I2118" s="97">
        <v>0</v>
      </c>
      <c r="J2118" s="97">
        <v>0</v>
      </c>
      <c r="K2118" s="97">
        <v>0</v>
      </c>
      <c r="M2118" s="7">
        <f t="shared" si="364"/>
        <v>0</v>
      </c>
      <c r="N2118" s="7">
        <f t="shared" si="362"/>
        <v>0</v>
      </c>
      <c r="O2118" s="7">
        <f t="shared" si="372"/>
        <v>-76500</v>
      </c>
      <c r="P2118" s="99">
        <f t="shared" si="365"/>
        <v>-6.2730627306273063E-3</v>
      </c>
      <c r="Q2118" s="99">
        <f t="shared" si="363"/>
        <v>1.7051310965797976E-2</v>
      </c>
      <c r="S2118" s="7">
        <f t="shared" si="366"/>
        <v>13330350.000000002</v>
      </c>
      <c r="T2118" s="7">
        <f t="shared" si="367"/>
        <v>4039500</v>
      </c>
      <c r="U2118" s="7">
        <f t="shared" si="368"/>
        <v>20370000</v>
      </c>
      <c r="V2118" s="7">
        <f t="shared" si="369"/>
        <v>0</v>
      </c>
      <c r="W2118" s="7">
        <f t="shared" si="370"/>
        <v>0</v>
      </c>
      <c r="X2118" s="7">
        <f t="shared" si="371"/>
        <v>0</v>
      </c>
    </row>
    <row r="2119" spans="1:24">
      <c r="A2119">
        <v>2118</v>
      </c>
      <c r="B2119" s="96" t="s">
        <v>1485</v>
      </c>
      <c r="C2119" s="95">
        <v>42906</v>
      </c>
      <c r="D2119" s="82">
        <v>12120500</v>
      </c>
      <c r="E2119" s="82">
        <v>12094500</v>
      </c>
      <c r="F2119" s="82">
        <v>12140000</v>
      </c>
      <c r="G2119" s="82">
        <v>12119000</v>
      </c>
      <c r="I2119" s="97">
        <v>0</v>
      </c>
      <c r="J2119" s="97">
        <v>0</v>
      </c>
      <c r="K2119" s="97">
        <v>0</v>
      </c>
      <c r="M2119" s="7">
        <f t="shared" si="364"/>
        <v>0</v>
      </c>
      <c r="N2119" s="7">
        <f t="shared" si="362"/>
        <v>0</v>
      </c>
      <c r="O2119" s="7">
        <f t="shared" si="372"/>
        <v>500</v>
      </c>
      <c r="P2119" s="99">
        <f t="shared" si="365"/>
        <v>4.1259231753104757E-5</v>
      </c>
      <c r="Q2119" s="99">
        <f t="shared" si="363"/>
        <v>9.2769971926352258E-3</v>
      </c>
      <c r="S2119" s="7">
        <f t="shared" si="366"/>
        <v>13330900.000000002</v>
      </c>
      <c r="T2119" s="7">
        <f t="shared" si="367"/>
        <v>4039666.6666666665</v>
      </c>
      <c r="U2119" s="7">
        <f t="shared" si="368"/>
        <v>18980000</v>
      </c>
      <c r="V2119" s="7">
        <f t="shared" si="369"/>
        <v>0</v>
      </c>
      <c r="W2119" s="7">
        <f t="shared" si="370"/>
        <v>0</v>
      </c>
      <c r="X2119" s="7">
        <f t="shared" si="371"/>
        <v>0</v>
      </c>
    </row>
    <row r="2120" spans="1:24">
      <c r="A2120">
        <v>2119</v>
      </c>
      <c r="B2120" s="96" t="s">
        <v>1484</v>
      </c>
      <c r="C2120" s="95">
        <v>42907</v>
      </c>
      <c r="D2120" s="82">
        <v>12124500</v>
      </c>
      <c r="E2120" s="82">
        <v>12075000</v>
      </c>
      <c r="F2120" s="82">
        <v>12124500</v>
      </c>
      <c r="G2120" s="82">
        <v>12089500</v>
      </c>
      <c r="I2120" s="97">
        <v>0</v>
      </c>
      <c r="J2120" s="97">
        <v>0</v>
      </c>
      <c r="K2120" s="97">
        <v>0</v>
      </c>
      <c r="M2120" s="7">
        <f t="shared" si="364"/>
        <v>0</v>
      </c>
      <c r="N2120" s="7">
        <f t="shared" ref="N2120:N2183" si="373">L2120+M2120</f>
        <v>0</v>
      </c>
      <c r="O2120" s="7">
        <f t="shared" si="372"/>
        <v>-29500</v>
      </c>
      <c r="P2120" s="99">
        <f t="shared" si="365"/>
        <v>-2.4341942404488819E-3</v>
      </c>
      <c r="Q2120" s="99">
        <f t="shared" ref="Q2120:Q2183" si="374">SUM(P2115:P2119)</f>
        <v>8.7769506282524209E-3</v>
      </c>
      <c r="S2120" s="7">
        <f t="shared" si="366"/>
        <v>13298450.000000002</v>
      </c>
      <c r="T2120" s="7">
        <f t="shared" si="367"/>
        <v>4029833.3333333335</v>
      </c>
      <c r="U2120" s="7">
        <f t="shared" si="368"/>
        <v>20020000</v>
      </c>
      <c r="V2120" s="7">
        <f t="shared" si="369"/>
        <v>0</v>
      </c>
      <c r="W2120" s="7">
        <f t="shared" si="370"/>
        <v>0</v>
      </c>
      <c r="X2120" s="7">
        <f t="shared" si="371"/>
        <v>0</v>
      </c>
    </row>
    <row r="2121" spans="1:24">
      <c r="A2121">
        <v>2120</v>
      </c>
      <c r="B2121" s="96" t="s">
        <v>1483</v>
      </c>
      <c r="C2121" s="95">
        <v>42908</v>
      </c>
      <c r="D2121" s="82">
        <v>12096500</v>
      </c>
      <c r="E2121" s="82">
        <v>12096000</v>
      </c>
      <c r="F2121" s="82">
        <v>12125500</v>
      </c>
      <c r="G2121" s="82">
        <v>12117000</v>
      </c>
      <c r="I2121" s="98">
        <v>0</v>
      </c>
      <c r="J2121" s="98">
        <v>0</v>
      </c>
      <c r="K2121" s="98">
        <v>0</v>
      </c>
      <c r="M2121" s="7">
        <f t="shared" si="364"/>
        <v>0</v>
      </c>
      <c r="N2121" s="7">
        <f t="shared" si="373"/>
        <v>0</v>
      </c>
      <c r="O2121" s="7">
        <f t="shared" si="372"/>
        <v>27500</v>
      </c>
      <c r="P2121" s="99">
        <f t="shared" si="365"/>
        <v>2.2747011869804377E-3</v>
      </c>
      <c r="Q2121" s="99">
        <f t="shared" si="374"/>
        <v>7.549631413813776E-3</v>
      </c>
      <c r="S2121" s="7">
        <f t="shared" si="366"/>
        <v>13328700.000000002</v>
      </c>
      <c r="T2121" s="7">
        <f t="shared" si="367"/>
        <v>4039000</v>
      </c>
      <c r="U2121" s="7">
        <f t="shared" si="368"/>
        <v>20190000</v>
      </c>
      <c r="V2121" s="7">
        <f t="shared" si="369"/>
        <v>0</v>
      </c>
      <c r="W2121" s="7">
        <f t="shared" si="370"/>
        <v>0</v>
      </c>
      <c r="X2121" s="7">
        <f t="shared" si="371"/>
        <v>0</v>
      </c>
    </row>
    <row r="2122" spans="1:24">
      <c r="A2122">
        <v>2121</v>
      </c>
      <c r="B2122" s="96" t="s">
        <v>1482</v>
      </c>
      <c r="C2122" s="95">
        <v>42910</v>
      </c>
      <c r="D2122" s="82">
        <v>12115500</v>
      </c>
      <c r="E2122" s="82">
        <v>12106000</v>
      </c>
      <c r="F2122" s="82">
        <v>12140000</v>
      </c>
      <c r="G2122" s="82">
        <v>12109000</v>
      </c>
      <c r="I2122" s="82">
        <f>G2122*1.1</f>
        <v>13319900.000000002</v>
      </c>
      <c r="J2122" s="82">
        <f>G2122/3</f>
        <v>4036333.3333333335</v>
      </c>
      <c r="K2122" s="7">
        <f>G2390</f>
        <v>21030000</v>
      </c>
      <c r="L2122" s="7">
        <f>K2122-I2122</f>
        <v>7710099.9999999981</v>
      </c>
      <c r="M2122" s="7">
        <f t="shared" si="364"/>
        <v>504541.66666666674</v>
      </c>
      <c r="N2122" s="7">
        <f>L2122+M2122</f>
        <v>8214641.6666666651</v>
      </c>
      <c r="O2122" s="7">
        <f t="shared" si="372"/>
        <v>-8000</v>
      </c>
      <c r="P2122" s="99">
        <f t="shared" si="365"/>
        <v>-6.602294297268301E-4</v>
      </c>
      <c r="Q2122" s="99">
        <f t="shared" si="374"/>
        <v>-3.8840007325391191E-3</v>
      </c>
      <c r="R2122">
        <v>1</v>
      </c>
      <c r="S2122" s="7">
        <f t="shared" si="366"/>
        <v>13319900.000000002</v>
      </c>
      <c r="T2122" s="7">
        <f t="shared" si="367"/>
        <v>4036333.3333333335</v>
      </c>
      <c r="U2122" s="7">
        <f t="shared" si="368"/>
        <v>21030000</v>
      </c>
      <c r="V2122" s="7">
        <f t="shared" si="369"/>
        <v>7710099.9999999981</v>
      </c>
      <c r="W2122" s="7">
        <f t="shared" si="370"/>
        <v>504541.66666666674</v>
      </c>
      <c r="X2122" s="7">
        <f t="shared" si="371"/>
        <v>8214641.6666666651</v>
      </c>
    </row>
    <row r="2123" spans="1:24">
      <c r="A2123">
        <v>2122</v>
      </c>
      <c r="B2123" s="96" t="s">
        <v>1481</v>
      </c>
      <c r="C2123" s="95">
        <v>42911</v>
      </c>
      <c r="D2123" s="82">
        <v>12111000</v>
      </c>
      <c r="E2123" s="82">
        <v>12095500</v>
      </c>
      <c r="F2123" s="82">
        <v>12140500</v>
      </c>
      <c r="G2123" s="82">
        <v>12138000</v>
      </c>
      <c r="I2123" s="97">
        <v>0</v>
      </c>
      <c r="J2123" s="97">
        <v>0</v>
      </c>
      <c r="K2123" s="97">
        <v>0</v>
      </c>
      <c r="M2123" s="7">
        <f t="shared" si="364"/>
        <v>0</v>
      </c>
      <c r="N2123" s="7">
        <f t="shared" si="373"/>
        <v>0</v>
      </c>
      <c r="O2123" s="7">
        <f t="shared" si="372"/>
        <v>29000</v>
      </c>
      <c r="P2123" s="99">
        <f t="shared" si="365"/>
        <v>2.3949128747212819E-3</v>
      </c>
      <c r="Q2123" s="99">
        <f t="shared" si="374"/>
        <v>-7.0515259820694755E-3</v>
      </c>
      <c r="S2123" s="7">
        <f t="shared" si="366"/>
        <v>13351800.000000002</v>
      </c>
      <c r="T2123" t="s">
        <v>191</v>
      </c>
      <c r="U2123" s="7">
        <f>SUM(N2:N2122)*2</f>
        <v>760891424.99999869</v>
      </c>
      <c r="V2123" s="7">
        <f t="shared" si="369"/>
        <v>0</v>
      </c>
      <c r="W2123" s="7" t="e">
        <f t="shared" si="370"/>
        <v>#VALUE!</v>
      </c>
      <c r="X2123" s="7" t="e">
        <f t="shared" si="371"/>
        <v>#VALUE!</v>
      </c>
    </row>
    <row r="2124" spans="1:24">
      <c r="A2124">
        <v>2123</v>
      </c>
      <c r="B2124" s="96" t="s">
        <v>1480</v>
      </c>
      <c r="C2124" s="95">
        <v>42912</v>
      </c>
      <c r="D2124" s="82">
        <v>12138500</v>
      </c>
      <c r="E2124" s="82">
        <v>12122500</v>
      </c>
      <c r="F2124" s="82">
        <v>12138500</v>
      </c>
      <c r="G2124" s="82">
        <v>12125500</v>
      </c>
      <c r="I2124" s="97">
        <v>0</v>
      </c>
      <c r="J2124" s="97">
        <v>0</v>
      </c>
      <c r="K2124" s="97">
        <v>0</v>
      </c>
      <c r="M2124" s="7">
        <f t="shared" si="364"/>
        <v>0</v>
      </c>
      <c r="N2124" s="7">
        <f t="shared" si="373"/>
        <v>0</v>
      </c>
      <c r="O2124" s="7">
        <f t="shared" si="372"/>
        <v>-12500</v>
      </c>
      <c r="P2124" s="99">
        <f t="shared" si="365"/>
        <v>-1.0298236941835557E-3</v>
      </c>
      <c r="Q2124" s="99">
        <f t="shared" si="374"/>
        <v>1.6164496232791122E-3</v>
      </c>
      <c r="S2124" s="7">
        <f t="shared" si="366"/>
        <v>13338050.000000002</v>
      </c>
      <c r="V2124" s="7">
        <f t="shared" si="369"/>
        <v>0</v>
      </c>
      <c r="W2124" s="7">
        <f t="shared" si="370"/>
        <v>0</v>
      </c>
      <c r="X2124" s="7">
        <f t="shared" si="371"/>
        <v>0</v>
      </c>
    </row>
    <row r="2125" spans="1:24">
      <c r="A2125">
        <v>2124</v>
      </c>
      <c r="B2125" s="96" t="s">
        <v>1479</v>
      </c>
      <c r="C2125" s="95">
        <v>42913</v>
      </c>
      <c r="D2125" s="82">
        <v>12125000</v>
      </c>
      <c r="E2125" s="82">
        <v>12125000</v>
      </c>
      <c r="F2125" s="82">
        <v>12134000</v>
      </c>
      <c r="G2125" s="82">
        <v>12130000</v>
      </c>
      <c r="I2125" s="97">
        <v>0</v>
      </c>
      <c r="J2125" s="97">
        <v>0</v>
      </c>
      <c r="K2125" s="97">
        <v>0</v>
      </c>
      <c r="M2125" s="7">
        <f t="shared" si="364"/>
        <v>0</v>
      </c>
      <c r="N2125" s="7">
        <f t="shared" si="373"/>
        <v>0</v>
      </c>
      <c r="O2125" s="7">
        <f t="shared" si="372"/>
        <v>4500</v>
      </c>
      <c r="P2125" s="99">
        <f t="shared" si="365"/>
        <v>3.7111871675394827E-4</v>
      </c>
      <c r="Q2125" s="99">
        <f t="shared" si="374"/>
        <v>5.4536669734245183E-4</v>
      </c>
      <c r="S2125" s="7">
        <f t="shared" si="366"/>
        <v>13343000.000000002</v>
      </c>
      <c r="V2125" s="7">
        <f t="shared" si="369"/>
        <v>0</v>
      </c>
      <c r="W2125" s="7">
        <f t="shared" si="370"/>
        <v>0</v>
      </c>
      <c r="X2125" s="7">
        <f t="shared" si="371"/>
        <v>0</v>
      </c>
    </row>
    <row r="2126" spans="1:24">
      <c r="A2126">
        <v>2125</v>
      </c>
      <c r="B2126" s="96" t="s">
        <v>1478</v>
      </c>
      <c r="C2126" s="95">
        <v>42914</v>
      </c>
      <c r="D2126" s="82">
        <v>12128500</v>
      </c>
      <c r="E2126" s="82">
        <v>12121500</v>
      </c>
      <c r="F2126" s="82">
        <v>12151000</v>
      </c>
      <c r="G2126" s="82">
        <v>12148500</v>
      </c>
      <c r="I2126" s="98">
        <v>0</v>
      </c>
      <c r="J2126" s="98">
        <v>0</v>
      </c>
      <c r="K2126" s="98">
        <v>0</v>
      </c>
      <c r="M2126" s="7">
        <f t="shared" si="364"/>
        <v>0</v>
      </c>
      <c r="N2126" s="7">
        <f t="shared" si="373"/>
        <v>0</v>
      </c>
      <c r="O2126" s="7">
        <f t="shared" si="372"/>
        <v>18500</v>
      </c>
      <c r="P2126" s="99">
        <f t="shared" si="365"/>
        <v>1.5251442704039572E-3</v>
      </c>
      <c r="Q2126" s="99">
        <f t="shared" si="374"/>
        <v>3.3506796545452822E-3</v>
      </c>
      <c r="S2126" s="7">
        <f t="shared" si="366"/>
        <v>13363350.000000002</v>
      </c>
      <c r="V2126" s="7">
        <f t="shared" si="369"/>
        <v>0</v>
      </c>
      <c r="W2126" s="7">
        <f t="shared" si="370"/>
        <v>0</v>
      </c>
      <c r="X2126" s="7">
        <f t="shared" si="371"/>
        <v>0</v>
      </c>
    </row>
    <row r="2127" spans="1:24">
      <c r="A2127">
        <v>2126</v>
      </c>
      <c r="B2127" s="96" t="s">
        <v>1477</v>
      </c>
      <c r="C2127" s="95">
        <v>42915</v>
      </c>
      <c r="D2127" s="82">
        <v>12150000</v>
      </c>
      <c r="E2127" s="82">
        <v>12148000</v>
      </c>
      <c r="F2127" s="82">
        <v>12167500</v>
      </c>
      <c r="G2127" s="82">
        <v>12159000</v>
      </c>
      <c r="I2127" s="82">
        <f>G2127*1.1</f>
        <v>13374900.000000002</v>
      </c>
      <c r="J2127" s="82">
        <f>G2127/3</f>
        <v>4053000</v>
      </c>
      <c r="K2127" s="7">
        <f>G2395</f>
        <v>0</v>
      </c>
      <c r="L2127" s="7">
        <f>K2127-I2127</f>
        <v>-13374900.000000002</v>
      </c>
      <c r="M2127" s="7">
        <f t="shared" si="364"/>
        <v>506625</v>
      </c>
      <c r="N2127" s="7">
        <f t="shared" si="373"/>
        <v>-12868275.000000002</v>
      </c>
      <c r="O2127" s="7">
        <f t="shared" si="372"/>
        <v>10500</v>
      </c>
      <c r="P2127" s="99">
        <f t="shared" si="365"/>
        <v>8.6430423509075197E-4</v>
      </c>
      <c r="Q2127" s="99">
        <f t="shared" si="374"/>
        <v>2.6011227379688015E-3</v>
      </c>
      <c r="R2127">
        <v>1</v>
      </c>
      <c r="S2127" s="7">
        <f t="shared" si="366"/>
        <v>13374900.000000002</v>
      </c>
      <c r="V2127" s="7">
        <f t="shared" si="369"/>
        <v>-13374900.000000002</v>
      </c>
      <c r="W2127" s="7">
        <f t="shared" si="370"/>
        <v>0</v>
      </c>
      <c r="X2127" s="7">
        <f t="shared" si="371"/>
        <v>-13374900.000000002</v>
      </c>
    </row>
    <row r="2128" spans="1:24">
      <c r="A2128">
        <v>2127</v>
      </c>
      <c r="B2128" s="96" t="s">
        <v>1476</v>
      </c>
      <c r="C2128" s="95">
        <v>42917</v>
      </c>
      <c r="D2128" s="82">
        <v>12153500</v>
      </c>
      <c r="E2128" s="82">
        <v>12151000</v>
      </c>
      <c r="F2128" s="82">
        <v>12195000</v>
      </c>
      <c r="G2128" s="82">
        <v>12181000</v>
      </c>
      <c r="I2128" s="97">
        <v>0</v>
      </c>
      <c r="J2128" s="97">
        <v>0</v>
      </c>
      <c r="K2128" s="97">
        <v>0</v>
      </c>
      <c r="M2128" s="7">
        <f t="shared" si="364"/>
        <v>0</v>
      </c>
      <c r="N2128" s="7">
        <f t="shared" si="373"/>
        <v>0</v>
      </c>
      <c r="O2128" s="7">
        <f t="shared" si="372"/>
        <v>22000</v>
      </c>
      <c r="P2128" s="99">
        <f t="shared" si="365"/>
        <v>1.8093593223126902E-3</v>
      </c>
      <c r="Q2128" s="99">
        <f t="shared" si="374"/>
        <v>4.1256564027863834E-3</v>
      </c>
      <c r="S2128" s="7">
        <f t="shared" si="366"/>
        <v>13399100.000000002</v>
      </c>
      <c r="V2128" s="7">
        <f t="shared" si="369"/>
        <v>0</v>
      </c>
      <c r="W2128" s="7">
        <f t="shared" si="370"/>
        <v>0</v>
      </c>
      <c r="X2128" s="7">
        <f t="shared" si="371"/>
        <v>0</v>
      </c>
    </row>
    <row r="2129" spans="1:24">
      <c r="A2129">
        <v>2128</v>
      </c>
      <c r="B2129" s="96" t="s">
        <v>1475</v>
      </c>
      <c r="C2129" s="95">
        <v>42918</v>
      </c>
      <c r="D2129" s="82">
        <v>12184500</v>
      </c>
      <c r="E2129" s="82">
        <v>12179500</v>
      </c>
      <c r="F2129" s="82">
        <v>12195500</v>
      </c>
      <c r="G2129" s="82">
        <v>12185000</v>
      </c>
      <c r="I2129" s="97">
        <v>0</v>
      </c>
      <c r="J2129" s="97">
        <v>0</v>
      </c>
      <c r="K2129" s="97">
        <v>0</v>
      </c>
      <c r="M2129" s="7">
        <f t="shared" si="364"/>
        <v>0</v>
      </c>
      <c r="N2129" s="7">
        <f t="shared" si="373"/>
        <v>0</v>
      </c>
      <c r="O2129" s="7">
        <f t="shared" si="372"/>
        <v>4000</v>
      </c>
      <c r="P2129" s="99">
        <f t="shared" si="365"/>
        <v>3.2838026434611279E-4</v>
      </c>
      <c r="Q2129" s="99">
        <f t="shared" si="374"/>
        <v>3.5401028503777919E-3</v>
      </c>
      <c r="S2129" s="7">
        <f t="shared" si="366"/>
        <v>13403500.000000002</v>
      </c>
      <c r="V2129" s="7">
        <f t="shared" si="369"/>
        <v>0</v>
      </c>
      <c r="W2129" s="7">
        <f t="shared" si="370"/>
        <v>0</v>
      </c>
      <c r="X2129" s="7">
        <f t="shared" si="371"/>
        <v>0</v>
      </c>
    </row>
    <row r="2130" spans="1:24">
      <c r="A2130">
        <v>2129</v>
      </c>
      <c r="B2130" s="96" t="s">
        <v>1474</v>
      </c>
      <c r="C2130" s="95">
        <v>42919</v>
      </c>
      <c r="D2130" s="82">
        <v>12178000</v>
      </c>
      <c r="E2130" s="82">
        <v>12139000</v>
      </c>
      <c r="F2130" s="82">
        <v>12183000</v>
      </c>
      <c r="G2130" s="82">
        <v>12142500</v>
      </c>
      <c r="I2130" s="97">
        <v>0</v>
      </c>
      <c r="J2130" s="97">
        <v>0</v>
      </c>
      <c r="K2130" s="97">
        <v>0</v>
      </c>
      <c r="M2130" s="7">
        <f t="shared" si="364"/>
        <v>0</v>
      </c>
      <c r="N2130" s="7">
        <f t="shared" si="373"/>
        <v>0</v>
      </c>
      <c r="O2130" s="7">
        <f t="shared" si="372"/>
        <v>-42500</v>
      </c>
      <c r="P2130" s="99">
        <f t="shared" si="365"/>
        <v>-3.4878949528108329E-3</v>
      </c>
      <c r="Q2130" s="99">
        <f t="shared" si="374"/>
        <v>4.89830680890746E-3</v>
      </c>
      <c r="S2130" s="7">
        <f t="shared" si="366"/>
        <v>13356750.000000002</v>
      </c>
      <c r="V2130" s="7">
        <f t="shared" si="369"/>
        <v>0</v>
      </c>
      <c r="W2130" s="7">
        <f t="shared" si="370"/>
        <v>0</v>
      </c>
      <c r="X2130" s="7">
        <f t="shared" si="371"/>
        <v>0</v>
      </c>
    </row>
    <row r="2131" spans="1:24">
      <c r="A2131">
        <v>2130</v>
      </c>
      <c r="B2131" s="96" t="s">
        <v>1473</v>
      </c>
      <c r="C2131" s="95">
        <v>42920</v>
      </c>
      <c r="D2131" s="82">
        <v>12143000</v>
      </c>
      <c r="E2131" s="82">
        <v>12109500</v>
      </c>
      <c r="F2131" s="82">
        <v>12144000</v>
      </c>
      <c r="G2131" s="82">
        <v>12119000</v>
      </c>
      <c r="I2131" s="98">
        <v>0</v>
      </c>
      <c r="J2131" s="98">
        <v>0</v>
      </c>
      <c r="K2131" s="98">
        <v>0</v>
      </c>
      <c r="M2131" s="7">
        <f t="shared" si="364"/>
        <v>0</v>
      </c>
      <c r="N2131" s="7">
        <f t="shared" si="373"/>
        <v>0</v>
      </c>
      <c r="O2131" s="7">
        <f t="shared" si="372"/>
        <v>-23500</v>
      </c>
      <c r="P2131" s="99">
        <f t="shared" si="365"/>
        <v>-1.9353510397364629E-3</v>
      </c>
      <c r="Q2131" s="99">
        <f t="shared" si="374"/>
        <v>1.039293139342679E-3</v>
      </c>
      <c r="S2131" s="7">
        <f t="shared" si="366"/>
        <v>13330900.000000002</v>
      </c>
      <c r="V2131" s="7">
        <f t="shared" si="369"/>
        <v>0</v>
      </c>
      <c r="W2131" s="7">
        <f t="shared" si="370"/>
        <v>0</v>
      </c>
      <c r="X2131" s="7">
        <f t="shared" si="371"/>
        <v>0</v>
      </c>
    </row>
    <row r="2132" spans="1:24">
      <c r="A2132">
        <v>2131</v>
      </c>
      <c r="B2132" s="96" t="s">
        <v>1472</v>
      </c>
      <c r="C2132" s="95">
        <v>42921</v>
      </c>
      <c r="D2132" s="82">
        <v>12115000</v>
      </c>
      <c r="E2132" s="82">
        <v>12109000</v>
      </c>
      <c r="F2132" s="82">
        <v>12135500</v>
      </c>
      <c r="G2132" s="82">
        <v>12122000</v>
      </c>
      <c r="I2132" s="82">
        <f>G2132*1.1</f>
        <v>13334200.000000002</v>
      </c>
      <c r="J2132" s="82">
        <f>G2132/3</f>
        <v>4040666.6666666665</v>
      </c>
      <c r="K2132" s="7">
        <f>G2400</f>
        <v>0</v>
      </c>
      <c r="L2132" s="7">
        <f>K2132-I2132</f>
        <v>-13334200.000000002</v>
      </c>
      <c r="M2132" s="7">
        <f t="shared" si="364"/>
        <v>505083.33333333326</v>
      </c>
      <c r="N2132" s="7">
        <f t="shared" si="373"/>
        <v>-12829116.666666668</v>
      </c>
      <c r="O2132" s="7">
        <f t="shared" si="372"/>
        <v>3000</v>
      </c>
      <c r="P2132" s="99">
        <f t="shared" si="365"/>
        <v>2.4754517699480158E-4</v>
      </c>
      <c r="Q2132" s="99">
        <f t="shared" si="374"/>
        <v>-2.4212021707977409E-3</v>
      </c>
      <c r="R2132">
        <v>1</v>
      </c>
      <c r="S2132" s="7">
        <f t="shared" si="366"/>
        <v>13334200.000000002</v>
      </c>
      <c r="V2132" s="7">
        <f t="shared" si="369"/>
        <v>-13334200.000000002</v>
      </c>
      <c r="W2132" s="7">
        <f t="shared" si="370"/>
        <v>0</v>
      </c>
      <c r="X2132" s="7">
        <f t="shared" si="371"/>
        <v>-13334200.000000002</v>
      </c>
    </row>
    <row r="2133" spans="1:24">
      <c r="A2133">
        <v>2132</v>
      </c>
      <c r="B2133" s="96" t="s">
        <v>1471</v>
      </c>
      <c r="C2133" s="95">
        <v>42922</v>
      </c>
      <c r="D2133" s="82">
        <v>12121000</v>
      </c>
      <c r="E2133" s="82">
        <v>12111500</v>
      </c>
      <c r="F2133" s="82">
        <v>12124000</v>
      </c>
      <c r="G2133" s="82">
        <v>12119000</v>
      </c>
      <c r="I2133" s="97">
        <v>0</v>
      </c>
      <c r="J2133" s="97">
        <v>0</v>
      </c>
      <c r="K2133" s="97">
        <v>0</v>
      </c>
      <c r="M2133" s="7">
        <f t="shared" si="364"/>
        <v>0</v>
      </c>
      <c r="N2133" s="7">
        <f t="shared" si="373"/>
        <v>0</v>
      </c>
      <c r="O2133" s="7">
        <f t="shared" si="372"/>
        <v>-3000</v>
      </c>
      <c r="P2133" s="99">
        <f t="shared" si="365"/>
        <v>-2.4748391354561953E-4</v>
      </c>
      <c r="Q2133" s="99">
        <f t="shared" si="374"/>
        <v>-3.0379612288936914E-3</v>
      </c>
      <c r="S2133" s="7">
        <f t="shared" si="366"/>
        <v>13330900.000000002</v>
      </c>
      <c r="V2133" s="7">
        <f t="shared" si="369"/>
        <v>0</v>
      </c>
      <c r="W2133" s="7">
        <f t="shared" si="370"/>
        <v>0</v>
      </c>
      <c r="X2133" s="7">
        <f t="shared" si="371"/>
        <v>0</v>
      </c>
    </row>
    <row r="2134" spans="1:24">
      <c r="A2134">
        <v>2133</v>
      </c>
      <c r="B2134" s="96" t="s">
        <v>1470</v>
      </c>
      <c r="C2134" s="95">
        <v>42924</v>
      </c>
      <c r="D2134" s="82">
        <v>12104500</v>
      </c>
      <c r="E2134" s="82">
        <v>12062000</v>
      </c>
      <c r="F2134" s="82">
        <v>12107000</v>
      </c>
      <c r="G2134" s="82">
        <v>12064500</v>
      </c>
      <c r="I2134" s="97">
        <v>0</v>
      </c>
      <c r="J2134" s="97">
        <v>0</v>
      </c>
      <c r="K2134" s="97">
        <v>0</v>
      </c>
      <c r="M2134" s="7">
        <f t="shared" si="364"/>
        <v>0</v>
      </c>
      <c r="N2134" s="7">
        <f t="shared" si="373"/>
        <v>0</v>
      </c>
      <c r="O2134" s="7">
        <f t="shared" si="372"/>
        <v>-54500</v>
      </c>
      <c r="P2134" s="99">
        <f t="shared" si="365"/>
        <v>-4.4970707154055618E-3</v>
      </c>
      <c r="Q2134" s="99">
        <f t="shared" si="374"/>
        <v>-5.0948044647520004E-3</v>
      </c>
      <c r="S2134" s="7">
        <f t="shared" si="366"/>
        <v>13270950.000000002</v>
      </c>
      <c r="V2134" s="7">
        <f t="shared" si="369"/>
        <v>0</v>
      </c>
      <c r="W2134" s="7">
        <f t="shared" si="370"/>
        <v>0</v>
      </c>
      <c r="X2134" s="7">
        <f t="shared" si="371"/>
        <v>0</v>
      </c>
    </row>
    <row r="2135" spans="1:24">
      <c r="A2135">
        <v>2134</v>
      </c>
      <c r="B2135" s="96" t="s">
        <v>1469</v>
      </c>
      <c r="C2135" s="95">
        <v>42925</v>
      </c>
      <c r="D2135" s="82">
        <v>12059500</v>
      </c>
      <c r="E2135" s="82">
        <v>12046000</v>
      </c>
      <c r="F2135" s="82">
        <v>12111000</v>
      </c>
      <c r="G2135" s="82">
        <v>12107500</v>
      </c>
      <c r="I2135" s="97">
        <v>0</v>
      </c>
      <c r="J2135" s="97">
        <v>0</v>
      </c>
      <c r="K2135" s="97">
        <v>0</v>
      </c>
      <c r="M2135" s="7">
        <f t="shared" si="364"/>
        <v>0</v>
      </c>
      <c r="N2135" s="7">
        <f t="shared" si="373"/>
        <v>0</v>
      </c>
      <c r="O2135" s="7">
        <f t="shared" si="372"/>
        <v>43000</v>
      </c>
      <c r="P2135" s="99">
        <f t="shared" si="365"/>
        <v>3.5641758879356791E-3</v>
      </c>
      <c r="Q2135" s="99">
        <f t="shared" si="374"/>
        <v>-9.9202554445036763E-3</v>
      </c>
      <c r="S2135" s="7">
        <f t="shared" si="366"/>
        <v>13318250.000000002</v>
      </c>
      <c r="V2135" s="7">
        <f t="shared" si="369"/>
        <v>0</v>
      </c>
      <c r="W2135" s="7">
        <f t="shared" si="370"/>
        <v>0</v>
      </c>
      <c r="X2135" s="7">
        <f t="shared" si="371"/>
        <v>0</v>
      </c>
    </row>
    <row r="2136" spans="1:24">
      <c r="A2136">
        <v>2135</v>
      </c>
      <c r="B2136" s="96" t="s">
        <v>1468</v>
      </c>
      <c r="C2136" s="95">
        <v>42926</v>
      </c>
      <c r="D2136" s="82">
        <v>12102500</v>
      </c>
      <c r="E2136" s="82">
        <v>12091500</v>
      </c>
      <c r="F2136" s="82">
        <v>12137000</v>
      </c>
      <c r="G2136" s="82">
        <v>12108500</v>
      </c>
      <c r="I2136" s="98">
        <v>0</v>
      </c>
      <c r="J2136" s="98">
        <v>0</v>
      </c>
      <c r="K2136" s="98">
        <v>0</v>
      </c>
      <c r="M2136" s="7">
        <f t="shared" si="364"/>
        <v>0</v>
      </c>
      <c r="N2136" s="7">
        <f t="shared" si="373"/>
        <v>0</v>
      </c>
      <c r="O2136" s="7">
        <f t="shared" si="372"/>
        <v>1000</v>
      </c>
      <c r="P2136" s="99">
        <f t="shared" si="365"/>
        <v>8.2593433822011151E-5</v>
      </c>
      <c r="Q2136" s="99">
        <f t="shared" si="374"/>
        <v>-2.8681846037571634E-3</v>
      </c>
      <c r="S2136" s="7">
        <f t="shared" si="366"/>
        <v>13319350.000000002</v>
      </c>
      <c r="V2136" s="7">
        <f t="shared" si="369"/>
        <v>0</v>
      </c>
      <c r="W2136" s="7">
        <f t="shared" si="370"/>
        <v>0</v>
      </c>
      <c r="X2136" s="7">
        <f t="shared" si="371"/>
        <v>0</v>
      </c>
    </row>
    <row r="2137" spans="1:24">
      <c r="A2137">
        <v>2136</v>
      </c>
      <c r="B2137" s="96" t="s">
        <v>1467</v>
      </c>
      <c r="C2137" s="95">
        <v>42927</v>
      </c>
      <c r="D2137" s="82">
        <v>12098500</v>
      </c>
      <c r="E2137" s="82">
        <v>12090500</v>
      </c>
      <c r="F2137" s="82">
        <v>12123500</v>
      </c>
      <c r="G2137" s="82">
        <v>12106000</v>
      </c>
      <c r="I2137" s="82">
        <f>G2137*1.1</f>
        <v>13316600.000000002</v>
      </c>
      <c r="J2137" s="82">
        <f>G2137/3</f>
        <v>4035333.3333333335</v>
      </c>
      <c r="K2137" s="7">
        <f>G2405</f>
        <v>0</v>
      </c>
      <c r="L2137" s="7">
        <f>K2137-I2137</f>
        <v>-13316600.000000002</v>
      </c>
      <c r="M2137" s="7">
        <f t="shared" si="364"/>
        <v>504416.66666666674</v>
      </c>
      <c r="N2137" s="7">
        <f t="shared" si="373"/>
        <v>-12812183.333333336</v>
      </c>
      <c r="O2137" s="7">
        <f t="shared" si="372"/>
        <v>-2500</v>
      </c>
      <c r="P2137" s="99">
        <f t="shared" si="365"/>
        <v>-2.0646653177519924E-4</v>
      </c>
      <c r="Q2137" s="99">
        <f t="shared" si="374"/>
        <v>-8.5024013019868977E-4</v>
      </c>
      <c r="R2137">
        <v>1</v>
      </c>
      <c r="S2137" s="7">
        <f t="shared" si="366"/>
        <v>13316600.000000002</v>
      </c>
      <c r="V2137" s="7">
        <f t="shared" si="369"/>
        <v>-13316600.000000002</v>
      </c>
      <c r="W2137" s="7">
        <f t="shared" si="370"/>
        <v>0</v>
      </c>
      <c r="X2137" s="7">
        <f t="shared" si="371"/>
        <v>-13316600.000000002</v>
      </c>
    </row>
    <row r="2138" spans="1:24">
      <c r="A2138">
        <v>2137</v>
      </c>
      <c r="B2138" s="96" t="s">
        <v>1466</v>
      </c>
      <c r="C2138" s="95">
        <v>42928</v>
      </c>
      <c r="D2138" s="82">
        <v>12104500</v>
      </c>
      <c r="E2138" s="82">
        <v>12090500</v>
      </c>
      <c r="F2138" s="82">
        <v>12125000</v>
      </c>
      <c r="G2138" s="82">
        <v>12095500</v>
      </c>
      <c r="I2138" s="97">
        <v>0</v>
      </c>
      <c r="J2138" s="97">
        <v>0</v>
      </c>
      <c r="K2138" s="97">
        <v>0</v>
      </c>
      <c r="M2138" s="7">
        <f t="shared" si="364"/>
        <v>0</v>
      </c>
      <c r="N2138" s="7">
        <f t="shared" si="373"/>
        <v>0</v>
      </c>
      <c r="O2138" s="7">
        <f t="shared" si="372"/>
        <v>-10500</v>
      </c>
      <c r="P2138" s="99">
        <f t="shared" si="365"/>
        <v>-8.6733850982983649E-4</v>
      </c>
      <c r="Q2138" s="99">
        <f t="shared" si="374"/>
        <v>-1.3042518389686896E-3</v>
      </c>
      <c r="S2138" s="7">
        <f t="shared" si="366"/>
        <v>13305050.000000002</v>
      </c>
      <c r="V2138" s="7">
        <f t="shared" si="369"/>
        <v>0</v>
      </c>
      <c r="W2138" s="7">
        <f t="shared" si="370"/>
        <v>0</v>
      </c>
      <c r="X2138" s="7">
        <f t="shared" si="371"/>
        <v>0</v>
      </c>
    </row>
    <row r="2139" spans="1:24">
      <c r="A2139">
        <v>2138</v>
      </c>
      <c r="B2139" s="96" t="s">
        <v>1465</v>
      </c>
      <c r="C2139" s="95">
        <v>42929</v>
      </c>
      <c r="D2139" s="82">
        <v>12090000</v>
      </c>
      <c r="E2139" s="82">
        <v>12062500</v>
      </c>
      <c r="F2139" s="82">
        <v>12096500</v>
      </c>
      <c r="G2139" s="82">
        <v>12067500</v>
      </c>
      <c r="I2139" s="97">
        <v>0</v>
      </c>
      <c r="J2139" s="97">
        <v>0</v>
      </c>
      <c r="K2139" s="97">
        <v>0</v>
      </c>
      <c r="M2139" s="7">
        <f t="shared" si="364"/>
        <v>0</v>
      </c>
      <c r="N2139" s="7">
        <f t="shared" si="373"/>
        <v>0</v>
      </c>
      <c r="O2139" s="7">
        <f t="shared" si="372"/>
        <v>-28000</v>
      </c>
      <c r="P2139" s="99">
        <f t="shared" si="365"/>
        <v>-2.3149105039064113E-3</v>
      </c>
      <c r="Q2139" s="99">
        <f t="shared" si="374"/>
        <v>-1.9241064352529071E-3</v>
      </c>
      <c r="S2139" s="7">
        <f t="shared" si="366"/>
        <v>13274250.000000002</v>
      </c>
      <c r="V2139" s="7">
        <f t="shared" si="369"/>
        <v>0</v>
      </c>
      <c r="W2139" s="7">
        <f t="shared" si="370"/>
        <v>0</v>
      </c>
      <c r="X2139" s="7">
        <f t="shared" si="371"/>
        <v>0</v>
      </c>
    </row>
    <row r="2140" spans="1:24">
      <c r="A2140">
        <v>2139</v>
      </c>
      <c r="B2140" s="96" t="s">
        <v>1464</v>
      </c>
      <c r="C2140" s="95">
        <v>42931</v>
      </c>
      <c r="D2140" s="82">
        <v>12074500</v>
      </c>
      <c r="E2140" s="82">
        <v>12074000</v>
      </c>
      <c r="F2140" s="82">
        <v>12094000</v>
      </c>
      <c r="G2140" s="82">
        <v>12086500</v>
      </c>
      <c r="I2140" s="97">
        <v>0</v>
      </c>
      <c r="J2140" s="97">
        <v>0</v>
      </c>
      <c r="K2140" s="97">
        <v>0</v>
      </c>
      <c r="M2140" s="7">
        <f t="shared" si="364"/>
        <v>0</v>
      </c>
      <c r="N2140" s="7">
        <f t="shared" si="373"/>
        <v>0</v>
      </c>
      <c r="O2140" s="7">
        <f t="shared" si="372"/>
        <v>19000</v>
      </c>
      <c r="P2140" s="99">
        <f t="shared" si="365"/>
        <v>1.5744769007665217E-3</v>
      </c>
      <c r="Q2140" s="99">
        <f t="shared" si="374"/>
        <v>2.5805377624624334E-4</v>
      </c>
      <c r="S2140" s="7">
        <f t="shared" si="366"/>
        <v>13295150.000000002</v>
      </c>
      <c r="V2140" s="7">
        <f t="shared" si="369"/>
        <v>0</v>
      </c>
      <c r="W2140" s="7">
        <f t="shared" si="370"/>
        <v>0</v>
      </c>
      <c r="X2140" s="7">
        <f t="shared" si="371"/>
        <v>0</v>
      </c>
    </row>
    <row r="2141" spans="1:24">
      <c r="A2141">
        <v>2140</v>
      </c>
      <c r="B2141" s="96" t="s">
        <v>1463</v>
      </c>
      <c r="C2141" s="95">
        <v>42932</v>
      </c>
      <c r="D2141" s="82">
        <v>12087500</v>
      </c>
      <c r="E2141" s="82">
        <v>12058500</v>
      </c>
      <c r="F2141" s="82">
        <v>12103500</v>
      </c>
      <c r="G2141" s="82">
        <v>12072000</v>
      </c>
      <c r="I2141" s="98">
        <v>0</v>
      </c>
      <c r="J2141" s="98">
        <v>0</v>
      </c>
      <c r="K2141" s="98">
        <v>0</v>
      </c>
      <c r="M2141" s="7">
        <f t="shared" si="364"/>
        <v>0</v>
      </c>
      <c r="N2141" s="7">
        <f t="shared" si="373"/>
        <v>0</v>
      </c>
      <c r="O2141" s="7">
        <f t="shared" si="372"/>
        <v>-14500</v>
      </c>
      <c r="P2141" s="99">
        <f t="shared" si="365"/>
        <v>-1.1996855996359575E-3</v>
      </c>
      <c r="Q2141" s="99">
        <f t="shared" si="374"/>
        <v>-1.7316452109229141E-3</v>
      </c>
      <c r="S2141" s="7">
        <f t="shared" si="366"/>
        <v>13279200.000000002</v>
      </c>
      <c r="V2141" s="7">
        <f t="shared" si="369"/>
        <v>0</v>
      </c>
      <c r="W2141" s="7">
        <f t="shared" si="370"/>
        <v>0</v>
      </c>
      <c r="X2141" s="7">
        <f t="shared" si="371"/>
        <v>0</v>
      </c>
    </row>
    <row r="2142" spans="1:24">
      <c r="A2142">
        <v>2141</v>
      </c>
      <c r="B2142" s="96" t="s">
        <v>1462</v>
      </c>
      <c r="C2142" s="95">
        <v>42933</v>
      </c>
      <c r="D2142" s="82">
        <v>12071000</v>
      </c>
      <c r="E2142" s="82">
        <v>12057000</v>
      </c>
      <c r="F2142" s="82">
        <v>12080500</v>
      </c>
      <c r="G2142" s="82">
        <v>12060500</v>
      </c>
      <c r="I2142" s="82">
        <f>G2142*1.1</f>
        <v>13266550.000000002</v>
      </c>
      <c r="J2142" s="82">
        <f>G2142/3</f>
        <v>4020166.6666666665</v>
      </c>
      <c r="K2142" s="7">
        <f>G2410</f>
        <v>0</v>
      </c>
      <c r="L2142" s="7">
        <f>K2142-I2142</f>
        <v>-13266550.000000002</v>
      </c>
      <c r="M2142" s="7">
        <f t="shared" si="364"/>
        <v>502520.83333333326</v>
      </c>
      <c r="N2142" s="7">
        <f t="shared" si="373"/>
        <v>-12764029.166666668</v>
      </c>
      <c r="O2142" s="7">
        <f t="shared" si="372"/>
        <v>-11500</v>
      </c>
      <c r="P2142" s="99">
        <f t="shared" si="365"/>
        <v>-9.526176275679258E-4</v>
      </c>
      <c r="Q2142" s="99">
        <f t="shared" si="374"/>
        <v>-3.013924244380883E-3</v>
      </c>
      <c r="R2142">
        <v>1</v>
      </c>
      <c r="S2142" s="7">
        <f t="shared" si="366"/>
        <v>13266550.000000002</v>
      </c>
      <c r="V2142" s="7">
        <f t="shared" si="369"/>
        <v>-13266550.000000002</v>
      </c>
      <c r="W2142" s="7">
        <f t="shared" si="370"/>
        <v>0</v>
      </c>
      <c r="X2142" s="7">
        <f t="shared" si="371"/>
        <v>-13266550.000000002</v>
      </c>
    </row>
    <row r="2143" spans="1:24">
      <c r="A2143">
        <v>2142</v>
      </c>
      <c r="B2143" s="96" t="s">
        <v>1461</v>
      </c>
      <c r="C2143" s="95">
        <v>42934</v>
      </c>
      <c r="D2143" s="82">
        <v>12060000</v>
      </c>
      <c r="E2143" s="82">
        <v>12034000</v>
      </c>
      <c r="F2143" s="82">
        <v>12064000</v>
      </c>
      <c r="G2143" s="82">
        <v>12050000</v>
      </c>
      <c r="I2143" s="97">
        <v>0</v>
      </c>
      <c r="J2143" s="97">
        <v>0</v>
      </c>
      <c r="K2143" s="97">
        <v>0</v>
      </c>
      <c r="M2143" s="7">
        <f t="shared" si="364"/>
        <v>0</v>
      </c>
      <c r="N2143" s="7">
        <f t="shared" si="373"/>
        <v>0</v>
      </c>
      <c r="O2143" s="7">
        <f t="shared" si="372"/>
        <v>-10500</v>
      </c>
      <c r="P2143" s="99">
        <f t="shared" si="365"/>
        <v>-8.7061067119936981E-4</v>
      </c>
      <c r="Q2143" s="99">
        <f t="shared" si="374"/>
        <v>-3.7600753401736092E-3</v>
      </c>
      <c r="S2143" s="7">
        <f t="shared" si="366"/>
        <v>13255000.000000002</v>
      </c>
      <c r="V2143" s="7">
        <f t="shared" si="369"/>
        <v>0</v>
      </c>
      <c r="W2143" s="7">
        <f t="shared" si="370"/>
        <v>0</v>
      </c>
      <c r="X2143" s="7">
        <f t="shared" si="371"/>
        <v>0</v>
      </c>
    </row>
    <row r="2144" spans="1:24">
      <c r="A2144">
        <v>2143</v>
      </c>
      <c r="B2144" s="96" t="s">
        <v>1460</v>
      </c>
      <c r="C2144" s="95">
        <v>42935</v>
      </c>
      <c r="D2144" s="82">
        <v>12049500</v>
      </c>
      <c r="E2144" s="82">
        <v>12038000</v>
      </c>
      <c r="F2144" s="82">
        <v>12049500</v>
      </c>
      <c r="G2144" s="82">
        <v>12045000</v>
      </c>
      <c r="I2144" s="97">
        <v>0</v>
      </c>
      <c r="J2144" s="97">
        <v>0</v>
      </c>
      <c r="K2144" s="97">
        <v>0</v>
      </c>
      <c r="M2144" s="7">
        <f t="shared" si="364"/>
        <v>0</v>
      </c>
      <c r="N2144" s="7">
        <f t="shared" si="373"/>
        <v>0</v>
      </c>
      <c r="O2144" s="7">
        <f t="shared" si="372"/>
        <v>-5000</v>
      </c>
      <c r="P2144" s="99">
        <f t="shared" si="365"/>
        <v>-4.1493775933609957E-4</v>
      </c>
      <c r="Q2144" s="99">
        <f t="shared" si="374"/>
        <v>-3.7633475015431427E-3</v>
      </c>
      <c r="S2144" s="7">
        <f t="shared" si="366"/>
        <v>13249500.000000002</v>
      </c>
      <c r="V2144" s="7">
        <f t="shared" si="369"/>
        <v>0</v>
      </c>
      <c r="W2144" s="7">
        <f t="shared" si="370"/>
        <v>0</v>
      </c>
      <c r="X2144" s="7">
        <f t="shared" si="371"/>
        <v>0</v>
      </c>
    </row>
    <row r="2145" spans="1:24">
      <c r="A2145">
        <v>2144</v>
      </c>
      <c r="B2145" s="96" t="s">
        <v>1459</v>
      </c>
      <c r="C2145" s="95">
        <v>42936</v>
      </c>
      <c r="D2145" s="82">
        <v>12042000</v>
      </c>
      <c r="E2145" s="82">
        <v>12038000</v>
      </c>
      <c r="F2145" s="82">
        <v>12049000</v>
      </c>
      <c r="G2145" s="82">
        <v>12046500</v>
      </c>
      <c r="I2145" s="97">
        <v>0</v>
      </c>
      <c r="J2145" s="97">
        <v>0</v>
      </c>
      <c r="K2145" s="97">
        <v>0</v>
      </c>
      <c r="M2145" s="7">
        <f t="shared" si="364"/>
        <v>0</v>
      </c>
      <c r="N2145" s="7">
        <f t="shared" si="373"/>
        <v>0</v>
      </c>
      <c r="O2145" s="7">
        <f t="shared" si="372"/>
        <v>1500</v>
      </c>
      <c r="P2145" s="99">
        <f t="shared" si="365"/>
        <v>1.2453300124533001E-4</v>
      </c>
      <c r="Q2145" s="99">
        <f t="shared" si="374"/>
        <v>-1.8633747569728311E-3</v>
      </c>
      <c r="S2145" s="7">
        <f t="shared" si="366"/>
        <v>13251150.000000002</v>
      </c>
      <c r="V2145" s="7">
        <f t="shared" si="369"/>
        <v>0</v>
      </c>
      <c r="W2145" s="7">
        <f t="shared" si="370"/>
        <v>0</v>
      </c>
      <c r="X2145" s="7">
        <f t="shared" si="371"/>
        <v>0</v>
      </c>
    </row>
    <row r="2146" spans="1:24">
      <c r="A2146">
        <v>2145</v>
      </c>
      <c r="B2146" s="96" t="s">
        <v>1458</v>
      </c>
      <c r="C2146" s="95">
        <v>42939</v>
      </c>
      <c r="D2146" s="82">
        <v>12017000</v>
      </c>
      <c r="E2146" s="82">
        <v>11993000</v>
      </c>
      <c r="F2146" s="82">
        <v>12020000</v>
      </c>
      <c r="G2146" s="82">
        <v>12007500</v>
      </c>
      <c r="I2146" s="98">
        <v>0</v>
      </c>
      <c r="J2146" s="98">
        <v>0</v>
      </c>
      <c r="K2146" s="98">
        <v>0</v>
      </c>
      <c r="M2146" s="7">
        <f t="shared" si="364"/>
        <v>0</v>
      </c>
      <c r="N2146" s="7">
        <f t="shared" si="373"/>
        <v>0</v>
      </c>
      <c r="O2146" s="7">
        <f t="shared" si="372"/>
        <v>-39000</v>
      </c>
      <c r="P2146" s="99">
        <f t="shared" si="365"/>
        <v>-3.2374548624081682E-3</v>
      </c>
      <c r="Q2146" s="99">
        <f t="shared" si="374"/>
        <v>-3.3133186564940228E-3</v>
      </c>
      <c r="S2146" s="7">
        <f t="shared" si="366"/>
        <v>13208250.000000002</v>
      </c>
      <c r="V2146" s="7">
        <f t="shared" si="369"/>
        <v>0</v>
      </c>
      <c r="W2146" s="7">
        <f t="shared" si="370"/>
        <v>0</v>
      </c>
      <c r="X2146" s="7">
        <f t="shared" si="371"/>
        <v>0</v>
      </c>
    </row>
    <row r="2147" spans="1:24">
      <c r="A2147">
        <v>2146</v>
      </c>
      <c r="B2147" s="96" t="s">
        <v>1457</v>
      </c>
      <c r="C2147" s="95">
        <v>42938</v>
      </c>
      <c r="D2147" s="82">
        <v>12051500</v>
      </c>
      <c r="E2147" s="82">
        <v>12018500</v>
      </c>
      <c r="F2147" s="82">
        <v>12068500</v>
      </c>
      <c r="G2147" s="82">
        <v>12023000</v>
      </c>
      <c r="I2147" s="82">
        <f>G2147*1.1</f>
        <v>13225300.000000002</v>
      </c>
      <c r="J2147" s="82">
        <f>G2147/3</f>
        <v>4007666.6666666665</v>
      </c>
      <c r="K2147" s="7">
        <f>G2415</f>
        <v>0</v>
      </c>
      <c r="L2147" s="7">
        <f>K2147-I2147</f>
        <v>-13225300.000000002</v>
      </c>
      <c r="M2147" s="7">
        <f t="shared" si="364"/>
        <v>500958.33333333326</v>
      </c>
      <c r="N2147" s="7">
        <f t="shared" si="373"/>
        <v>-12724341.666666668</v>
      </c>
      <c r="O2147" s="7">
        <f t="shared" si="372"/>
        <v>15500</v>
      </c>
      <c r="P2147" s="99">
        <f t="shared" si="365"/>
        <v>1.2908598792421404E-3</v>
      </c>
      <c r="Q2147" s="99">
        <f t="shared" si="374"/>
        <v>-5.3510879192662335E-3</v>
      </c>
      <c r="R2147">
        <v>1</v>
      </c>
      <c r="S2147" s="7">
        <f t="shared" si="366"/>
        <v>13225300.000000002</v>
      </c>
      <c r="V2147" s="7">
        <f t="shared" si="369"/>
        <v>-13225300.000000002</v>
      </c>
      <c r="W2147" s="7">
        <f t="shared" si="370"/>
        <v>0</v>
      </c>
      <c r="X2147" s="7">
        <f t="shared" si="371"/>
        <v>-13225300.000000002</v>
      </c>
    </row>
    <row r="2148" spans="1:24">
      <c r="A2148">
        <v>2147</v>
      </c>
      <c r="B2148" s="96" t="s">
        <v>1456</v>
      </c>
      <c r="C2148" s="95">
        <v>42940</v>
      </c>
      <c r="D2148" s="82">
        <v>12006000</v>
      </c>
      <c r="E2148" s="82">
        <v>11973500</v>
      </c>
      <c r="F2148" s="82">
        <v>12006000</v>
      </c>
      <c r="G2148" s="82">
        <v>11993000</v>
      </c>
      <c r="I2148" s="97">
        <v>0</v>
      </c>
      <c r="J2148" s="97">
        <v>0</v>
      </c>
      <c r="K2148" s="97">
        <v>0</v>
      </c>
      <c r="M2148" s="7">
        <f t="shared" si="364"/>
        <v>0</v>
      </c>
      <c r="N2148" s="7">
        <f t="shared" si="373"/>
        <v>0</v>
      </c>
      <c r="O2148" s="7">
        <f t="shared" si="372"/>
        <v>-30000</v>
      </c>
      <c r="P2148" s="99">
        <f t="shared" si="365"/>
        <v>-2.495217499792065E-3</v>
      </c>
      <c r="Q2148" s="99">
        <f t="shared" si="374"/>
        <v>-3.1076104124561675E-3</v>
      </c>
      <c r="S2148" s="7">
        <f t="shared" si="366"/>
        <v>13192300.000000002</v>
      </c>
      <c r="V2148" s="7">
        <f t="shared" si="369"/>
        <v>0</v>
      </c>
      <c r="W2148" s="7">
        <f t="shared" si="370"/>
        <v>0</v>
      </c>
      <c r="X2148" s="7">
        <f t="shared" si="371"/>
        <v>0</v>
      </c>
    </row>
    <row r="2149" spans="1:24">
      <c r="A2149">
        <v>2148</v>
      </c>
      <c r="B2149" s="96" t="s">
        <v>1455</v>
      </c>
      <c r="C2149" s="95">
        <v>42941</v>
      </c>
      <c r="D2149" s="82">
        <v>12000000</v>
      </c>
      <c r="E2149" s="82">
        <v>12000000</v>
      </c>
      <c r="F2149" s="82">
        <v>12046000</v>
      </c>
      <c r="G2149" s="82">
        <v>12025500</v>
      </c>
      <c r="I2149" s="97">
        <v>0</v>
      </c>
      <c r="J2149" s="97">
        <v>0</v>
      </c>
      <c r="K2149" s="97">
        <v>0</v>
      </c>
      <c r="M2149" s="7">
        <f t="shared" si="364"/>
        <v>0</v>
      </c>
      <c r="N2149" s="7">
        <f t="shared" si="373"/>
        <v>0</v>
      </c>
      <c r="O2149" s="7">
        <f t="shared" si="372"/>
        <v>32500</v>
      </c>
      <c r="P2149" s="99">
        <f t="shared" si="365"/>
        <v>2.7099141165679982E-3</v>
      </c>
      <c r="Q2149" s="99">
        <f t="shared" si="374"/>
        <v>-4.7322172410488618E-3</v>
      </c>
      <c r="S2149" s="7">
        <f t="shared" si="366"/>
        <v>13228050.000000002</v>
      </c>
      <c r="V2149" s="7">
        <f t="shared" si="369"/>
        <v>0</v>
      </c>
      <c r="W2149" s="7">
        <f t="shared" si="370"/>
        <v>0</v>
      </c>
      <c r="X2149" s="7">
        <f t="shared" si="371"/>
        <v>0</v>
      </c>
    </row>
    <row r="2150" spans="1:24">
      <c r="A2150">
        <v>2149</v>
      </c>
      <c r="B2150" s="96" t="s">
        <v>1454</v>
      </c>
      <c r="C2150" s="95">
        <v>42942</v>
      </c>
      <c r="D2150" s="82">
        <v>12017000</v>
      </c>
      <c r="E2150" s="82">
        <v>12017000</v>
      </c>
      <c r="F2150" s="82">
        <v>12124500</v>
      </c>
      <c r="G2150" s="82">
        <v>12117500</v>
      </c>
      <c r="I2150" s="97">
        <v>0</v>
      </c>
      <c r="J2150" s="97">
        <v>0</v>
      </c>
      <c r="K2150" s="97">
        <v>0</v>
      </c>
      <c r="M2150" s="7">
        <f t="shared" si="364"/>
        <v>0</v>
      </c>
      <c r="N2150" s="7">
        <f t="shared" si="373"/>
        <v>0</v>
      </c>
      <c r="O2150" s="7">
        <f t="shared" si="372"/>
        <v>92000</v>
      </c>
      <c r="P2150" s="99">
        <f t="shared" si="365"/>
        <v>7.6504095463806078E-3</v>
      </c>
      <c r="Q2150" s="99">
        <f t="shared" si="374"/>
        <v>-1.6073653651447646E-3</v>
      </c>
      <c r="S2150" s="7">
        <f t="shared" si="366"/>
        <v>13329250.000000002</v>
      </c>
      <c r="V2150" s="7">
        <f t="shared" si="369"/>
        <v>0</v>
      </c>
      <c r="W2150" s="7">
        <f t="shared" si="370"/>
        <v>0</v>
      </c>
      <c r="X2150" s="7">
        <f t="shared" si="371"/>
        <v>0</v>
      </c>
    </row>
    <row r="2151" spans="1:24">
      <c r="A2151">
        <v>2150</v>
      </c>
      <c r="B2151" s="96" t="s">
        <v>1453</v>
      </c>
      <c r="C2151" s="95">
        <v>42943</v>
      </c>
      <c r="D2151" s="82">
        <v>12132500</v>
      </c>
      <c r="E2151" s="82">
        <v>12124000</v>
      </c>
      <c r="F2151" s="82">
        <v>12166500</v>
      </c>
      <c r="G2151" s="82">
        <v>12128000</v>
      </c>
      <c r="I2151" s="98">
        <v>0</v>
      </c>
      <c r="J2151" s="98">
        <v>0</v>
      </c>
      <c r="K2151" s="98">
        <v>0</v>
      </c>
      <c r="M2151" s="7">
        <f t="shared" si="364"/>
        <v>0</v>
      </c>
      <c r="N2151" s="7">
        <f t="shared" si="373"/>
        <v>0</v>
      </c>
      <c r="O2151" s="7">
        <f t="shared" si="372"/>
        <v>10500</v>
      </c>
      <c r="P2151" s="99">
        <f t="shared" si="365"/>
        <v>8.6651537033216423E-4</v>
      </c>
      <c r="Q2151" s="99">
        <f t="shared" si="374"/>
        <v>5.9185111799905134E-3</v>
      </c>
      <c r="S2151" s="7">
        <f t="shared" si="366"/>
        <v>13340800.000000002</v>
      </c>
      <c r="V2151" s="7">
        <f t="shared" si="369"/>
        <v>0</v>
      </c>
      <c r="W2151" s="7">
        <f t="shared" si="370"/>
        <v>0</v>
      </c>
      <c r="X2151" s="7">
        <f t="shared" si="371"/>
        <v>0</v>
      </c>
    </row>
    <row r="2152" spans="1:24">
      <c r="A2152">
        <v>2151</v>
      </c>
      <c r="B2152" s="96" t="s">
        <v>1452</v>
      </c>
      <c r="C2152" s="95">
        <v>42945</v>
      </c>
      <c r="D2152" s="82">
        <v>12146500</v>
      </c>
      <c r="E2152" s="82">
        <v>12145000</v>
      </c>
      <c r="F2152" s="82">
        <v>12223000</v>
      </c>
      <c r="G2152" s="82">
        <v>12215000</v>
      </c>
      <c r="I2152" s="82">
        <f>G2152*1.1</f>
        <v>13436500.000000002</v>
      </c>
      <c r="J2152" s="82">
        <f>G2152/3</f>
        <v>4071666.6666666665</v>
      </c>
      <c r="K2152" s="7">
        <f>G2420</f>
        <v>0</v>
      </c>
      <c r="L2152" s="7">
        <f>K2152-I2152</f>
        <v>-13436500.000000002</v>
      </c>
      <c r="M2152" s="7">
        <f t="shared" si="364"/>
        <v>508958.33333333326</v>
      </c>
      <c r="N2152" s="7">
        <f t="shared" si="373"/>
        <v>-12927541.666666668</v>
      </c>
      <c r="O2152" s="7">
        <f t="shared" si="372"/>
        <v>87000</v>
      </c>
      <c r="P2152" s="99">
        <f t="shared" si="365"/>
        <v>7.1734828496042213E-3</v>
      </c>
      <c r="Q2152" s="99">
        <f t="shared" si="374"/>
        <v>1.0022481412730846E-2</v>
      </c>
      <c r="R2152">
        <v>1</v>
      </c>
      <c r="S2152" s="7">
        <f t="shared" si="366"/>
        <v>13436500.000000002</v>
      </c>
      <c r="V2152" s="7">
        <f t="shared" si="369"/>
        <v>-13436500.000000002</v>
      </c>
      <c r="W2152" s="7">
        <f t="shared" si="370"/>
        <v>0</v>
      </c>
      <c r="X2152" s="7">
        <f t="shared" si="371"/>
        <v>-13436500.000000002</v>
      </c>
    </row>
    <row r="2153" spans="1:24">
      <c r="A2153">
        <v>2152</v>
      </c>
      <c r="B2153" s="96" t="s">
        <v>1451</v>
      </c>
      <c r="C2153" s="95">
        <v>42946</v>
      </c>
      <c r="D2153" s="82">
        <v>12217000</v>
      </c>
      <c r="E2153" s="82">
        <v>12188000</v>
      </c>
      <c r="F2153" s="82">
        <v>12249500</v>
      </c>
      <c r="G2153" s="82">
        <v>12193000</v>
      </c>
      <c r="I2153" s="97">
        <v>0</v>
      </c>
      <c r="J2153" s="97">
        <v>0</v>
      </c>
      <c r="K2153" s="97">
        <v>0</v>
      </c>
      <c r="M2153" s="7">
        <f t="shared" si="364"/>
        <v>0</v>
      </c>
      <c r="N2153" s="7">
        <f t="shared" si="373"/>
        <v>0</v>
      </c>
      <c r="O2153" s="7">
        <f t="shared" si="372"/>
        <v>-22000</v>
      </c>
      <c r="P2153" s="99">
        <f t="shared" si="365"/>
        <v>-1.8010642652476463E-3</v>
      </c>
      <c r="Q2153" s="99">
        <f t="shared" si="374"/>
        <v>1.5905104383092925E-2</v>
      </c>
      <c r="S2153" s="7">
        <f t="shared" si="366"/>
        <v>13412300.000000002</v>
      </c>
      <c r="V2153" s="7">
        <f t="shared" si="369"/>
        <v>0</v>
      </c>
      <c r="W2153" s="7">
        <f t="shared" si="370"/>
        <v>0</v>
      </c>
      <c r="X2153" s="7">
        <f t="shared" si="371"/>
        <v>0</v>
      </c>
    </row>
    <row r="2154" spans="1:24">
      <c r="A2154">
        <v>2153</v>
      </c>
      <c r="B2154" s="96" t="s">
        <v>1450</v>
      </c>
      <c r="C2154" s="95">
        <v>42947</v>
      </c>
      <c r="D2154" s="82">
        <v>12192500</v>
      </c>
      <c r="E2154" s="82">
        <v>12150000</v>
      </c>
      <c r="F2154" s="82">
        <v>12195500</v>
      </c>
      <c r="G2154" s="82">
        <v>12168500</v>
      </c>
      <c r="I2154" s="97">
        <v>0</v>
      </c>
      <c r="J2154" s="97">
        <v>0</v>
      </c>
      <c r="K2154" s="97">
        <v>0</v>
      </c>
      <c r="M2154" s="7">
        <f t="shared" si="364"/>
        <v>0</v>
      </c>
      <c r="N2154" s="7">
        <f t="shared" si="373"/>
        <v>0</v>
      </c>
      <c r="O2154" s="7">
        <f t="shared" si="372"/>
        <v>-24500</v>
      </c>
      <c r="P2154" s="99">
        <f t="shared" si="365"/>
        <v>-2.0093496268350692E-3</v>
      </c>
      <c r="Q2154" s="99">
        <f t="shared" si="374"/>
        <v>1.6599257617637347E-2</v>
      </c>
      <c r="S2154" s="7">
        <f t="shared" si="366"/>
        <v>13385350.000000002</v>
      </c>
      <c r="V2154" s="7">
        <f t="shared" si="369"/>
        <v>0</v>
      </c>
      <c r="W2154" s="7">
        <f t="shared" si="370"/>
        <v>0</v>
      </c>
      <c r="X2154" s="7">
        <f t="shared" si="371"/>
        <v>0</v>
      </c>
    </row>
    <row r="2155" spans="1:24">
      <c r="A2155">
        <v>2154</v>
      </c>
      <c r="B2155" s="96" t="s">
        <v>1449</v>
      </c>
      <c r="C2155" s="95">
        <v>42948</v>
      </c>
      <c r="D2155" s="82">
        <v>12170500</v>
      </c>
      <c r="E2155" s="82">
        <v>12166000</v>
      </c>
      <c r="F2155" s="82">
        <v>12188500</v>
      </c>
      <c r="G2155" s="82">
        <v>12177500</v>
      </c>
      <c r="I2155" s="97">
        <v>0</v>
      </c>
      <c r="J2155" s="97">
        <v>0</v>
      </c>
      <c r="K2155" s="97">
        <v>0</v>
      </c>
      <c r="M2155" s="7">
        <f t="shared" si="364"/>
        <v>0</v>
      </c>
      <c r="N2155" s="7">
        <f t="shared" si="373"/>
        <v>0</v>
      </c>
      <c r="O2155" s="7">
        <f t="shared" si="372"/>
        <v>9000</v>
      </c>
      <c r="P2155" s="99">
        <f t="shared" si="365"/>
        <v>7.3961457862513867E-4</v>
      </c>
      <c r="Q2155" s="99">
        <f t="shared" si="374"/>
        <v>1.1879993874234277E-2</v>
      </c>
      <c r="S2155" s="7">
        <f t="shared" si="366"/>
        <v>13395250.000000002</v>
      </c>
      <c r="V2155" s="7">
        <f t="shared" si="369"/>
        <v>0</v>
      </c>
      <c r="W2155" s="7">
        <f t="shared" si="370"/>
        <v>0</v>
      </c>
      <c r="X2155" s="7">
        <f t="shared" si="371"/>
        <v>0</v>
      </c>
    </row>
    <row r="2156" spans="1:24">
      <c r="A2156">
        <v>2155</v>
      </c>
      <c r="B2156" s="96" t="s">
        <v>1448</v>
      </c>
      <c r="C2156" s="95">
        <v>42949</v>
      </c>
      <c r="D2156" s="82">
        <v>12170000</v>
      </c>
      <c r="E2156" s="82">
        <v>12163000</v>
      </c>
      <c r="F2156" s="82">
        <v>12210000</v>
      </c>
      <c r="G2156" s="82">
        <v>12203500</v>
      </c>
      <c r="I2156" s="98">
        <v>0</v>
      </c>
      <c r="J2156" s="98">
        <v>0</v>
      </c>
      <c r="K2156" s="98">
        <v>0</v>
      </c>
      <c r="M2156" s="7">
        <f t="shared" si="364"/>
        <v>0</v>
      </c>
      <c r="N2156" s="7">
        <f t="shared" si="373"/>
        <v>0</v>
      </c>
      <c r="O2156" s="7">
        <f t="shared" si="372"/>
        <v>26000</v>
      </c>
      <c r="P2156" s="99">
        <f t="shared" si="365"/>
        <v>2.135085198111271E-3</v>
      </c>
      <c r="Q2156" s="99">
        <f t="shared" si="374"/>
        <v>4.969198906478808E-3</v>
      </c>
      <c r="S2156" s="7">
        <f t="shared" si="366"/>
        <v>13423850.000000002</v>
      </c>
      <c r="V2156" s="7">
        <f t="shared" si="369"/>
        <v>0</v>
      </c>
      <c r="W2156" s="7">
        <f t="shared" si="370"/>
        <v>0</v>
      </c>
      <c r="X2156" s="7">
        <f t="shared" si="371"/>
        <v>0</v>
      </c>
    </row>
    <row r="2157" spans="1:24">
      <c r="A2157">
        <v>2156</v>
      </c>
      <c r="B2157" s="96" t="s">
        <v>1447</v>
      </c>
      <c r="C2157" s="95">
        <v>42950</v>
      </c>
      <c r="D2157" s="82">
        <v>12193500</v>
      </c>
      <c r="E2157" s="82">
        <v>12177000</v>
      </c>
      <c r="F2157" s="82">
        <v>12201000</v>
      </c>
      <c r="G2157" s="82">
        <v>12196500</v>
      </c>
      <c r="I2157" s="82">
        <f>G2157*1.1</f>
        <v>13416150.000000002</v>
      </c>
      <c r="J2157" s="82">
        <f>G2157/3</f>
        <v>4065500</v>
      </c>
      <c r="K2157" s="7">
        <f>G2425</f>
        <v>0</v>
      </c>
      <c r="L2157" s="7">
        <f>K2157-I2157</f>
        <v>-13416150.000000002</v>
      </c>
      <c r="M2157" s="7">
        <f t="shared" si="364"/>
        <v>508187.5</v>
      </c>
      <c r="N2157" s="7">
        <f t="shared" si="373"/>
        <v>-12907962.500000002</v>
      </c>
      <c r="O2157" s="7">
        <f t="shared" si="372"/>
        <v>-7000</v>
      </c>
      <c r="P2157" s="99">
        <f t="shared" si="365"/>
        <v>-5.7360593272421843E-4</v>
      </c>
      <c r="Q2157" s="99">
        <f t="shared" si="374"/>
        <v>6.2377687342579143E-3</v>
      </c>
      <c r="R2157">
        <v>1</v>
      </c>
      <c r="S2157" s="7">
        <f t="shared" si="366"/>
        <v>13416150.000000002</v>
      </c>
      <c r="V2157" s="7">
        <f t="shared" si="369"/>
        <v>-13416150.000000002</v>
      </c>
      <c r="W2157" s="7">
        <f t="shared" si="370"/>
        <v>0</v>
      </c>
      <c r="X2157" s="7">
        <f t="shared" si="371"/>
        <v>-13416150.000000002</v>
      </c>
    </row>
    <row r="2158" spans="1:24">
      <c r="A2158">
        <v>2157</v>
      </c>
      <c r="B2158" s="96" t="s">
        <v>1446</v>
      </c>
      <c r="C2158" s="95">
        <v>42952</v>
      </c>
      <c r="D2158" s="82">
        <v>12185500</v>
      </c>
      <c r="E2158" s="82">
        <v>12179000</v>
      </c>
      <c r="F2158" s="82">
        <v>12188000</v>
      </c>
      <c r="G2158" s="82">
        <v>12181500</v>
      </c>
      <c r="I2158" s="97">
        <v>0</v>
      </c>
      <c r="J2158" s="97">
        <v>0</v>
      </c>
      <c r="K2158" s="97">
        <v>0</v>
      </c>
      <c r="M2158" s="7">
        <f t="shared" si="364"/>
        <v>0</v>
      </c>
      <c r="N2158" s="7">
        <f t="shared" si="373"/>
        <v>0</v>
      </c>
      <c r="O2158" s="7">
        <f t="shared" si="372"/>
        <v>-15000</v>
      </c>
      <c r="P2158" s="99">
        <f t="shared" si="365"/>
        <v>-1.2298610257040954E-3</v>
      </c>
      <c r="Q2158" s="99">
        <f t="shared" si="374"/>
        <v>-1.5093200480705241E-3</v>
      </c>
      <c r="S2158" s="7">
        <f t="shared" si="366"/>
        <v>13399650.000000002</v>
      </c>
      <c r="V2158" s="7">
        <f t="shared" si="369"/>
        <v>0</v>
      </c>
      <c r="W2158" s="7">
        <f t="shared" si="370"/>
        <v>0</v>
      </c>
      <c r="X2158" s="7">
        <f t="shared" si="371"/>
        <v>0</v>
      </c>
    </row>
    <row r="2159" spans="1:24">
      <c r="A2159">
        <v>2158</v>
      </c>
      <c r="B2159" s="96" t="s">
        <v>1445</v>
      </c>
      <c r="C2159" s="95">
        <v>42953</v>
      </c>
      <c r="D2159" s="82">
        <v>12181000</v>
      </c>
      <c r="E2159" s="82">
        <v>12144500</v>
      </c>
      <c r="F2159" s="82">
        <v>12191500</v>
      </c>
      <c r="G2159" s="82">
        <v>12147500</v>
      </c>
      <c r="I2159" s="97">
        <v>0</v>
      </c>
      <c r="J2159" s="97">
        <v>0</v>
      </c>
      <c r="K2159" s="97">
        <v>0</v>
      </c>
      <c r="M2159" s="7">
        <f t="shared" si="364"/>
        <v>0</v>
      </c>
      <c r="N2159" s="7">
        <f t="shared" si="373"/>
        <v>0</v>
      </c>
      <c r="O2159" s="7">
        <f t="shared" si="372"/>
        <v>-34000</v>
      </c>
      <c r="P2159" s="99">
        <f t="shared" si="365"/>
        <v>-2.7911176784468253E-3</v>
      </c>
      <c r="Q2159" s="99">
        <f t="shared" si="374"/>
        <v>-9.3811680852697336E-4</v>
      </c>
      <c r="S2159" s="7">
        <f t="shared" si="366"/>
        <v>13362250.000000002</v>
      </c>
      <c r="V2159" s="7">
        <f t="shared" si="369"/>
        <v>0</v>
      </c>
      <c r="W2159" s="7">
        <f t="shared" si="370"/>
        <v>0</v>
      </c>
      <c r="X2159" s="7">
        <f t="shared" si="371"/>
        <v>0</v>
      </c>
    </row>
    <row r="2160" spans="1:24">
      <c r="A2160">
        <v>2159</v>
      </c>
      <c r="B2160" s="96" t="s">
        <v>1444</v>
      </c>
      <c r="C2160" s="95">
        <v>42954</v>
      </c>
      <c r="D2160" s="82">
        <v>12146500</v>
      </c>
      <c r="E2160" s="82">
        <v>12119500</v>
      </c>
      <c r="F2160" s="82">
        <v>12188500</v>
      </c>
      <c r="G2160" s="82">
        <v>12182500</v>
      </c>
      <c r="I2160" s="97">
        <v>0</v>
      </c>
      <c r="J2160" s="97">
        <v>0</v>
      </c>
      <c r="K2160" s="97">
        <v>0</v>
      </c>
      <c r="M2160" s="7">
        <f t="shared" si="364"/>
        <v>0</v>
      </c>
      <c r="N2160" s="7">
        <f t="shared" si="373"/>
        <v>0</v>
      </c>
      <c r="O2160" s="7">
        <f t="shared" si="372"/>
        <v>35000</v>
      </c>
      <c r="P2160" s="99">
        <f t="shared" si="365"/>
        <v>2.8812512862728956E-3</v>
      </c>
      <c r="Q2160" s="99">
        <f t="shared" si="374"/>
        <v>-1.7198848601387292E-3</v>
      </c>
      <c r="S2160" s="7">
        <f t="shared" si="366"/>
        <v>13400750.000000002</v>
      </c>
      <c r="V2160" s="7">
        <f t="shared" si="369"/>
        <v>0</v>
      </c>
      <c r="W2160" s="7">
        <f t="shared" si="370"/>
        <v>0</v>
      </c>
      <c r="X2160" s="7">
        <f t="shared" si="371"/>
        <v>0</v>
      </c>
    </row>
    <row r="2161" spans="1:24">
      <c r="A2161">
        <v>2160</v>
      </c>
      <c r="B2161" s="96" t="s">
        <v>1443</v>
      </c>
      <c r="C2161" s="95">
        <v>42955</v>
      </c>
      <c r="D2161" s="82">
        <v>12179000</v>
      </c>
      <c r="E2161" s="82">
        <v>12156000</v>
      </c>
      <c r="F2161" s="82">
        <v>12224500</v>
      </c>
      <c r="G2161" s="82">
        <v>12204500</v>
      </c>
      <c r="I2161" s="98">
        <v>0</v>
      </c>
      <c r="J2161" s="98">
        <v>0</v>
      </c>
      <c r="K2161" s="98">
        <v>0</v>
      </c>
      <c r="M2161" s="7">
        <f t="shared" si="364"/>
        <v>0</v>
      </c>
      <c r="N2161" s="7">
        <f t="shared" si="373"/>
        <v>0</v>
      </c>
      <c r="O2161" s="7">
        <f t="shared" si="372"/>
        <v>22000</v>
      </c>
      <c r="P2161" s="99">
        <f t="shared" si="365"/>
        <v>1.8058690744920992E-3</v>
      </c>
      <c r="Q2161" s="99">
        <f t="shared" si="374"/>
        <v>4.2175184750902752E-4</v>
      </c>
      <c r="S2161" s="7">
        <f t="shared" si="366"/>
        <v>13424950.000000002</v>
      </c>
      <c r="V2161" s="7">
        <f t="shared" si="369"/>
        <v>0</v>
      </c>
      <c r="W2161" s="7">
        <f t="shared" si="370"/>
        <v>0</v>
      </c>
      <c r="X2161" s="7">
        <f t="shared" si="371"/>
        <v>0</v>
      </c>
    </row>
    <row r="2162" spans="1:24">
      <c r="A2162">
        <v>2161</v>
      </c>
      <c r="B2162" s="96" t="s">
        <v>1442</v>
      </c>
      <c r="C2162" s="95">
        <v>42956</v>
      </c>
      <c r="D2162" s="82">
        <v>12212500</v>
      </c>
      <c r="E2162" s="82">
        <v>12191000</v>
      </c>
      <c r="F2162" s="82">
        <v>12232000</v>
      </c>
      <c r="G2162" s="82">
        <v>12199000</v>
      </c>
      <c r="I2162" s="82">
        <f>G2162*1.1</f>
        <v>13418900.000000002</v>
      </c>
      <c r="J2162" s="82">
        <f>G2162/3</f>
        <v>4066333.3333333335</v>
      </c>
      <c r="K2162" s="7">
        <f>G2430</f>
        <v>0</v>
      </c>
      <c r="L2162" s="7">
        <f>K2162-I2162</f>
        <v>-13418900.000000002</v>
      </c>
      <c r="M2162" s="7">
        <f t="shared" si="364"/>
        <v>508291.66666666674</v>
      </c>
      <c r="N2162" s="7">
        <f t="shared" si="373"/>
        <v>-12910608.333333336</v>
      </c>
      <c r="O2162" s="7">
        <f t="shared" si="372"/>
        <v>-5500</v>
      </c>
      <c r="P2162" s="99">
        <f t="shared" si="365"/>
        <v>-4.5065344749887338E-4</v>
      </c>
      <c r="Q2162" s="99">
        <f t="shared" si="374"/>
        <v>9.2535723889855754E-5</v>
      </c>
      <c r="R2162">
        <v>1</v>
      </c>
      <c r="S2162" s="7">
        <f t="shared" si="366"/>
        <v>13418900.000000002</v>
      </c>
      <c r="V2162" s="7">
        <f t="shared" si="369"/>
        <v>-13418900.000000002</v>
      </c>
      <c r="W2162" s="7">
        <f t="shared" si="370"/>
        <v>0</v>
      </c>
      <c r="X2162" s="7">
        <f t="shared" si="371"/>
        <v>-13418900.000000002</v>
      </c>
    </row>
    <row r="2163" spans="1:24">
      <c r="A2163">
        <v>2162</v>
      </c>
      <c r="B2163" s="96" t="s">
        <v>1441</v>
      </c>
      <c r="C2163" s="95">
        <v>42957</v>
      </c>
      <c r="D2163" s="82">
        <v>12215000</v>
      </c>
      <c r="E2163" s="82">
        <v>12214000</v>
      </c>
      <c r="F2163" s="82">
        <v>12225500</v>
      </c>
      <c r="G2163" s="82">
        <v>12219000</v>
      </c>
      <c r="I2163" s="97">
        <v>0</v>
      </c>
      <c r="J2163" s="97">
        <v>0</v>
      </c>
      <c r="K2163" s="97">
        <v>0</v>
      </c>
      <c r="M2163" s="7">
        <f t="shared" si="364"/>
        <v>0</v>
      </c>
      <c r="N2163" s="7">
        <f t="shared" si="373"/>
        <v>0</v>
      </c>
      <c r="O2163" s="7">
        <f t="shared" si="372"/>
        <v>20000</v>
      </c>
      <c r="P2163" s="99">
        <f t="shared" si="365"/>
        <v>1.6394786457906386E-3</v>
      </c>
      <c r="Q2163" s="99">
        <f t="shared" si="374"/>
        <v>2.1548820911520102E-4</v>
      </c>
      <c r="S2163" s="7">
        <f t="shared" si="366"/>
        <v>13440900.000000002</v>
      </c>
      <c r="V2163" s="7">
        <f t="shared" si="369"/>
        <v>0</v>
      </c>
      <c r="W2163" s="7">
        <f t="shared" si="370"/>
        <v>0</v>
      </c>
      <c r="X2163" s="7">
        <f t="shared" si="371"/>
        <v>0</v>
      </c>
    </row>
    <row r="2164" spans="1:24">
      <c r="A2164">
        <v>2163</v>
      </c>
      <c r="B2164" s="96" t="s">
        <v>1440</v>
      </c>
      <c r="C2164" s="95">
        <v>42959</v>
      </c>
      <c r="D2164" s="82">
        <v>12260000</v>
      </c>
      <c r="E2164" s="82">
        <v>12222000</v>
      </c>
      <c r="F2164" s="82">
        <v>12261500</v>
      </c>
      <c r="G2164" s="82">
        <v>12235500</v>
      </c>
      <c r="I2164" s="97">
        <v>0</v>
      </c>
      <c r="J2164" s="97">
        <v>0</v>
      </c>
      <c r="K2164" s="97">
        <v>0</v>
      </c>
      <c r="M2164" s="7">
        <f t="shared" si="364"/>
        <v>0</v>
      </c>
      <c r="N2164" s="7">
        <f t="shared" si="373"/>
        <v>0</v>
      </c>
      <c r="O2164" s="7">
        <f t="shared" si="372"/>
        <v>16500</v>
      </c>
      <c r="P2164" s="99">
        <f t="shared" si="365"/>
        <v>1.3503560029462312E-3</v>
      </c>
      <c r="Q2164" s="99">
        <f t="shared" si="374"/>
        <v>3.0848278806099349E-3</v>
      </c>
      <c r="S2164" s="7">
        <f t="shared" si="366"/>
        <v>13459050.000000002</v>
      </c>
      <c r="V2164" s="7">
        <f t="shared" si="369"/>
        <v>0</v>
      </c>
      <c r="W2164" s="7">
        <f t="shared" si="370"/>
        <v>0</v>
      </c>
      <c r="X2164" s="7">
        <f t="shared" si="371"/>
        <v>0</v>
      </c>
    </row>
    <row r="2165" spans="1:24">
      <c r="A2165">
        <v>2164</v>
      </c>
      <c r="B2165" s="96" t="s">
        <v>1439</v>
      </c>
      <c r="C2165" s="95">
        <v>42960</v>
      </c>
      <c r="D2165" s="82">
        <v>12237000</v>
      </c>
      <c r="E2165" s="82">
        <v>12220500</v>
      </c>
      <c r="F2165" s="82">
        <v>12240500</v>
      </c>
      <c r="G2165" s="82">
        <v>12226000</v>
      </c>
      <c r="I2165" s="97">
        <v>0</v>
      </c>
      <c r="J2165" s="97">
        <v>0</v>
      </c>
      <c r="K2165" s="97">
        <v>0</v>
      </c>
      <c r="M2165" s="7">
        <f t="shared" si="364"/>
        <v>0</v>
      </c>
      <c r="N2165" s="7">
        <f t="shared" si="373"/>
        <v>0</v>
      </c>
      <c r="O2165" s="7">
        <f t="shared" si="372"/>
        <v>-9500</v>
      </c>
      <c r="P2165" s="99">
        <f t="shared" si="365"/>
        <v>-7.7642924277716483E-4</v>
      </c>
      <c r="Q2165" s="99">
        <f t="shared" si="374"/>
        <v>7.2263015620029911E-3</v>
      </c>
      <c r="S2165" s="7">
        <f t="shared" si="366"/>
        <v>13448600.000000002</v>
      </c>
      <c r="V2165" s="7">
        <f t="shared" si="369"/>
        <v>0</v>
      </c>
      <c r="W2165" s="7">
        <f t="shared" si="370"/>
        <v>0</v>
      </c>
      <c r="X2165" s="7">
        <f t="shared" si="371"/>
        <v>0</v>
      </c>
    </row>
    <row r="2166" spans="1:24">
      <c r="A2166">
        <v>2165</v>
      </c>
      <c r="B2166" s="96" t="s">
        <v>1438</v>
      </c>
      <c r="C2166" s="95">
        <v>42961</v>
      </c>
      <c r="D2166" s="82">
        <v>12214000</v>
      </c>
      <c r="E2166" s="82">
        <v>12155000</v>
      </c>
      <c r="F2166" s="82">
        <v>12216000</v>
      </c>
      <c r="G2166" s="82">
        <v>12177000</v>
      </c>
      <c r="I2166" s="98">
        <v>0</v>
      </c>
      <c r="J2166" s="98">
        <v>0</v>
      </c>
      <c r="K2166" s="98">
        <v>0</v>
      </c>
      <c r="M2166" s="7">
        <f t="shared" si="364"/>
        <v>0</v>
      </c>
      <c r="N2166" s="7">
        <f t="shared" si="373"/>
        <v>0</v>
      </c>
      <c r="O2166" s="7">
        <f t="shared" si="372"/>
        <v>-49000</v>
      </c>
      <c r="P2166" s="99">
        <f t="shared" si="365"/>
        <v>-4.0078521184361195E-3</v>
      </c>
      <c r="Q2166" s="99">
        <f t="shared" si="374"/>
        <v>3.5686210329529304E-3</v>
      </c>
      <c r="S2166" s="7">
        <f t="shared" si="366"/>
        <v>13394700.000000002</v>
      </c>
      <c r="V2166" s="7">
        <f t="shared" si="369"/>
        <v>0</v>
      </c>
      <c r="W2166" s="7">
        <f t="shared" si="370"/>
        <v>0</v>
      </c>
      <c r="X2166" s="7">
        <f t="shared" si="371"/>
        <v>0</v>
      </c>
    </row>
    <row r="2167" spans="1:24">
      <c r="A2167">
        <v>2166</v>
      </c>
      <c r="B2167" s="96" t="s">
        <v>1437</v>
      </c>
      <c r="C2167" s="95">
        <v>42962</v>
      </c>
      <c r="D2167" s="82">
        <v>12144000</v>
      </c>
      <c r="E2167" s="82">
        <v>12114000</v>
      </c>
      <c r="F2167" s="82">
        <v>12147000</v>
      </c>
      <c r="G2167" s="82">
        <v>12130000</v>
      </c>
      <c r="I2167" s="82">
        <f>G2167*1.1</f>
        <v>13343000.000000002</v>
      </c>
      <c r="J2167" s="82">
        <f>G2167/3</f>
        <v>4043333.3333333335</v>
      </c>
      <c r="K2167" s="7">
        <f>G2435</f>
        <v>0</v>
      </c>
      <c r="L2167" s="7">
        <f>K2167-I2167</f>
        <v>-13343000.000000002</v>
      </c>
      <c r="M2167" s="7">
        <f t="shared" si="364"/>
        <v>505416.66666666674</v>
      </c>
      <c r="N2167" s="7">
        <f t="shared" si="373"/>
        <v>-12837583.333333336</v>
      </c>
      <c r="O2167" s="7">
        <f t="shared" si="372"/>
        <v>-47000</v>
      </c>
      <c r="P2167" s="99">
        <f t="shared" si="365"/>
        <v>-3.8597355670526401E-3</v>
      </c>
      <c r="Q2167" s="99">
        <f t="shared" si="374"/>
        <v>-2.2451001599752881E-3</v>
      </c>
      <c r="R2167">
        <v>1</v>
      </c>
      <c r="S2167" s="7">
        <f t="shared" si="366"/>
        <v>13343000.000000002</v>
      </c>
      <c r="V2167" s="7">
        <f t="shared" si="369"/>
        <v>-13343000.000000002</v>
      </c>
      <c r="W2167" s="7">
        <f t="shared" si="370"/>
        <v>0</v>
      </c>
      <c r="X2167" s="7">
        <f t="shared" si="371"/>
        <v>-13343000.000000002</v>
      </c>
    </row>
    <row r="2168" spans="1:24">
      <c r="A2168">
        <v>2167</v>
      </c>
      <c r="B2168" s="96" t="s">
        <v>1436</v>
      </c>
      <c r="C2168" s="95">
        <v>42963</v>
      </c>
      <c r="D2168" s="82">
        <v>12122000</v>
      </c>
      <c r="E2168" s="82">
        <v>12105000</v>
      </c>
      <c r="F2168" s="82">
        <v>12136000</v>
      </c>
      <c r="G2168" s="82">
        <v>12122000</v>
      </c>
      <c r="I2168" s="97">
        <v>0</v>
      </c>
      <c r="J2168" s="97">
        <v>0</v>
      </c>
      <c r="K2168" s="97">
        <v>0</v>
      </c>
      <c r="M2168" s="7">
        <f t="shared" si="364"/>
        <v>0</v>
      </c>
      <c r="N2168" s="7">
        <f t="shared" si="373"/>
        <v>0</v>
      </c>
      <c r="O2168" s="7">
        <f t="shared" si="372"/>
        <v>-8000</v>
      </c>
      <c r="P2168" s="99">
        <f t="shared" si="365"/>
        <v>-6.5952184666117069E-4</v>
      </c>
      <c r="Q2168" s="99">
        <f t="shared" si="374"/>
        <v>-5.6541822795290551E-3</v>
      </c>
      <c r="S2168" s="7">
        <f t="shared" si="366"/>
        <v>13334200.000000002</v>
      </c>
      <c r="V2168" s="7">
        <f t="shared" si="369"/>
        <v>0</v>
      </c>
      <c r="W2168" s="7">
        <f t="shared" si="370"/>
        <v>0</v>
      </c>
      <c r="X2168" s="7">
        <f t="shared" si="371"/>
        <v>0</v>
      </c>
    </row>
    <row r="2169" spans="1:24">
      <c r="A2169">
        <v>2168</v>
      </c>
      <c r="B2169" s="96" t="s">
        <v>1435</v>
      </c>
      <c r="C2169" s="95">
        <v>42964</v>
      </c>
      <c r="D2169" s="82">
        <v>12141000</v>
      </c>
      <c r="E2169" s="82">
        <v>12115000</v>
      </c>
      <c r="F2169" s="82">
        <v>12153000</v>
      </c>
      <c r="G2169" s="82">
        <v>12122000</v>
      </c>
      <c r="I2169" s="97">
        <v>0</v>
      </c>
      <c r="J2169" s="97">
        <v>0</v>
      </c>
      <c r="K2169" s="97">
        <v>0</v>
      </c>
      <c r="M2169" s="7">
        <f t="shared" si="364"/>
        <v>0</v>
      </c>
      <c r="N2169" s="7">
        <f t="shared" si="373"/>
        <v>0</v>
      </c>
      <c r="O2169" s="7">
        <f t="shared" si="372"/>
        <v>0</v>
      </c>
      <c r="P2169" s="99">
        <f t="shared" si="365"/>
        <v>0</v>
      </c>
      <c r="Q2169" s="99">
        <f t="shared" si="374"/>
        <v>-7.9531827719808643E-3</v>
      </c>
      <c r="S2169" s="7">
        <f t="shared" si="366"/>
        <v>13334200.000000002</v>
      </c>
      <c r="V2169" s="7">
        <f t="shared" si="369"/>
        <v>0</v>
      </c>
      <c r="W2169" s="7">
        <f t="shared" si="370"/>
        <v>0</v>
      </c>
      <c r="X2169" s="7">
        <f t="shared" si="371"/>
        <v>0</v>
      </c>
    </row>
    <row r="2170" spans="1:24">
      <c r="A2170">
        <v>2169</v>
      </c>
      <c r="B2170" s="96" t="s">
        <v>1434</v>
      </c>
      <c r="C2170" s="95">
        <v>42966</v>
      </c>
      <c r="D2170" s="82">
        <v>12108000</v>
      </c>
      <c r="E2170" s="82">
        <v>12068000</v>
      </c>
      <c r="F2170" s="82">
        <v>12119000</v>
      </c>
      <c r="G2170" s="82">
        <v>12088000</v>
      </c>
      <c r="I2170" s="97">
        <v>0</v>
      </c>
      <c r="J2170" s="97">
        <v>0</v>
      </c>
      <c r="K2170" s="97">
        <v>0</v>
      </c>
      <c r="M2170" s="7">
        <f t="shared" si="364"/>
        <v>0</v>
      </c>
      <c r="N2170" s="7">
        <f t="shared" si="373"/>
        <v>0</v>
      </c>
      <c r="O2170" s="7">
        <f t="shared" si="372"/>
        <v>-34000</v>
      </c>
      <c r="P2170" s="99">
        <f t="shared" si="365"/>
        <v>-2.8048176868503546E-3</v>
      </c>
      <c r="Q2170" s="99">
        <f t="shared" si="374"/>
        <v>-9.3035387749270965E-3</v>
      </c>
      <c r="S2170" s="7">
        <f t="shared" si="366"/>
        <v>13296800.000000002</v>
      </c>
      <c r="V2170" s="7">
        <f t="shared" si="369"/>
        <v>0</v>
      </c>
      <c r="W2170" s="7">
        <f t="shared" si="370"/>
        <v>0</v>
      </c>
      <c r="X2170" s="7">
        <f t="shared" si="371"/>
        <v>0</v>
      </c>
    </row>
    <row r="2171" spans="1:24">
      <c r="A2171">
        <v>2170</v>
      </c>
      <c r="B2171" s="96" t="s">
        <v>1433</v>
      </c>
      <c r="C2171" s="95">
        <v>42967</v>
      </c>
      <c r="D2171" s="82">
        <v>12089000</v>
      </c>
      <c r="E2171" s="82">
        <v>12061000</v>
      </c>
      <c r="F2171" s="82">
        <v>12098000</v>
      </c>
      <c r="G2171" s="82">
        <v>12073000</v>
      </c>
      <c r="I2171" s="98">
        <v>0</v>
      </c>
      <c r="J2171" s="98">
        <v>0</v>
      </c>
      <c r="K2171" s="98">
        <v>0</v>
      </c>
      <c r="M2171" s="7">
        <f t="shared" si="364"/>
        <v>0</v>
      </c>
      <c r="N2171" s="7">
        <f t="shared" si="373"/>
        <v>0</v>
      </c>
      <c r="O2171" s="7">
        <f t="shared" si="372"/>
        <v>-15000</v>
      </c>
      <c r="P2171" s="99">
        <f t="shared" si="365"/>
        <v>-1.240900066181337E-3</v>
      </c>
      <c r="Q2171" s="99">
        <f t="shared" si="374"/>
        <v>-1.1331927219000285E-2</v>
      </c>
      <c r="S2171" s="7">
        <f t="shared" si="366"/>
        <v>13280300.000000002</v>
      </c>
      <c r="V2171" s="7">
        <f t="shared" si="369"/>
        <v>0</v>
      </c>
      <c r="W2171" s="7">
        <f t="shared" si="370"/>
        <v>0</v>
      </c>
      <c r="X2171" s="7">
        <f t="shared" si="371"/>
        <v>0</v>
      </c>
    </row>
    <row r="2172" spans="1:24">
      <c r="A2172">
        <v>2171</v>
      </c>
      <c r="B2172" s="96" t="s">
        <v>1432</v>
      </c>
      <c r="C2172" s="95">
        <v>42968</v>
      </c>
      <c r="D2172" s="82">
        <v>12072000</v>
      </c>
      <c r="E2172" s="82">
        <v>12063000</v>
      </c>
      <c r="F2172" s="82">
        <v>12141000</v>
      </c>
      <c r="G2172" s="82">
        <v>12141000</v>
      </c>
      <c r="I2172" s="82">
        <f>G2172*1.1</f>
        <v>13355100.000000002</v>
      </c>
      <c r="J2172" s="82">
        <f>G2172/3</f>
        <v>4047000</v>
      </c>
      <c r="K2172" s="7">
        <f>G2440</f>
        <v>0</v>
      </c>
      <c r="L2172" s="7">
        <f>K2172-I2172</f>
        <v>-13355100.000000002</v>
      </c>
      <c r="M2172" s="7">
        <f t="shared" si="364"/>
        <v>505875</v>
      </c>
      <c r="N2172" s="7">
        <f t="shared" si="373"/>
        <v>-12849225.000000002</v>
      </c>
      <c r="O2172" s="7">
        <f t="shared" si="372"/>
        <v>68000</v>
      </c>
      <c r="P2172" s="99">
        <f t="shared" si="365"/>
        <v>5.6324028824650046E-3</v>
      </c>
      <c r="Q2172" s="99">
        <f t="shared" si="374"/>
        <v>-8.5649751667455018E-3</v>
      </c>
      <c r="R2172">
        <v>1</v>
      </c>
      <c r="S2172" s="7">
        <f t="shared" si="366"/>
        <v>13355100.000000002</v>
      </c>
      <c r="V2172" s="7">
        <f t="shared" si="369"/>
        <v>-13355100.000000002</v>
      </c>
      <c r="W2172" s="7">
        <f t="shared" si="370"/>
        <v>0</v>
      </c>
      <c r="X2172" s="7">
        <f t="shared" si="371"/>
        <v>-13355100.000000002</v>
      </c>
    </row>
    <row r="2173" spans="1:24">
      <c r="A2173">
        <v>2172</v>
      </c>
      <c r="B2173" s="96" t="s">
        <v>1431</v>
      </c>
      <c r="C2173" s="95">
        <v>42969</v>
      </c>
      <c r="D2173" s="82">
        <v>12136000</v>
      </c>
      <c r="E2173" s="82">
        <v>12097000</v>
      </c>
      <c r="F2173" s="82">
        <v>12136000</v>
      </c>
      <c r="G2173" s="82">
        <v>12107000</v>
      </c>
      <c r="I2173" s="97">
        <v>0</v>
      </c>
      <c r="J2173" s="97">
        <v>0</v>
      </c>
      <c r="K2173" s="97">
        <v>0</v>
      </c>
      <c r="M2173" s="7">
        <f t="shared" si="364"/>
        <v>0</v>
      </c>
      <c r="N2173" s="7">
        <f t="shared" si="373"/>
        <v>0</v>
      </c>
      <c r="O2173" s="7">
        <f t="shared" si="372"/>
        <v>-34000</v>
      </c>
      <c r="P2173" s="99">
        <f t="shared" si="365"/>
        <v>-2.8004283007989459E-3</v>
      </c>
      <c r="Q2173" s="99">
        <f t="shared" si="374"/>
        <v>9.2716328277214245E-4</v>
      </c>
      <c r="S2173" s="7">
        <f t="shared" si="366"/>
        <v>13317700.000000002</v>
      </c>
      <c r="V2173" s="7">
        <f t="shared" si="369"/>
        <v>0</v>
      </c>
      <c r="W2173" s="7">
        <f t="shared" si="370"/>
        <v>0</v>
      </c>
      <c r="X2173" s="7">
        <f t="shared" si="371"/>
        <v>0</v>
      </c>
    </row>
    <row r="2174" spans="1:24">
      <c r="A2174">
        <v>2173</v>
      </c>
      <c r="B2174" s="96" t="s">
        <v>1430</v>
      </c>
      <c r="C2174" s="95">
        <v>42970</v>
      </c>
      <c r="D2174" s="82">
        <v>12102000</v>
      </c>
      <c r="E2174" s="82">
        <v>12098000</v>
      </c>
      <c r="F2174" s="82">
        <v>12124000</v>
      </c>
      <c r="G2174" s="82">
        <v>12106000</v>
      </c>
      <c r="I2174" s="97">
        <v>0</v>
      </c>
      <c r="J2174" s="97">
        <v>0</v>
      </c>
      <c r="K2174" s="97">
        <v>0</v>
      </c>
      <c r="M2174" s="7">
        <f t="shared" si="364"/>
        <v>0</v>
      </c>
      <c r="N2174" s="7">
        <f t="shared" si="373"/>
        <v>0</v>
      </c>
      <c r="O2174" s="7">
        <f t="shared" si="372"/>
        <v>-1000</v>
      </c>
      <c r="P2174" s="99">
        <f t="shared" si="365"/>
        <v>-8.2596844800528625E-5</v>
      </c>
      <c r="Q2174" s="99">
        <f t="shared" si="374"/>
        <v>-1.2137431713656328E-3</v>
      </c>
      <c r="S2174" s="7">
        <f t="shared" si="366"/>
        <v>13316600.000000002</v>
      </c>
      <c r="V2174" s="7">
        <f t="shared" si="369"/>
        <v>0</v>
      </c>
      <c r="W2174" s="7">
        <f t="shared" si="370"/>
        <v>0</v>
      </c>
      <c r="X2174" s="7">
        <f t="shared" si="371"/>
        <v>0</v>
      </c>
    </row>
    <row r="2175" spans="1:24">
      <c r="A2175">
        <v>2174</v>
      </c>
      <c r="B2175" s="96" t="s">
        <v>1429</v>
      </c>
      <c r="C2175" s="95">
        <v>42971</v>
      </c>
      <c r="D2175" s="82">
        <v>12116000</v>
      </c>
      <c r="E2175" s="82">
        <v>12105000</v>
      </c>
      <c r="F2175" s="82">
        <v>12131000</v>
      </c>
      <c r="G2175" s="82">
        <v>12122000</v>
      </c>
      <c r="I2175" s="97">
        <v>0</v>
      </c>
      <c r="J2175" s="97">
        <v>0</v>
      </c>
      <c r="K2175" s="97">
        <v>0</v>
      </c>
      <c r="M2175" s="7">
        <f t="shared" si="364"/>
        <v>0</v>
      </c>
      <c r="N2175" s="7">
        <f t="shared" si="373"/>
        <v>0</v>
      </c>
      <c r="O2175" s="7">
        <f t="shared" si="372"/>
        <v>16000</v>
      </c>
      <c r="P2175" s="99">
        <f t="shared" si="365"/>
        <v>1.321658681645465E-3</v>
      </c>
      <c r="Q2175" s="99">
        <f t="shared" si="374"/>
        <v>-1.2963400161661615E-3</v>
      </c>
      <c r="S2175" s="7">
        <f t="shared" si="366"/>
        <v>13334200.000000002</v>
      </c>
      <c r="V2175" s="7">
        <f t="shared" si="369"/>
        <v>0</v>
      </c>
      <c r="W2175" s="7">
        <f t="shared" si="370"/>
        <v>0</v>
      </c>
      <c r="X2175" s="7">
        <f t="shared" si="371"/>
        <v>0</v>
      </c>
    </row>
    <row r="2176" spans="1:24">
      <c r="A2176">
        <v>2175</v>
      </c>
      <c r="B2176" s="96" t="s">
        <v>1428</v>
      </c>
      <c r="C2176" s="95">
        <v>42973</v>
      </c>
      <c r="D2176" s="82">
        <v>12125000</v>
      </c>
      <c r="E2176" s="82">
        <v>12125000</v>
      </c>
      <c r="F2176" s="82">
        <v>12174000</v>
      </c>
      <c r="G2176" s="82">
        <v>12173000</v>
      </c>
      <c r="I2176" s="98">
        <v>0</v>
      </c>
      <c r="J2176" s="98">
        <v>0</v>
      </c>
      <c r="K2176" s="98">
        <v>0</v>
      </c>
      <c r="M2176" s="7">
        <f t="shared" si="364"/>
        <v>0</v>
      </c>
      <c r="N2176" s="7">
        <f t="shared" si="373"/>
        <v>0</v>
      </c>
      <c r="O2176" s="7">
        <f t="shared" si="372"/>
        <v>51000</v>
      </c>
      <c r="P2176" s="99">
        <f t="shared" si="365"/>
        <v>4.2072265302755324E-3</v>
      </c>
      <c r="Q2176" s="99">
        <f t="shared" si="374"/>
        <v>2.8301363523296581E-3</v>
      </c>
      <c r="S2176" s="7">
        <f t="shared" si="366"/>
        <v>13390300.000000002</v>
      </c>
      <c r="V2176" s="7">
        <f t="shared" si="369"/>
        <v>0</v>
      </c>
      <c r="W2176" s="7">
        <f t="shared" si="370"/>
        <v>0</v>
      </c>
      <c r="X2176" s="7">
        <f t="shared" si="371"/>
        <v>0</v>
      </c>
    </row>
    <row r="2177" spans="1:24">
      <c r="A2177">
        <v>2176</v>
      </c>
      <c r="B2177" s="96" t="s">
        <v>1427</v>
      </c>
      <c r="C2177" s="95">
        <v>42974</v>
      </c>
      <c r="D2177" s="82">
        <v>12174000</v>
      </c>
      <c r="E2177" s="82">
        <v>12174000</v>
      </c>
      <c r="F2177" s="82">
        <v>12231000</v>
      </c>
      <c r="G2177" s="82">
        <v>12208000</v>
      </c>
      <c r="I2177" s="82">
        <f>G2177*1.1</f>
        <v>13428800.000000002</v>
      </c>
      <c r="J2177" s="82">
        <f>G2177/3</f>
        <v>4069333.3333333335</v>
      </c>
      <c r="K2177" s="7">
        <f>G2445</f>
        <v>0</v>
      </c>
      <c r="L2177" s="7">
        <f>K2177-I2177</f>
        <v>-13428800.000000002</v>
      </c>
      <c r="M2177" s="7">
        <f t="shared" si="364"/>
        <v>508666.66666666674</v>
      </c>
      <c r="N2177" s="7">
        <f t="shared" si="373"/>
        <v>-12920133.333333336</v>
      </c>
      <c r="O2177" s="7">
        <f t="shared" si="372"/>
        <v>35000</v>
      </c>
      <c r="P2177" s="99">
        <f t="shared" si="365"/>
        <v>2.8752156411730881E-3</v>
      </c>
      <c r="Q2177" s="99">
        <f t="shared" si="374"/>
        <v>8.2782629487865265E-3</v>
      </c>
      <c r="R2177">
        <v>1</v>
      </c>
      <c r="S2177" s="7">
        <f t="shared" si="366"/>
        <v>13428800.000000002</v>
      </c>
      <c r="V2177" s="7">
        <f t="shared" si="369"/>
        <v>-13428800.000000002</v>
      </c>
      <c r="W2177" s="7">
        <f t="shared" si="370"/>
        <v>0</v>
      </c>
      <c r="X2177" s="7">
        <f t="shared" si="371"/>
        <v>-13428800.000000002</v>
      </c>
    </row>
    <row r="2178" spans="1:24">
      <c r="A2178">
        <v>2177</v>
      </c>
      <c r="B2178" s="96" t="s">
        <v>1426</v>
      </c>
      <c r="C2178" s="95">
        <v>42975</v>
      </c>
      <c r="D2178" s="82">
        <v>12220000</v>
      </c>
      <c r="E2178" s="82">
        <v>12217000</v>
      </c>
      <c r="F2178" s="82">
        <v>12260000</v>
      </c>
      <c r="G2178" s="82">
        <v>12256000</v>
      </c>
      <c r="I2178" s="97">
        <v>0</v>
      </c>
      <c r="J2178" s="97">
        <v>0</v>
      </c>
      <c r="K2178" s="97">
        <v>0</v>
      </c>
      <c r="M2178" s="7">
        <f t="shared" ref="M2178:M2241" si="375">J2178*$AI$6/200</f>
        <v>0</v>
      </c>
      <c r="N2178" s="7">
        <f t="shared" si="373"/>
        <v>0</v>
      </c>
      <c r="O2178" s="7">
        <f t="shared" si="372"/>
        <v>48000</v>
      </c>
      <c r="P2178" s="99">
        <f t="shared" si="365"/>
        <v>3.9318479685452159E-3</v>
      </c>
      <c r="Q2178" s="99">
        <f t="shared" si="374"/>
        <v>5.5210757074946109E-3</v>
      </c>
      <c r="S2178" s="7">
        <f t="shared" si="366"/>
        <v>13481600.000000002</v>
      </c>
      <c r="V2178" s="7">
        <f t="shared" si="369"/>
        <v>0</v>
      </c>
      <c r="W2178" s="7">
        <f t="shared" si="370"/>
        <v>0</v>
      </c>
      <c r="X2178" s="7">
        <f t="shared" si="371"/>
        <v>0</v>
      </c>
    </row>
    <row r="2179" spans="1:24">
      <c r="A2179">
        <v>2178</v>
      </c>
      <c r="B2179" s="96" t="s">
        <v>1425</v>
      </c>
      <c r="C2179" s="95">
        <v>42976</v>
      </c>
      <c r="D2179" s="82">
        <v>12265000</v>
      </c>
      <c r="E2179" s="82">
        <v>12259000</v>
      </c>
      <c r="F2179" s="82">
        <v>12324000</v>
      </c>
      <c r="G2179" s="82">
        <v>12266000</v>
      </c>
      <c r="I2179" s="97">
        <v>0</v>
      </c>
      <c r="J2179" s="97">
        <v>0</v>
      </c>
      <c r="K2179" s="97">
        <v>0</v>
      </c>
      <c r="M2179" s="7">
        <f t="shared" si="375"/>
        <v>0</v>
      </c>
      <c r="N2179" s="7">
        <f t="shared" si="373"/>
        <v>0</v>
      </c>
      <c r="O2179" s="7">
        <f t="shared" si="372"/>
        <v>10000</v>
      </c>
      <c r="P2179" s="99">
        <f t="shared" ref="P2179:P2242" si="376">O2179/G2178</f>
        <v>8.159268929503916E-4</v>
      </c>
      <c r="Q2179" s="99">
        <f t="shared" si="374"/>
        <v>1.2253351976838772E-2</v>
      </c>
      <c r="S2179" s="7">
        <f t="shared" ref="S2179:S2242" si="377">G2179*1.1</f>
        <v>13492600.000000002</v>
      </c>
      <c r="V2179" s="7">
        <f t="shared" ref="V2179:V2242" si="378">(U2179-S2179)*R2179</f>
        <v>0</v>
      </c>
      <c r="W2179" s="7">
        <f t="shared" ref="W2179:W2242" si="379">(T2179*$AI$6/200)*R2179</f>
        <v>0</v>
      </c>
      <c r="X2179" s="7">
        <f t="shared" ref="X2179:X2242" si="380">V2179+W2179</f>
        <v>0</v>
      </c>
    </row>
    <row r="2180" spans="1:24">
      <c r="A2180">
        <v>2179</v>
      </c>
      <c r="B2180" s="96" t="s">
        <v>1424</v>
      </c>
      <c r="C2180" s="95">
        <v>42977</v>
      </c>
      <c r="D2180" s="82">
        <v>12251000</v>
      </c>
      <c r="E2180" s="82">
        <v>12220000</v>
      </c>
      <c r="F2180" s="82">
        <v>12270000</v>
      </c>
      <c r="G2180" s="82">
        <v>12228000</v>
      </c>
      <c r="I2180" s="97">
        <v>0</v>
      </c>
      <c r="J2180" s="97">
        <v>0</v>
      </c>
      <c r="K2180" s="97">
        <v>0</v>
      </c>
      <c r="M2180" s="7">
        <f t="shared" si="375"/>
        <v>0</v>
      </c>
      <c r="N2180" s="7">
        <f t="shared" si="373"/>
        <v>0</v>
      </c>
      <c r="O2180" s="7">
        <f t="shared" ref="O2180:O2243" si="381">G2180-G2179</f>
        <v>-38000</v>
      </c>
      <c r="P2180" s="99">
        <f t="shared" si="376"/>
        <v>-3.0979944562204466E-3</v>
      </c>
      <c r="Q2180" s="99">
        <f t="shared" si="374"/>
        <v>1.3151875714589693E-2</v>
      </c>
      <c r="S2180" s="7">
        <f t="shared" si="377"/>
        <v>13450800.000000002</v>
      </c>
      <c r="V2180" s="7">
        <f t="shared" si="378"/>
        <v>0</v>
      </c>
      <c r="W2180" s="7">
        <f t="shared" si="379"/>
        <v>0</v>
      </c>
      <c r="X2180" s="7">
        <f t="shared" si="380"/>
        <v>0</v>
      </c>
    </row>
    <row r="2181" spans="1:24">
      <c r="A2181">
        <v>2180</v>
      </c>
      <c r="B2181" s="96" t="s">
        <v>1423</v>
      </c>
      <c r="C2181" s="95">
        <v>42978</v>
      </c>
      <c r="D2181" s="82">
        <v>12212000</v>
      </c>
      <c r="E2181" s="82">
        <v>12195000</v>
      </c>
      <c r="F2181" s="82">
        <v>12274000</v>
      </c>
      <c r="G2181" s="82">
        <v>12263000</v>
      </c>
      <c r="I2181" s="98">
        <v>0</v>
      </c>
      <c r="J2181" s="98">
        <v>0</v>
      </c>
      <c r="K2181" s="98">
        <v>0</v>
      </c>
      <c r="M2181" s="7">
        <f t="shared" si="375"/>
        <v>0</v>
      </c>
      <c r="N2181" s="7">
        <f t="shared" si="373"/>
        <v>0</v>
      </c>
      <c r="O2181" s="7">
        <f t="shared" si="381"/>
        <v>35000</v>
      </c>
      <c r="P2181" s="99">
        <f t="shared" si="376"/>
        <v>2.8622832842656199E-3</v>
      </c>
      <c r="Q2181" s="99">
        <f t="shared" si="374"/>
        <v>8.7322225767237811E-3</v>
      </c>
      <c r="S2181" s="7">
        <f t="shared" si="377"/>
        <v>13489300.000000002</v>
      </c>
      <c r="V2181" s="7">
        <f t="shared" si="378"/>
        <v>0</v>
      </c>
      <c r="W2181" s="7">
        <f t="shared" si="379"/>
        <v>0</v>
      </c>
      <c r="X2181" s="7">
        <f t="shared" si="380"/>
        <v>0</v>
      </c>
    </row>
    <row r="2182" spans="1:24">
      <c r="A2182">
        <v>2181</v>
      </c>
      <c r="B2182" s="96" t="s">
        <v>1422</v>
      </c>
      <c r="C2182" s="95">
        <v>42980</v>
      </c>
      <c r="D2182" s="82">
        <v>12349000</v>
      </c>
      <c r="E2182" s="82">
        <v>12339000</v>
      </c>
      <c r="F2182" s="82">
        <v>12568000</v>
      </c>
      <c r="G2182" s="82">
        <v>12531000</v>
      </c>
      <c r="I2182" s="82">
        <f>G2182*1.1</f>
        <v>13784100.000000002</v>
      </c>
      <c r="J2182" s="82">
        <f>G2182/3</f>
        <v>4177000</v>
      </c>
      <c r="K2182" s="7">
        <f>G2450</f>
        <v>0</v>
      </c>
      <c r="L2182" s="7">
        <f>K2182-I2182</f>
        <v>-13784100.000000002</v>
      </c>
      <c r="M2182" s="7">
        <f t="shared" si="375"/>
        <v>522125</v>
      </c>
      <c r="N2182" s="7">
        <f t="shared" si="373"/>
        <v>-13261975.000000002</v>
      </c>
      <c r="O2182" s="7">
        <f t="shared" si="381"/>
        <v>268000</v>
      </c>
      <c r="P2182" s="99">
        <f t="shared" si="376"/>
        <v>2.1854358639810813E-2</v>
      </c>
      <c r="Q2182" s="99">
        <f t="shared" si="374"/>
        <v>7.3872793307138687E-3</v>
      </c>
      <c r="R2182">
        <v>1</v>
      </c>
      <c r="S2182" s="7">
        <f t="shared" si="377"/>
        <v>13784100.000000002</v>
      </c>
      <c r="V2182" s="7">
        <f t="shared" si="378"/>
        <v>-13784100.000000002</v>
      </c>
      <c r="W2182" s="7">
        <f t="shared" si="379"/>
        <v>0</v>
      </c>
      <c r="X2182" s="7">
        <f t="shared" si="380"/>
        <v>-13784100.000000002</v>
      </c>
    </row>
    <row r="2183" spans="1:24">
      <c r="A2183">
        <v>2182</v>
      </c>
      <c r="B2183" s="96" t="s">
        <v>1421</v>
      </c>
      <c r="C2183" s="95">
        <v>42981</v>
      </c>
      <c r="D2183" s="82">
        <v>12547000</v>
      </c>
      <c r="E2183" s="82">
        <v>12532000</v>
      </c>
      <c r="F2183" s="82">
        <v>12761000</v>
      </c>
      <c r="G2183" s="82">
        <v>12749000</v>
      </c>
      <c r="I2183" s="97">
        <v>0</v>
      </c>
      <c r="J2183" s="97">
        <v>0</v>
      </c>
      <c r="K2183" s="97">
        <v>0</v>
      </c>
      <c r="M2183" s="7">
        <f t="shared" si="375"/>
        <v>0</v>
      </c>
      <c r="N2183" s="7">
        <f t="shared" si="373"/>
        <v>0</v>
      </c>
      <c r="O2183" s="7">
        <f t="shared" si="381"/>
        <v>218000</v>
      </c>
      <c r="P2183" s="99">
        <f t="shared" si="376"/>
        <v>1.7396855797621898E-2</v>
      </c>
      <c r="Q2183" s="99">
        <f t="shared" si="374"/>
        <v>2.6366422329351595E-2</v>
      </c>
      <c r="S2183" s="7">
        <f t="shared" si="377"/>
        <v>14023900.000000002</v>
      </c>
      <c r="V2183" s="7">
        <f t="shared" si="378"/>
        <v>0</v>
      </c>
      <c r="W2183" s="7">
        <f t="shared" si="379"/>
        <v>0</v>
      </c>
      <c r="X2183" s="7">
        <f t="shared" si="380"/>
        <v>0</v>
      </c>
    </row>
    <row r="2184" spans="1:24">
      <c r="A2184">
        <v>2183</v>
      </c>
      <c r="B2184" s="96" t="s">
        <v>1420</v>
      </c>
      <c r="C2184" s="95">
        <v>42982</v>
      </c>
      <c r="D2184" s="82">
        <v>12784000</v>
      </c>
      <c r="E2184" s="82">
        <v>12554000</v>
      </c>
      <c r="F2184" s="82">
        <v>12784000</v>
      </c>
      <c r="G2184" s="82">
        <v>12559000</v>
      </c>
      <c r="I2184" s="97">
        <v>0</v>
      </c>
      <c r="J2184" s="97">
        <v>0</v>
      </c>
      <c r="K2184" s="97">
        <v>0</v>
      </c>
      <c r="M2184" s="7">
        <f t="shared" si="375"/>
        <v>0</v>
      </c>
      <c r="N2184" s="7">
        <f t="shared" ref="N2184:N2247" si="382">L2184+M2184</f>
        <v>0</v>
      </c>
      <c r="O2184" s="7">
        <f t="shared" si="381"/>
        <v>-190000</v>
      </c>
      <c r="P2184" s="99">
        <f t="shared" si="376"/>
        <v>-1.4903129657228018E-2</v>
      </c>
      <c r="Q2184" s="99">
        <f t="shared" ref="Q2184:Q2247" si="383">SUM(P2179:P2183)</f>
        <v>3.9831430158428272E-2</v>
      </c>
      <c r="S2184" s="7">
        <f t="shared" si="377"/>
        <v>13814900.000000002</v>
      </c>
      <c r="V2184" s="7">
        <f t="shared" si="378"/>
        <v>0</v>
      </c>
      <c r="W2184" s="7">
        <f t="shared" si="379"/>
        <v>0</v>
      </c>
      <c r="X2184" s="7">
        <f t="shared" si="380"/>
        <v>0</v>
      </c>
    </row>
    <row r="2185" spans="1:24">
      <c r="A2185">
        <v>2184</v>
      </c>
      <c r="B2185" s="96" t="s">
        <v>1419</v>
      </c>
      <c r="C2185" s="95">
        <v>42983</v>
      </c>
      <c r="D2185" s="82">
        <v>12564000</v>
      </c>
      <c r="E2185" s="82">
        <v>12515000</v>
      </c>
      <c r="F2185" s="82">
        <v>12589000</v>
      </c>
      <c r="G2185" s="82">
        <v>12579000</v>
      </c>
      <c r="I2185" s="97">
        <v>0</v>
      </c>
      <c r="J2185" s="97">
        <v>0</v>
      </c>
      <c r="K2185" s="97">
        <v>0</v>
      </c>
      <c r="M2185" s="7">
        <f t="shared" si="375"/>
        <v>0</v>
      </c>
      <c r="N2185" s="7">
        <f t="shared" si="382"/>
        <v>0</v>
      </c>
      <c r="O2185" s="7">
        <f t="shared" si="381"/>
        <v>20000</v>
      </c>
      <c r="P2185" s="99">
        <f t="shared" si="376"/>
        <v>1.5924834779839159E-3</v>
      </c>
      <c r="Q2185" s="99">
        <f t="shared" si="383"/>
        <v>2.4112373608249867E-2</v>
      </c>
      <c r="S2185" s="7">
        <f t="shared" si="377"/>
        <v>13836900.000000002</v>
      </c>
      <c r="V2185" s="7">
        <f t="shared" si="378"/>
        <v>0</v>
      </c>
      <c r="W2185" s="7">
        <f t="shared" si="379"/>
        <v>0</v>
      </c>
      <c r="X2185" s="7">
        <f t="shared" si="380"/>
        <v>0</v>
      </c>
    </row>
    <row r="2186" spans="1:24">
      <c r="A2186">
        <v>2185</v>
      </c>
      <c r="B2186" s="96" t="s">
        <v>1418</v>
      </c>
      <c r="C2186" s="95">
        <v>42984</v>
      </c>
      <c r="D2186" s="82">
        <v>12576000</v>
      </c>
      <c r="E2186" s="82">
        <v>12556000</v>
      </c>
      <c r="F2186" s="82">
        <v>12710000</v>
      </c>
      <c r="G2186" s="82">
        <v>12660000</v>
      </c>
      <c r="I2186" s="98">
        <v>0</v>
      </c>
      <c r="J2186" s="98">
        <v>0</v>
      </c>
      <c r="K2186" s="98">
        <v>0</v>
      </c>
      <c r="M2186" s="7">
        <f t="shared" si="375"/>
        <v>0</v>
      </c>
      <c r="N2186" s="7">
        <f t="shared" si="382"/>
        <v>0</v>
      </c>
      <c r="O2186" s="7">
        <f t="shared" si="381"/>
        <v>81000</v>
      </c>
      <c r="P2186" s="99">
        <f t="shared" si="376"/>
        <v>6.4393036012401622E-3</v>
      </c>
      <c r="Q2186" s="99">
        <f t="shared" si="383"/>
        <v>2.8802851542454225E-2</v>
      </c>
      <c r="S2186" s="7">
        <f t="shared" si="377"/>
        <v>13926000.000000002</v>
      </c>
      <c r="V2186" s="7">
        <f t="shared" si="378"/>
        <v>0</v>
      </c>
      <c r="W2186" s="7">
        <f t="shared" si="379"/>
        <v>0</v>
      </c>
      <c r="X2186" s="7">
        <f t="shared" si="380"/>
        <v>0</v>
      </c>
    </row>
    <row r="2187" spans="1:24">
      <c r="A2187">
        <v>2186</v>
      </c>
      <c r="B2187" s="96" t="s">
        <v>1417</v>
      </c>
      <c r="C2187" s="95">
        <v>42985</v>
      </c>
      <c r="D2187" s="82">
        <v>12650000</v>
      </c>
      <c r="E2187" s="82">
        <v>12650000</v>
      </c>
      <c r="F2187" s="82">
        <v>12738000</v>
      </c>
      <c r="G2187" s="82">
        <v>12728000</v>
      </c>
      <c r="I2187" s="82">
        <f>G2187*1.1</f>
        <v>14000800.000000002</v>
      </c>
      <c r="J2187" s="82">
        <f>G2187/3</f>
        <v>4242666.666666667</v>
      </c>
      <c r="K2187" s="7">
        <f>G2455</f>
        <v>0</v>
      </c>
      <c r="L2187" s="7">
        <f>K2187-I2187</f>
        <v>-14000800.000000002</v>
      </c>
      <c r="M2187" s="7">
        <f t="shared" si="375"/>
        <v>530333.33333333337</v>
      </c>
      <c r="N2187" s="7">
        <f t="shared" si="382"/>
        <v>-13470466.666666668</v>
      </c>
      <c r="O2187" s="7">
        <f t="shared" si="381"/>
        <v>68000</v>
      </c>
      <c r="P2187" s="99">
        <f t="shared" si="376"/>
        <v>5.371248025276461E-3</v>
      </c>
      <c r="Q2187" s="99">
        <f t="shared" si="383"/>
        <v>3.2379871859428769E-2</v>
      </c>
      <c r="R2187">
        <v>1</v>
      </c>
      <c r="S2187" s="7">
        <f t="shared" si="377"/>
        <v>14000800.000000002</v>
      </c>
      <c r="V2187" s="7">
        <f t="shared" si="378"/>
        <v>-14000800.000000002</v>
      </c>
      <c r="W2187" s="7">
        <f t="shared" si="379"/>
        <v>0</v>
      </c>
      <c r="X2187" s="7">
        <f t="shared" si="380"/>
        <v>-14000800.000000002</v>
      </c>
    </row>
    <row r="2188" spans="1:24">
      <c r="A2188">
        <v>2187</v>
      </c>
      <c r="B2188" s="96" t="s">
        <v>1416</v>
      </c>
      <c r="C2188" s="95">
        <v>42987</v>
      </c>
      <c r="D2188" s="82">
        <v>12738000</v>
      </c>
      <c r="E2188" s="82">
        <v>12725000</v>
      </c>
      <c r="F2188" s="82">
        <v>12758000</v>
      </c>
      <c r="G2188" s="82">
        <v>12744000</v>
      </c>
      <c r="I2188" s="97">
        <v>0</v>
      </c>
      <c r="J2188" s="97">
        <v>0</v>
      </c>
      <c r="K2188" s="97">
        <v>0</v>
      </c>
      <c r="M2188" s="7">
        <f t="shared" si="375"/>
        <v>0</v>
      </c>
      <c r="N2188" s="7">
        <f t="shared" si="382"/>
        <v>0</v>
      </c>
      <c r="O2188" s="7">
        <f t="shared" si="381"/>
        <v>16000</v>
      </c>
      <c r="P2188" s="99">
        <f t="shared" si="376"/>
        <v>1.257071024512885E-3</v>
      </c>
      <c r="Q2188" s="99">
        <f t="shared" si="383"/>
        <v>1.589676124489442E-2</v>
      </c>
      <c r="S2188" s="7">
        <f t="shared" si="377"/>
        <v>14018400.000000002</v>
      </c>
      <c r="V2188" s="7">
        <f t="shared" si="378"/>
        <v>0</v>
      </c>
      <c r="W2188" s="7">
        <f t="shared" si="379"/>
        <v>0</v>
      </c>
      <c r="X2188" s="7">
        <f t="shared" si="380"/>
        <v>0</v>
      </c>
    </row>
    <row r="2189" spans="1:24">
      <c r="A2189">
        <v>2188</v>
      </c>
      <c r="B2189" s="96" t="s">
        <v>1415</v>
      </c>
      <c r="C2189" s="95">
        <v>42988</v>
      </c>
      <c r="D2189" s="82">
        <v>12743000</v>
      </c>
      <c r="E2189" s="82">
        <v>12667000</v>
      </c>
      <c r="F2189" s="82">
        <v>12743000</v>
      </c>
      <c r="G2189" s="82">
        <v>12682000</v>
      </c>
      <c r="I2189" s="97">
        <v>0</v>
      </c>
      <c r="J2189" s="97">
        <v>0</v>
      </c>
      <c r="K2189" s="97">
        <v>0</v>
      </c>
      <c r="M2189" s="7">
        <f t="shared" si="375"/>
        <v>0</v>
      </c>
      <c r="N2189" s="7">
        <f t="shared" si="382"/>
        <v>0</v>
      </c>
      <c r="O2189" s="7">
        <f t="shared" si="381"/>
        <v>-62000</v>
      </c>
      <c r="P2189" s="99">
        <f t="shared" si="376"/>
        <v>-4.8650345260514748E-3</v>
      </c>
      <c r="Q2189" s="99">
        <f t="shared" si="383"/>
        <v>-2.4302352821459292E-4</v>
      </c>
      <c r="S2189" s="7">
        <f t="shared" si="377"/>
        <v>13950200.000000002</v>
      </c>
      <c r="V2189" s="7">
        <f t="shared" si="378"/>
        <v>0</v>
      </c>
      <c r="W2189" s="7">
        <f t="shared" si="379"/>
        <v>0</v>
      </c>
      <c r="X2189" s="7">
        <f t="shared" si="380"/>
        <v>0</v>
      </c>
    </row>
    <row r="2190" spans="1:24">
      <c r="A2190">
        <v>2189</v>
      </c>
      <c r="B2190" s="96" t="s">
        <v>1414</v>
      </c>
      <c r="C2190" s="95">
        <v>42989</v>
      </c>
      <c r="D2190" s="82">
        <v>12662000</v>
      </c>
      <c r="E2190" s="82">
        <v>12562000</v>
      </c>
      <c r="F2190" s="82">
        <v>12662000</v>
      </c>
      <c r="G2190" s="82">
        <v>12572000</v>
      </c>
      <c r="I2190" s="97">
        <v>0</v>
      </c>
      <c r="J2190" s="97">
        <v>0</v>
      </c>
      <c r="K2190" s="97">
        <v>0</v>
      </c>
      <c r="M2190" s="7">
        <f t="shared" si="375"/>
        <v>0</v>
      </c>
      <c r="N2190" s="7">
        <f t="shared" si="382"/>
        <v>0</v>
      </c>
      <c r="O2190" s="7">
        <f t="shared" si="381"/>
        <v>-110000</v>
      </c>
      <c r="P2190" s="99">
        <f t="shared" si="376"/>
        <v>-8.6737107711717387E-3</v>
      </c>
      <c r="Q2190" s="99">
        <f t="shared" si="383"/>
        <v>9.7950716029619467E-3</v>
      </c>
      <c r="S2190" s="7">
        <f t="shared" si="377"/>
        <v>13829200.000000002</v>
      </c>
      <c r="V2190" s="7">
        <f t="shared" si="378"/>
        <v>0</v>
      </c>
      <c r="W2190" s="7">
        <f t="shared" si="379"/>
        <v>0</v>
      </c>
      <c r="X2190" s="7">
        <f t="shared" si="380"/>
        <v>0</v>
      </c>
    </row>
    <row r="2191" spans="1:24">
      <c r="A2191">
        <v>2190</v>
      </c>
      <c r="B2191" s="96" t="s">
        <v>1413</v>
      </c>
      <c r="C2191" s="95">
        <v>42990</v>
      </c>
      <c r="D2191" s="82">
        <v>12548000</v>
      </c>
      <c r="E2191" s="82">
        <v>12548000</v>
      </c>
      <c r="F2191" s="82">
        <v>12655000</v>
      </c>
      <c r="G2191" s="82">
        <v>12628000</v>
      </c>
      <c r="I2191" s="98">
        <v>0</v>
      </c>
      <c r="J2191" s="98">
        <v>0</v>
      </c>
      <c r="K2191" s="98">
        <v>0</v>
      </c>
      <c r="M2191" s="7">
        <f t="shared" si="375"/>
        <v>0</v>
      </c>
      <c r="N2191" s="7">
        <f t="shared" si="382"/>
        <v>0</v>
      </c>
      <c r="O2191" s="7">
        <f t="shared" si="381"/>
        <v>56000</v>
      </c>
      <c r="P2191" s="99">
        <f t="shared" si="376"/>
        <v>4.4543429844097994E-3</v>
      </c>
      <c r="Q2191" s="99">
        <f t="shared" si="383"/>
        <v>-4.7112264619370708E-4</v>
      </c>
      <c r="S2191" s="7">
        <f t="shared" si="377"/>
        <v>13890800.000000002</v>
      </c>
      <c r="V2191" s="7">
        <f t="shared" si="378"/>
        <v>0</v>
      </c>
      <c r="W2191" s="7">
        <f t="shared" si="379"/>
        <v>0</v>
      </c>
      <c r="X2191" s="7">
        <f t="shared" si="380"/>
        <v>0</v>
      </c>
    </row>
    <row r="2192" spans="1:24">
      <c r="A2192">
        <v>2191</v>
      </c>
      <c r="B2192" s="96" t="s">
        <v>1412</v>
      </c>
      <c r="C2192" s="95">
        <v>42991</v>
      </c>
      <c r="D2192" s="82">
        <v>12699000</v>
      </c>
      <c r="E2192" s="82">
        <v>12592000</v>
      </c>
      <c r="F2192" s="82">
        <v>12753000</v>
      </c>
      <c r="G2192" s="82">
        <v>12594000</v>
      </c>
      <c r="I2192" s="82">
        <f>G2192*1.1</f>
        <v>13853400.000000002</v>
      </c>
      <c r="J2192" s="82">
        <f>G2192/3</f>
        <v>4198000</v>
      </c>
      <c r="K2192" s="7">
        <f>G2460</f>
        <v>0</v>
      </c>
      <c r="L2192" s="7">
        <f>K2192-I2192</f>
        <v>-13853400.000000002</v>
      </c>
      <c r="M2192" s="7">
        <f t="shared" si="375"/>
        <v>524750</v>
      </c>
      <c r="N2192" s="7">
        <f t="shared" si="382"/>
        <v>-13328650.000000002</v>
      </c>
      <c r="O2192" s="7">
        <f t="shared" si="381"/>
        <v>-34000</v>
      </c>
      <c r="P2192" s="99">
        <f t="shared" si="376"/>
        <v>-2.6924295216978144E-3</v>
      </c>
      <c r="Q2192" s="99">
        <f t="shared" si="383"/>
        <v>-2.4560832630240682E-3</v>
      </c>
      <c r="R2192">
        <v>1</v>
      </c>
      <c r="S2192" s="7">
        <f t="shared" si="377"/>
        <v>13853400.000000002</v>
      </c>
      <c r="V2192" s="7">
        <f t="shared" si="378"/>
        <v>-13853400.000000002</v>
      </c>
      <c r="W2192" s="7">
        <f t="shared" si="379"/>
        <v>0</v>
      </c>
      <c r="X2192" s="7">
        <f t="shared" si="380"/>
        <v>-13853400.000000002</v>
      </c>
    </row>
    <row r="2193" spans="1:24">
      <c r="A2193">
        <v>2192</v>
      </c>
      <c r="B2193" s="96" t="s">
        <v>1411</v>
      </c>
      <c r="C2193" s="95">
        <v>42992</v>
      </c>
      <c r="D2193" s="82">
        <v>12575000</v>
      </c>
      <c r="E2193" s="82">
        <v>12537000</v>
      </c>
      <c r="F2193" s="82">
        <v>12599000</v>
      </c>
      <c r="G2193" s="82">
        <v>12542000</v>
      </c>
      <c r="I2193" s="97">
        <v>0</v>
      </c>
      <c r="J2193" s="97">
        <v>0</v>
      </c>
      <c r="K2193" s="97">
        <v>0</v>
      </c>
      <c r="M2193" s="7">
        <f t="shared" si="375"/>
        <v>0</v>
      </c>
      <c r="N2193" s="7">
        <f t="shared" si="382"/>
        <v>0</v>
      </c>
      <c r="O2193" s="7">
        <f t="shared" si="381"/>
        <v>-52000</v>
      </c>
      <c r="P2193" s="99">
        <f t="shared" si="376"/>
        <v>-4.1289502937906942E-3</v>
      </c>
      <c r="Q2193" s="99">
        <f t="shared" si="383"/>
        <v>-1.0519760809998344E-2</v>
      </c>
      <c r="S2193" s="7">
        <f t="shared" si="377"/>
        <v>13796200.000000002</v>
      </c>
      <c r="V2193" s="7">
        <f t="shared" si="378"/>
        <v>0</v>
      </c>
      <c r="W2193" s="7">
        <f t="shared" si="379"/>
        <v>0</v>
      </c>
      <c r="X2193" s="7">
        <f t="shared" si="380"/>
        <v>0</v>
      </c>
    </row>
    <row r="2194" spans="1:24">
      <c r="A2194">
        <v>2193</v>
      </c>
      <c r="B2194" s="96" t="s">
        <v>1410</v>
      </c>
      <c r="C2194" s="95">
        <v>42994</v>
      </c>
      <c r="D2194" s="82">
        <v>12537000</v>
      </c>
      <c r="E2194" s="82">
        <v>12469000</v>
      </c>
      <c r="F2194" s="82">
        <v>12540000</v>
      </c>
      <c r="G2194" s="82">
        <v>12479000</v>
      </c>
      <c r="I2194" s="97">
        <v>0</v>
      </c>
      <c r="J2194" s="97">
        <v>0</v>
      </c>
      <c r="K2194" s="97">
        <v>0</v>
      </c>
      <c r="M2194" s="7">
        <f t="shared" si="375"/>
        <v>0</v>
      </c>
      <c r="N2194" s="7">
        <f t="shared" si="382"/>
        <v>0</v>
      </c>
      <c r="O2194" s="7">
        <f t="shared" si="381"/>
        <v>-63000</v>
      </c>
      <c r="P2194" s="99">
        <f t="shared" si="376"/>
        <v>-5.0231223090416201E-3</v>
      </c>
      <c r="Q2194" s="99">
        <f t="shared" si="383"/>
        <v>-1.5905782128301921E-2</v>
      </c>
      <c r="S2194" s="7">
        <f t="shared" si="377"/>
        <v>13726900.000000002</v>
      </c>
      <c r="V2194" s="7">
        <f t="shared" si="378"/>
        <v>0</v>
      </c>
      <c r="W2194" s="7">
        <f t="shared" si="379"/>
        <v>0</v>
      </c>
      <c r="X2194" s="7">
        <f t="shared" si="380"/>
        <v>0</v>
      </c>
    </row>
    <row r="2195" spans="1:24">
      <c r="A2195">
        <v>2194</v>
      </c>
      <c r="B2195" s="96" t="s">
        <v>1409</v>
      </c>
      <c r="C2195" s="95">
        <v>42995</v>
      </c>
      <c r="D2195" s="82">
        <v>12473000</v>
      </c>
      <c r="E2195" s="82">
        <v>12432000</v>
      </c>
      <c r="F2195" s="82">
        <v>12514000</v>
      </c>
      <c r="G2195" s="82">
        <v>12443000</v>
      </c>
      <c r="I2195" s="97">
        <v>0</v>
      </c>
      <c r="J2195" s="97">
        <v>0</v>
      </c>
      <c r="K2195" s="97">
        <v>0</v>
      </c>
      <c r="M2195" s="7">
        <f t="shared" si="375"/>
        <v>0</v>
      </c>
      <c r="N2195" s="7">
        <f t="shared" si="382"/>
        <v>0</v>
      </c>
      <c r="O2195" s="7">
        <f t="shared" si="381"/>
        <v>-36000</v>
      </c>
      <c r="P2195" s="99">
        <f t="shared" si="376"/>
        <v>-2.8848465421908807E-3</v>
      </c>
      <c r="Q2195" s="99">
        <f t="shared" si="383"/>
        <v>-1.6063869911292068E-2</v>
      </c>
      <c r="S2195" s="7">
        <f t="shared" si="377"/>
        <v>13687300.000000002</v>
      </c>
      <c r="V2195" s="7">
        <f t="shared" si="378"/>
        <v>0</v>
      </c>
      <c r="W2195" s="7">
        <f t="shared" si="379"/>
        <v>0</v>
      </c>
      <c r="X2195" s="7">
        <f t="shared" si="380"/>
        <v>0</v>
      </c>
    </row>
    <row r="2196" spans="1:24">
      <c r="A2196">
        <v>2195</v>
      </c>
      <c r="B2196" s="96" t="s">
        <v>1408</v>
      </c>
      <c r="C2196" s="95">
        <v>42996</v>
      </c>
      <c r="D2196" s="82">
        <v>12438000</v>
      </c>
      <c r="E2196" s="82">
        <v>12392000</v>
      </c>
      <c r="F2196" s="82">
        <v>12438000</v>
      </c>
      <c r="G2196" s="82">
        <v>12412000</v>
      </c>
      <c r="I2196" s="98">
        <v>0</v>
      </c>
      <c r="J2196" s="98">
        <v>0</v>
      </c>
      <c r="K2196" s="98">
        <v>0</v>
      </c>
      <c r="M2196" s="7">
        <f t="shared" si="375"/>
        <v>0</v>
      </c>
      <c r="N2196" s="7">
        <f t="shared" si="382"/>
        <v>0</v>
      </c>
      <c r="O2196" s="7">
        <f t="shared" si="381"/>
        <v>-31000</v>
      </c>
      <c r="P2196" s="99">
        <f t="shared" si="376"/>
        <v>-2.4913606043558629E-3</v>
      </c>
      <c r="Q2196" s="99">
        <f t="shared" si="383"/>
        <v>-1.027500568231121E-2</v>
      </c>
      <c r="S2196" s="7">
        <f t="shared" si="377"/>
        <v>13653200.000000002</v>
      </c>
      <c r="V2196" s="7">
        <f t="shared" si="378"/>
        <v>0</v>
      </c>
      <c r="W2196" s="7">
        <f t="shared" si="379"/>
        <v>0</v>
      </c>
      <c r="X2196" s="7">
        <f t="shared" si="380"/>
        <v>0</v>
      </c>
    </row>
    <row r="2197" spans="1:24">
      <c r="A2197">
        <v>2196</v>
      </c>
      <c r="B2197" s="96" t="s">
        <v>1407</v>
      </c>
      <c r="C2197" s="95">
        <v>42997</v>
      </c>
      <c r="D2197" s="82">
        <v>12420000</v>
      </c>
      <c r="E2197" s="82">
        <v>12420000</v>
      </c>
      <c r="F2197" s="82">
        <v>12475000</v>
      </c>
      <c r="G2197" s="82">
        <v>12425000</v>
      </c>
      <c r="I2197" s="82">
        <f>G2197*1.1</f>
        <v>13667500.000000002</v>
      </c>
      <c r="J2197" s="82">
        <f>G2197/3</f>
        <v>4141666.6666666665</v>
      </c>
      <c r="K2197" s="7">
        <f>G2465</f>
        <v>0</v>
      </c>
      <c r="L2197" s="7">
        <f>K2197-I2197</f>
        <v>-13667500.000000002</v>
      </c>
      <c r="M2197" s="7">
        <f t="shared" si="375"/>
        <v>517708.33333333326</v>
      </c>
      <c r="N2197" s="7">
        <f t="shared" si="382"/>
        <v>-13149791.666666668</v>
      </c>
      <c r="O2197" s="7">
        <f t="shared" si="381"/>
        <v>13000</v>
      </c>
      <c r="P2197" s="99">
        <f t="shared" si="376"/>
        <v>1.0473735095069287E-3</v>
      </c>
      <c r="Q2197" s="99">
        <f t="shared" si="383"/>
        <v>-1.7220709271076873E-2</v>
      </c>
      <c r="R2197">
        <v>1</v>
      </c>
      <c r="S2197" s="7">
        <f t="shared" si="377"/>
        <v>13667500.000000002</v>
      </c>
      <c r="V2197" s="7">
        <f t="shared" si="378"/>
        <v>-13667500.000000002</v>
      </c>
      <c r="W2197" s="7">
        <f t="shared" si="379"/>
        <v>0</v>
      </c>
      <c r="X2197" s="7">
        <f t="shared" si="380"/>
        <v>-13667500.000000002</v>
      </c>
    </row>
    <row r="2198" spans="1:24">
      <c r="A2198">
        <v>2197</v>
      </c>
      <c r="B2198" s="96" t="s">
        <v>1406</v>
      </c>
      <c r="C2198" s="95">
        <v>42998</v>
      </c>
      <c r="D2198" s="82">
        <v>12456000</v>
      </c>
      <c r="E2198" s="82">
        <v>12445000</v>
      </c>
      <c r="F2198" s="82">
        <v>12488000</v>
      </c>
      <c r="G2198" s="82">
        <v>12461000</v>
      </c>
      <c r="I2198" s="97">
        <v>0</v>
      </c>
      <c r="J2198" s="97">
        <v>0</v>
      </c>
      <c r="K2198" s="97">
        <v>0</v>
      </c>
      <c r="M2198" s="7">
        <f t="shared" si="375"/>
        <v>0</v>
      </c>
      <c r="N2198" s="7">
        <f t="shared" si="382"/>
        <v>0</v>
      </c>
      <c r="O2198" s="7">
        <f t="shared" si="381"/>
        <v>36000</v>
      </c>
      <c r="P2198" s="99">
        <f t="shared" si="376"/>
        <v>2.8973843058350099E-3</v>
      </c>
      <c r="Q2198" s="99">
        <f t="shared" si="383"/>
        <v>-1.3480906239872128E-2</v>
      </c>
      <c r="S2198" s="7">
        <f t="shared" si="377"/>
        <v>13707100.000000002</v>
      </c>
      <c r="V2198" s="7">
        <f t="shared" si="378"/>
        <v>0</v>
      </c>
      <c r="W2198" s="7">
        <f t="shared" si="379"/>
        <v>0</v>
      </c>
      <c r="X2198" s="7">
        <f t="shared" si="380"/>
        <v>0</v>
      </c>
    </row>
    <row r="2199" spans="1:24">
      <c r="A2199">
        <v>2198</v>
      </c>
      <c r="B2199" s="96" t="s">
        <v>1405</v>
      </c>
      <c r="C2199" s="95">
        <v>42999</v>
      </c>
      <c r="D2199" s="82">
        <v>12403000</v>
      </c>
      <c r="E2199" s="82">
        <v>12326000</v>
      </c>
      <c r="F2199" s="82">
        <v>12403000</v>
      </c>
      <c r="G2199" s="82">
        <v>12361000</v>
      </c>
      <c r="I2199" s="97">
        <v>0</v>
      </c>
      <c r="J2199" s="97">
        <v>0</v>
      </c>
      <c r="K2199" s="97">
        <v>0</v>
      </c>
      <c r="M2199" s="7">
        <f t="shared" si="375"/>
        <v>0</v>
      </c>
      <c r="N2199" s="7">
        <f t="shared" si="382"/>
        <v>0</v>
      </c>
      <c r="O2199" s="7">
        <f t="shared" si="381"/>
        <v>-100000</v>
      </c>
      <c r="P2199" s="99">
        <f t="shared" si="376"/>
        <v>-8.0250381189310646E-3</v>
      </c>
      <c r="Q2199" s="99">
        <f t="shared" si="383"/>
        <v>-6.4545716402464263E-3</v>
      </c>
      <c r="S2199" s="7">
        <f t="shared" si="377"/>
        <v>13597100.000000002</v>
      </c>
      <c r="V2199" s="7">
        <f t="shared" si="378"/>
        <v>0</v>
      </c>
      <c r="W2199" s="7">
        <f t="shared" si="379"/>
        <v>0</v>
      </c>
      <c r="X2199" s="7">
        <f t="shared" si="380"/>
        <v>0</v>
      </c>
    </row>
    <row r="2200" spans="1:24">
      <c r="A2200">
        <v>2199</v>
      </c>
      <c r="B2200" s="96" t="s">
        <v>1404</v>
      </c>
      <c r="C2200" s="95">
        <v>43001</v>
      </c>
      <c r="D2200" s="82">
        <v>12356000</v>
      </c>
      <c r="E2200" s="82">
        <v>12356000</v>
      </c>
      <c r="F2200" s="82">
        <v>12405000</v>
      </c>
      <c r="G2200" s="82">
        <v>12377000</v>
      </c>
      <c r="I2200" s="97">
        <v>0</v>
      </c>
      <c r="J2200" s="97">
        <v>0</v>
      </c>
      <c r="K2200" s="97">
        <v>0</v>
      </c>
      <c r="M2200" s="7">
        <f t="shared" si="375"/>
        <v>0</v>
      </c>
      <c r="N2200" s="7">
        <f t="shared" si="382"/>
        <v>0</v>
      </c>
      <c r="O2200" s="7">
        <f t="shared" si="381"/>
        <v>16000</v>
      </c>
      <c r="P2200" s="99">
        <f t="shared" si="376"/>
        <v>1.2943936574710785E-3</v>
      </c>
      <c r="Q2200" s="99">
        <f t="shared" si="383"/>
        <v>-9.4564874501358691E-3</v>
      </c>
      <c r="S2200" s="7">
        <f t="shared" si="377"/>
        <v>13614700.000000002</v>
      </c>
      <c r="V2200" s="7">
        <f t="shared" si="378"/>
        <v>0</v>
      </c>
      <c r="W2200" s="7">
        <f t="shared" si="379"/>
        <v>0</v>
      </c>
      <c r="X2200" s="7">
        <f t="shared" si="380"/>
        <v>0</v>
      </c>
    </row>
    <row r="2201" spans="1:24">
      <c r="A2201">
        <v>2200</v>
      </c>
      <c r="B2201" s="96" t="s">
        <v>1403</v>
      </c>
      <c r="C2201" s="95">
        <v>43002</v>
      </c>
      <c r="D2201" s="82">
        <v>12380000</v>
      </c>
      <c r="E2201" s="82">
        <v>12379000</v>
      </c>
      <c r="F2201" s="82">
        <v>12423000</v>
      </c>
      <c r="G2201" s="82">
        <v>12413000</v>
      </c>
      <c r="I2201" s="98">
        <v>0</v>
      </c>
      <c r="J2201" s="98">
        <v>0</v>
      </c>
      <c r="K2201" s="98">
        <v>0</v>
      </c>
      <c r="M2201" s="7">
        <f t="shared" si="375"/>
        <v>0</v>
      </c>
      <c r="N2201" s="7">
        <f t="shared" si="382"/>
        <v>0</v>
      </c>
      <c r="O2201" s="7">
        <f t="shared" si="381"/>
        <v>36000</v>
      </c>
      <c r="P2201" s="99">
        <f t="shared" si="376"/>
        <v>2.9086208289569363E-3</v>
      </c>
      <c r="Q2201" s="99">
        <f t="shared" si="383"/>
        <v>-5.2772472504739095E-3</v>
      </c>
      <c r="S2201" s="7">
        <f t="shared" si="377"/>
        <v>13654300.000000002</v>
      </c>
      <c r="V2201" s="7">
        <f t="shared" si="378"/>
        <v>0</v>
      </c>
      <c r="W2201" s="7">
        <f t="shared" si="379"/>
        <v>0</v>
      </c>
      <c r="X2201" s="7">
        <f t="shared" si="380"/>
        <v>0</v>
      </c>
    </row>
    <row r="2202" spans="1:24">
      <c r="A2202">
        <v>2201</v>
      </c>
      <c r="B2202" s="96" t="s">
        <v>1402</v>
      </c>
      <c r="C2202" s="95">
        <v>43003</v>
      </c>
      <c r="D2202" s="82">
        <v>12395000</v>
      </c>
      <c r="E2202" s="82">
        <v>12385000</v>
      </c>
      <c r="F2202" s="82">
        <v>12494000</v>
      </c>
      <c r="G2202" s="82">
        <v>12484000</v>
      </c>
      <c r="I2202" s="82">
        <f>G2202*1.1</f>
        <v>13732400.000000002</v>
      </c>
      <c r="J2202" s="82">
        <f>G2202/3</f>
        <v>4161333.3333333335</v>
      </c>
      <c r="K2202" s="7">
        <f>G2470</f>
        <v>0</v>
      </c>
      <c r="L2202" s="7">
        <f>K2202-I2202</f>
        <v>-13732400.000000002</v>
      </c>
      <c r="M2202" s="7">
        <f t="shared" si="375"/>
        <v>520166.66666666674</v>
      </c>
      <c r="N2202" s="7">
        <f t="shared" si="382"/>
        <v>-13212233.333333336</v>
      </c>
      <c r="O2202" s="7">
        <f t="shared" si="381"/>
        <v>71000</v>
      </c>
      <c r="P2202" s="99">
        <f t="shared" si="376"/>
        <v>5.7198098767421253E-3</v>
      </c>
      <c r="Q2202" s="99">
        <f t="shared" si="383"/>
        <v>1.2273418283888834E-4</v>
      </c>
      <c r="R2202">
        <v>1</v>
      </c>
      <c r="S2202" s="7">
        <f t="shared" si="377"/>
        <v>13732400.000000002</v>
      </c>
      <c r="V2202" s="7">
        <f t="shared" si="378"/>
        <v>-13732400.000000002</v>
      </c>
      <c r="W2202" s="7">
        <f t="shared" si="379"/>
        <v>0</v>
      </c>
      <c r="X2202" s="7">
        <f t="shared" si="380"/>
        <v>-13732400.000000002</v>
      </c>
    </row>
    <row r="2203" spans="1:24">
      <c r="A2203">
        <v>2202</v>
      </c>
      <c r="B2203" s="96" t="s">
        <v>1401</v>
      </c>
      <c r="C2203" s="95">
        <v>43004</v>
      </c>
      <c r="D2203" s="82">
        <v>12471000</v>
      </c>
      <c r="E2203" s="82">
        <v>12419000</v>
      </c>
      <c r="F2203" s="82">
        <v>12489000</v>
      </c>
      <c r="G2203" s="82">
        <v>12449000</v>
      </c>
      <c r="I2203" s="97">
        <v>0</v>
      </c>
      <c r="J2203" s="97">
        <v>0</v>
      </c>
      <c r="K2203" s="97">
        <v>0</v>
      </c>
      <c r="M2203" s="7">
        <f t="shared" si="375"/>
        <v>0</v>
      </c>
      <c r="N2203" s="7">
        <f t="shared" si="382"/>
        <v>0</v>
      </c>
      <c r="O2203" s="7">
        <f t="shared" si="381"/>
        <v>-35000</v>
      </c>
      <c r="P2203" s="99">
        <f t="shared" si="376"/>
        <v>-2.8035885933995514E-3</v>
      </c>
      <c r="Q2203" s="99">
        <f t="shared" si="383"/>
        <v>4.7951705500740849E-3</v>
      </c>
      <c r="S2203" s="7">
        <f t="shared" si="377"/>
        <v>13693900.000000002</v>
      </c>
      <c r="V2203" s="7">
        <f t="shared" si="378"/>
        <v>0</v>
      </c>
      <c r="W2203" s="7">
        <f t="shared" si="379"/>
        <v>0</v>
      </c>
      <c r="X2203" s="7">
        <f t="shared" si="380"/>
        <v>0</v>
      </c>
    </row>
    <row r="2204" spans="1:24">
      <c r="A2204">
        <v>2203</v>
      </c>
      <c r="B2204" s="96" t="s">
        <v>1400</v>
      </c>
      <c r="C2204" s="95">
        <v>43005</v>
      </c>
      <c r="D2204" s="82">
        <v>12437000</v>
      </c>
      <c r="E2204" s="82">
        <v>12419000</v>
      </c>
      <c r="F2204" s="82">
        <v>12471000</v>
      </c>
      <c r="G2204" s="82">
        <v>12461000</v>
      </c>
      <c r="I2204" s="97">
        <v>0</v>
      </c>
      <c r="J2204" s="97">
        <v>0</v>
      </c>
      <c r="K2204" s="97">
        <v>0</v>
      </c>
      <c r="M2204" s="7">
        <f t="shared" si="375"/>
        <v>0</v>
      </c>
      <c r="N2204" s="7">
        <f t="shared" si="382"/>
        <v>0</v>
      </c>
      <c r="O2204" s="7">
        <f t="shared" si="381"/>
        <v>12000</v>
      </c>
      <c r="P2204" s="99">
        <f t="shared" si="376"/>
        <v>9.6393284601172782E-4</v>
      </c>
      <c r="Q2204" s="99">
        <f t="shared" si="383"/>
        <v>-9.0580234916047553E-4</v>
      </c>
      <c r="S2204" s="7">
        <f t="shared" si="377"/>
        <v>13707100.000000002</v>
      </c>
      <c r="V2204" s="7">
        <f t="shared" si="378"/>
        <v>0</v>
      </c>
      <c r="W2204" s="7">
        <f t="shared" si="379"/>
        <v>0</v>
      </c>
      <c r="X2204" s="7">
        <f t="shared" si="380"/>
        <v>0</v>
      </c>
    </row>
    <row r="2205" spans="1:24">
      <c r="A2205">
        <v>2204</v>
      </c>
      <c r="B2205" s="96" t="s">
        <v>1399</v>
      </c>
      <c r="C2205" s="95">
        <v>43006</v>
      </c>
      <c r="D2205" s="82">
        <v>12446000</v>
      </c>
      <c r="E2205" s="82">
        <v>12426000</v>
      </c>
      <c r="F2205" s="82">
        <v>12471000</v>
      </c>
      <c r="G2205" s="82">
        <v>12466000</v>
      </c>
      <c r="I2205" s="97">
        <v>0</v>
      </c>
      <c r="J2205" s="97">
        <v>0</v>
      </c>
      <c r="K2205" s="97">
        <v>0</v>
      </c>
      <c r="M2205" s="7">
        <f t="shared" si="375"/>
        <v>0</v>
      </c>
      <c r="N2205" s="7">
        <f t="shared" si="382"/>
        <v>0</v>
      </c>
      <c r="O2205" s="7">
        <f t="shared" si="381"/>
        <v>5000</v>
      </c>
      <c r="P2205" s="99">
        <f t="shared" si="376"/>
        <v>4.0125190594655322E-4</v>
      </c>
      <c r="Q2205" s="99">
        <f t="shared" si="383"/>
        <v>8.0831686157823174E-3</v>
      </c>
      <c r="S2205" s="7">
        <f t="shared" si="377"/>
        <v>13712600.000000002</v>
      </c>
      <c r="V2205" s="7">
        <f t="shared" si="378"/>
        <v>0</v>
      </c>
      <c r="W2205" s="7">
        <f t="shared" si="379"/>
        <v>0</v>
      </c>
      <c r="X2205" s="7">
        <f t="shared" si="380"/>
        <v>0</v>
      </c>
    </row>
    <row r="2206" spans="1:24">
      <c r="A2206">
        <v>2205</v>
      </c>
      <c r="B2206" s="96" t="s">
        <v>1398</v>
      </c>
      <c r="C2206" s="95">
        <v>43008</v>
      </c>
      <c r="D2206" s="82">
        <v>12446000</v>
      </c>
      <c r="E2206" s="82">
        <v>12446000</v>
      </c>
      <c r="F2206" s="82">
        <v>12446000</v>
      </c>
      <c r="G2206" s="82">
        <v>12446000</v>
      </c>
      <c r="I2206" s="98">
        <v>0</v>
      </c>
      <c r="J2206" s="98">
        <v>0</v>
      </c>
      <c r="K2206" s="98">
        <v>0</v>
      </c>
      <c r="M2206" s="7">
        <f t="shared" si="375"/>
        <v>0</v>
      </c>
      <c r="N2206" s="7">
        <f t="shared" si="382"/>
        <v>0</v>
      </c>
      <c r="O2206" s="7">
        <f t="shared" si="381"/>
        <v>-20000</v>
      </c>
      <c r="P2206" s="99">
        <f t="shared" si="376"/>
        <v>-1.6043638697256538E-3</v>
      </c>
      <c r="Q2206" s="99">
        <f t="shared" si="383"/>
        <v>7.1900268642577907E-3</v>
      </c>
      <c r="S2206" s="7">
        <f t="shared" si="377"/>
        <v>13690600.000000002</v>
      </c>
      <c r="V2206" s="7">
        <f t="shared" si="378"/>
        <v>0</v>
      </c>
      <c r="W2206" s="7">
        <f t="shared" si="379"/>
        <v>0</v>
      </c>
      <c r="X2206" s="7">
        <f t="shared" si="380"/>
        <v>0</v>
      </c>
    </row>
    <row r="2207" spans="1:24">
      <c r="A2207">
        <v>2206</v>
      </c>
      <c r="B2207" s="96" t="s">
        <v>1397</v>
      </c>
      <c r="C2207" s="95">
        <v>43010</v>
      </c>
      <c r="D2207" s="82">
        <v>12431000</v>
      </c>
      <c r="E2207" s="82">
        <v>12406000</v>
      </c>
      <c r="F2207" s="82">
        <v>12451000</v>
      </c>
      <c r="G2207" s="82">
        <v>12441000</v>
      </c>
      <c r="I2207" s="82">
        <f>G2207*1.1</f>
        <v>13685100.000000002</v>
      </c>
      <c r="J2207" s="82">
        <f>G2207/3</f>
        <v>4147000</v>
      </c>
      <c r="K2207" s="7">
        <f>G2475</f>
        <v>0</v>
      </c>
      <c r="L2207" s="7">
        <f>K2207-I2207</f>
        <v>-13685100.000000002</v>
      </c>
      <c r="M2207" s="7">
        <f t="shared" si="375"/>
        <v>518375</v>
      </c>
      <c r="N2207" s="7">
        <f t="shared" si="382"/>
        <v>-13166725.000000002</v>
      </c>
      <c r="O2207" s="7">
        <f t="shared" si="381"/>
        <v>-5000</v>
      </c>
      <c r="P2207" s="99">
        <f t="shared" si="376"/>
        <v>-4.0173549734854572E-4</v>
      </c>
      <c r="Q2207" s="99">
        <f t="shared" si="383"/>
        <v>2.6770421655752013E-3</v>
      </c>
      <c r="R2207">
        <v>1</v>
      </c>
      <c r="S2207" s="7">
        <f t="shared" si="377"/>
        <v>13685100.000000002</v>
      </c>
      <c r="V2207" s="7">
        <f t="shared" si="378"/>
        <v>-13685100.000000002</v>
      </c>
      <c r="W2207" s="7">
        <f t="shared" si="379"/>
        <v>0</v>
      </c>
      <c r="X2207" s="7">
        <f t="shared" si="380"/>
        <v>-13685100.000000002</v>
      </c>
    </row>
    <row r="2208" spans="1:24">
      <c r="A2208">
        <v>2207</v>
      </c>
      <c r="B2208" s="96" t="s">
        <v>1396</v>
      </c>
      <c r="C2208" s="95">
        <v>43011</v>
      </c>
      <c r="D2208" s="82">
        <v>12431000</v>
      </c>
      <c r="E2208" s="82">
        <v>12412000</v>
      </c>
      <c r="F2208" s="82">
        <v>12496000</v>
      </c>
      <c r="G2208" s="82">
        <v>12474000</v>
      </c>
      <c r="I2208" s="97">
        <v>0</v>
      </c>
      <c r="J2208" s="97">
        <v>0</v>
      </c>
      <c r="K2208" s="97">
        <v>0</v>
      </c>
      <c r="M2208" s="7">
        <f t="shared" si="375"/>
        <v>0</v>
      </c>
      <c r="N2208" s="7">
        <f t="shared" si="382"/>
        <v>0</v>
      </c>
      <c r="O2208" s="7">
        <f t="shared" si="381"/>
        <v>33000</v>
      </c>
      <c r="P2208" s="99">
        <f t="shared" si="376"/>
        <v>2.6525198938992041E-3</v>
      </c>
      <c r="Q2208" s="99">
        <f t="shared" si="383"/>
        <v>-3.4445032085154699E-3</v>
      </c>
      <c r="S2208" s="7">
        <f t="shared" si="377"/>
        <v>13721400.000000002</v>
      </c>
      <c r="V2208" s="7">
        <f t="shared" si="378"/>
        <v>0</v>
      </c>
      <c r="W2208" s="7">
        <f t="shared" si="379"/>
        <v>0</v>
      </c>
      <c r="X2208" s="7">
        <f t="shared" si="380"/>
        <v>0</v>
      </c>
    </row>
    <row r="2209" spans="1:24">
      <c r="A2209">
        <v>2208</v>
      </c>
      <c r="B2209" s="96" t="s">
        <v>1395</v>
      </c>
      <c r="C2209" s="95">
        <v>43012</v>
      </c>
      <c r="D2209" s="82">
        <v>12473000</v>
      </c>
      <c r="E2209" s="82">
        <v>12473000</v>
      </c>
      <c r="F2209" s="82">
        <v>12560000</v>
      </c>
      <c r="G2209" s="82">
        <v>12532000</v>
      </c>
      <c r="I2209" s="97">
        <v>0</v>
      </c>
      <c r="J2209" s="97">
        <v>0</v>
      </c>
      <c r="K2209" s="97">
        <v>0</v>
      </c>
      <c r="M2209" s="7">
        <f t="shared" si="375"/>
        <v>0</v>
      </c>
      <c r="N2209" s="7">
        <f t="shared" si="382"/>
        <v>0</v>
      </c>
      <c r="O2209" s="7">
        <f t="shared" si="381"/>
        <v>58000</v>
      </c>
      <c r="P2209" s="99">
        <f t="shared" si="376"/>
        <v>4.6496713163379829E-3</v>
      </c>
      <c r="Q2209" s="99">
        <f t="shared" si="383"/>
        <v>2.0116052787832856E-3</v>
      </c>
      <c r="S2209" s="7">
        <f t="shared" si="377"/>
        <v>13785200.000000002</v>
      </c>
      <c r="V2209" s="7">
        <f t="shared" si="378"/>
        <v>0</v>
      </c>
      <c r="W2209" s="7">
        <f t="shared" si="379"/>
        <v>0</v>
      </c>
      <c r="X2209" s="7">
        <f t="shared" si="380"/>
        <v>0</v>
      </c>
    </row>
    <row r="2210" spans="1:24">
      <c r="A2210">
        <v>2209</v>
      </c>
      <c r="B2210" s="96" t="s">
        <v>1394</v>
      </c>
      <c r="C2210" s="95">
        <v>43013</v>
      </c>
      <c r="D2210" s="82">
        <v>12535000</v>
      </c>
      <c r="E2210" s="82">
        <v>12521000</v>
      </c>
      <c r="F2210" s="82">
        <v>12582000</v>
      </c>
      <c r="G2210" s="82">
        <v>12530000</v>
      </c>
      <c r="I2210" s="97">
        <v>0</v>
      </c>
      <c r="J2210" s="97">
        <v>0</v>
      </c>
      <c r="K2210" s="97">
        <v>0</v>
      </c>
      <c r="M2210" s="7">
        <f t="shared" si="375"/>
        <v>0</v>
      </c>
      <c r="N2210" s="7">
        <f t="shared" si="382"/>
        <v>0</v>
      </c>
      <c r="O2210" s="7">
        <f t="shared" si="381"/>
        <v>-2000</v>
      </c>
      <c r="P2210" s="99">
        <f t="shared" si="376"/>
        <v>-1.5959144589849984E-4</v>
      </c>
      <c r="Q2210" s="99">
        <f t="shared" si="383"/>
        <v>5.6973437491095406E-3</v>
      </c>
      <c r="S2210" s="7">
        <f t="shared" si="377"/>
        <v>13783000.000000002</v>
      </c>
      <c r="V2210" s="7">
        <f t="shared" si="378"/>
        <v>0</v>
      </c>
      <c r="W2210" s="7">
        <f t="shared" si="379"/>
        <v>0</v>
      </c>
      <c r="X2210" s="7">
        <f t="shared" si="380"/>
        <v>0</v>
      </c>
    </row>
    <row r="2211" spans="1:24">
      <c r="A2211">
        <v>2210</v>
      </c>
      <c r="B2211" s="96" t="s">
        <v>1393</v>
      </c>
      <c r="C2211" s="95">
        <v>43015</v>
      </c>
      <c r="D2211" s="82">
        <v>12560000</v>
      </c>
      <c r="E2211" s="82">
        <v>12554000</v>
      </c>
      <c r="F2211" s="82">
        <v>12910000</v>
      </c>
      <c r="G2211" s="82">
        <v>12875000</v>
      </c>
      <c r="I2211" s="98">
        <v>0</v>
      </c>
      <c r="J2211" s="98">
        <v>0</v>
      </c>
      <c r="K2211" s="98">
        <v>0</v>
      </c>
      <c r="M2211" s="7">
        <f t="shared" si="375"/>
        <v>0</v>
      </c>
      <c r="N2211" s="7">
        <f t="shared" si="382"/>
        <v>0</v>
      </c>
      <c r="O2211" s="7">
        <f t="shared" si="381"/>
        <v>345000</v>
      </c>
      <c r="P2211" s="99">
        <f t="shared" si="376"/>
        <v>2.7533918595371111E-2</v>
      </c>
      <c r="Q2211" s="99">
        <f t="shared" si="383"/>
        <v>5.1365003972644874E-3</v>
      </c>
      <c r="S2211" s="7">
        <f t="shared" si="377"/>
        <v>14162500.000000002</v>
      </c>
      <c r="V2211" s="7">
        <f t="shared" si="378"/>
        <v>0</v>
      </c>
      <c r="W2211" s="7">
        <f t="shared" si="379"/>
        <v>0</v>
      </c>
      <c r="X2211" s="7">
        <f t="shared" si="380"/>
        <v>0</v>
      </c>
    </row>
    <row r="2212" spans="1:24">
      <c r="A2212">
        <v>2211</v>
      </c>
      <c r="B2212" s="96" t="s">
        <v>1392</v>
      </c>
      <c r="C2212" s="95">
        <v>43016</v>
      </c>
      <c r="D2212" s="82">
        <v>12883000</v>
      </c>
      <c r="E2212" s="82">
        <v>12820000</v>
      </c>
      <c r="F2212" s="82">
        <v>12990000</v>
      </c>
      <c r="G2212" s="82">
        <v>12970000</v>
      </c>
      <c r="I2212" s="82">
        <f>G2212*1.1</f>
        <v>14267000.000000002</v>
      </c>
      <c r="J2212" s="82">
        <f>G2212/3</f>
        <v>4323333.333333333</v>
      </c>
      <c r="K2212" s="7">
        <f>G2480</f>
        <v>0</v>
      </c>
      <c r="L2212" s="7">
        <f>K2212-I2212</f>
        <v>-14267000.000000002</v>
      </c>
      <c r="M2212" s="7">
        <f t="shared" si="375"/>
        <v>540416.66666666663</v>
      </c>
      <c r="N2212" s="7">
        <f t="shared" si="382"/>
        <v>-13726583.333333336</v>
      </c>
      <c r="O2212" s="7">
        <f t="shared" si="381"/>
        <v>95000</v>
      </c>
      <c r="P2212" s="99">
        <f t="shared" si="376"/>
        <v>7.3786407766990294E-3</v>
      </c>
      <c r="Q2212" s="99">
        <f t="shared" si="383"/>
        <v>3.4274782862361255E-2</v>
      </c>
      <c r="R2212">
        <v>1</v>
      </c>
      <c r="S2212" s="7">
        <f t="shared" si="377"/>
        <v>14267000.000000002</v>
      </c>
      <c r="V2212" s="7">
        <f t="shared" si="378"/>
        <v>-14267000.000000002</v>
      </c>
      <c r="W2212" s="7">
        <f t="shared" si="379"/>
        <v>0</v>
      </c>
      <c r="X2212" s="7">
        <f t="shared" si="380"/>
        <v>-14267000.000000002</v>
      </c>
    </row>
    <row r="2213" spans="1:24">
      <c r="A2213">
        <v>2212</v>
      </c>
      <c r="B2213" s="96" t="s">
        <v>1391</v>
      </c>
      <c r="C2213" s="95">
        <v>43017</v>
      </c>
      <c r="D2213" s="82">
        <v>12940000</v>
      </c>
      <c r="E2213" s="82">
        <v>12925000</v>
      </c>
      <c r="F2213" s="82">
        <v>13205000</v>
      </c>
      <c r="G2213" s="82">
        <v>13125000</v>
      </c>
      <c r="I2213" s="97">
        <v>0</v>
      </c>
      <c r="J2213" s="97">
        <v>0</v>
      </c>
      <c r="K2213" s="97">
        <v>0</v>
      </c>
      <c r="M2213" s="7">
        <f t="shared" si="375"/>
        <v>0</v>
      </c>
      <c r="N2213" s="7">
        <f t="shared" si="382"/>
        <v>0</v>
      </c>
      <c r="O2213" s="7">
        <f t="shared" si="381"/>
        <v>155000</v>
      </c>
      <c r="P2213" s="99">
        <f t="shared" si="376"/>
        <v>1.1950655358519661E-2</v>
      </c>
      <c r="Q2213" s="99">
        <f t="shared" si="383"/>
        <v>4.205515913640883E-2</v>
      </c>
      <c r="S2213" s="7">
        <f t="shared" si="377"/>
        <v>14437500.000000002</v>
      </c>
      <c r="V2213" s="7">
        <f t="shared" si="378"/>
        <v>0</v>
      </c>
      <c r="W2213" s="7">
        <f t="shared" si="379"/>
        <v>0</v>
      </c>
      <c r="X2213" s="7">
        <f t="shared" si="380"/>
        <v>0</v>
      </c>
    </row>
    <row r="2214" spans="1:24">
      <c r="A2214">
        <v>2213</v>
      </c>
      <c r="B2214" s="96" t="s">
        <v>1390</v>
      </c>
      <c r="C2214" s="95">
        <v>43018</v>
      </c>
      <c r="D2214" s="82">
        <v>13055000</v>
      </c>
      <c r="E2214" s="82">
        <v>13020000</v>
      </c>
      <c r="F2214" s="82">
        <v>13160000</v>
      </c>
      <c r="G2214" s="82">
        <v>13060000</v>
      </c>
      <c r="I2214" s="97">
        <v>0</v>
      </c>
      <c r="J2214" s="97">
        <v>0</v>
      </c>
      <c r="K2214" s="97">
        <v>0</v>
      </c>
      <c r="M2214" s="7">
        <f t="shared" si="375"/>
        <v>0</v>
      </c>
      <c r="N2214" s="7">
        <f t="shared" si="382"/>
        <v>0</v>
      </c>
      <c r="O2214" s="7">
        <f t="shared" si="381"/>
        <v>-65000</v>
      </c>
      <c r="P2214" s="99">
        <f t="shared" si="376"/>
        <v>-4.952380952380952E-3</v>
      </c>
      <c r="Q2214" s="99">
        <f t="shared" si="383"/>
        <v>5.135329460102929E-2</v>
      </c>
      <c r="S2214" s="7">
        <f t="shared" si="377"/>
        <v>14366000.000000002</v>
      </c>
      <c r="V2214" s="7">
        <f t="shared" si="378"/>
        <v>0</v>
      </c>
      <c r="W2214" s="7">
        <f t="shared" si="379"/>
        <v>0</v>
      </c>
      <c r="X2214" s="7">
        <f t="shared" si="380"/>
        <v>0</v>
      </c>
    </row>
    <row r="2215" spans="1:24">
      <c r="A2215">
        <v>2214</v>
      </c>
      <c r="B2215" s="96" t="s">
        <v>1389</v>
      </c>
      <c r="C2215" s="95">
        <v>43019</v>
      </c>
      <c r="D2215" s="82">
        <v>13050000</v>
      </c>
      <c r="E2215" s="82">
        <v>13020000</v>
      </c>
      <c r="F2215" s="82">
        <v>13155000</v>
      </c>
      <c r="G2215" s="82">
        <v>13072000</v>
      </c>
      <c r="I2215" s="97">
        <v>0</v>
      </c>
      <c r="J2215" s="97">
        <v>0</v>
      </c>
      <c r="K2215" s="97">
        <v>0</v>
      </c>
      <c r="M2215" s="7">
        <f t="shared" si="375"/>
        <v>0</v>
      </c>
      <c r="N2215" s="7">
        <f t="shared" si="382"/>
        <v>0</v>
      </c>
      <c r="O2215" s="7">
        <f t="shared" si="381"/>
        <v>12000</v>
      </c>
      <c r="P2215" s="99">
        <f t="shared" si="376"/>
        <v>9.1883614088820824E-4</v>
      </c>
      <c r="Q2215" s="99">
        <f t="shared" si="383"/>
        <v>4.1751242332310354E-2</v>
      </c>
      <c r="S2215" s="7">
        <f t="shared" si="377"/>
        <v>14379200.000000002</v>
      </c>
      <c r="V2215" s="7">
        <f t="shared" si="378"/>
        <v>0</v>
      </c>
      <c r="W2215" s="7">
        <f t="shared" si="379"/>
        <v>0</v>
      </c>
      <c r="X2215" s="7">
        <f t="shared" si="380"/>
        <v>0</v>
      </c>
    </row>
    <row r="2216" spans="1:24">
      <c r="A2216">
        <v>2215</v>
      </c>
      <c r="B2216" s="96" t="s">
        <v>1388</v>
      </c>
      <c r="C2216" s="95">
        <v>43020</v>
      </c>
      <c r="D2216" s="82">
        <v>13122000</v>
      </c>
      <c r="E2216" s="82">
        <v>13122000</v>
      </c>
      <c r="F2216" s="82">
        <v>13235000</v>
      </c>
      <c r="G2216" s="82">
        <v>13200000</v>
      </c>
      <c r="I2216" s="98">
        <v>0</v>
      </c>
      <c r="J2216" s="98">
        <v>0</v>
      </c>
      <c r="K2216" s="98">
        <v>0</v>
      </c>
      <c r="M2216" s="7">
        <f t="shared" si="375"/>
        <v>0</v>
      </c>
      <c r="N2216" s="7">
        <f t="shared" si="382"/>
        <v>0</v>
      </c>
      <c r="O2216" s="7">
        <f t="shared" si="381"/>
        <v>128000</v>
      </c>
      <c r="P2216" s="99">
        <f t="shared" si="376"/>
        <v>9.7919216646266821E-3</v>
      </c>
      <c r="Q2216" s="99">
        <f t="shared" si="383"/>
        <v>4.2829669919097063E-2</v>
      </c>
      <c r="S2216" s="7">
        <f t="shared" si="377"/>
        <v>14520000.000000002</v>
      </c>
      <c r="V2216" s="7">
        <f t="shared" si="378"/>
        <v>0</v>
      </c>
      <c r="W2216" s="7">
        <f t="shared" si="379"/>
        <v>0</v>
      </c>
      <c r="X2216" s="7">
        <f t="shared" si="380"/>
        <v>0</v>
      </c>
    </row>
    <row r="2217" spans="1:24">
      <c r="A2217">
        <v>2216</v>
      </c>
      <c r="B2217" s="96" t="s">
        <v>1387</v>
      </c>
      <c r="C2217" s="95">
        <v>43022</v>
      </c>
      <c r="D2217" s="82">
        <v>13145000</v>
      </c>
      <c r="E2217" s="82">
        <v>13079000</v>
      </c>
      <c r="F2217" s="82">
        <v>13145000</v>
      </c>
      <c r="G2217" s="82">
        <v>13110000</v>
      </c>
      <c r="I2217" s="82">
        <f>G2217*1.1</f>
        <v>14421000.000000002</v>
      </c>
      <c r="J2217" s="82">
        <f>G2217/3</f>
        <v>4370000</v>
      </c>
      <c r="K2217" s="7">
        <f>G2485</f>
        <v>0</v>
      </c>
      <c r="L2217" s="7">
        <f>K2217-I2217</f>
        <v>-14421000.000000002</v>
      </c>
      <c r="M2217" s="7">
        <f t="shared" si="375"/>
        <v>546250</v>
      </c>
      <c r="N2217" s="7">
        <f t="shared" si="382"/>
        <v>-13874750.000000002</v>
      </c>
      <c r="O2217" s="7">
        <f t="shared" si="381"/>
        <v>-90000</v>
      </c>
      <c r="P2217" s="99">
        <f t="shared" si="376"/>
        <v>-6.8181818181818179E-3</v>
      </c>
      <c r="Q2217" s="99">
        <f t="shared" si="383"/>
        <v>2.5087672988352627E-2</v>
      </c>
      <c r="R2217">
        <v>1</v>
      </c>
      <c r="S2217" s="7">
        <f t="shared" si="377"/>
        <v>14421000.000000002</v>
      </c>
      <c r="V2217" s="7">
        <f t="shared" si="378"/>
        <v>-14421000.000000002</v>
      </c>
      <c r="W2217" s="7">
        <f t="shared" si="379"/>
        <v>0</v>
      </c>
      <c r="X2217" s="7">
        <f t="shared" si="380"/>
        <v>-14421000.000000002</v>
      </c>
    </row>
    <row r="2218" spans="1:24">
      <c r="A2218">
        <v>2217</v>
      </c>
      <c r="B2218" s="96" t="s">
        <v>1386</v>
      </c>
      <c r="C2218" s="95">
        <v>43023</v>
      </c>
      <c r="D2218" s="82">
        <v>13134000</v>
      </c>
      <c r="E2218" s="82">
        <v>13077000</v>
      </c>
      <c r="F2218" s="82">
        <v>13190000</v>
      </c>
      <c r="G2218" s="82">
        <v>13136000</v>
      </c>
      <c r="I2218" s="97">
        <v>0</v>
      </c>
      <c r="J2218" s="97">
        <v>0</v>
      </c>
      <c r="K2218" s="97">
        <v>0</v>
      </c>
      <c r="M2218" s="7">
        <f t="shared" si="375"/>
        <v>0</v>
      </c>
      <c r="N2218" s="7">
        <f t="shared" si="382"/>
        <v>0</v>
      </c>
      <c r="O2218" s="7">
        <f t="shared" si="381"/>
        <v>26000</v>
      </c>
      <c r="P2218" s="99">
        <f t="shared" si="376"/>
        <v>1.983218916857361E-3</v>
      </c>
      <c r="Q2218" s="99">
        <f t="shared" si="383"/>
        <v>1.089085039347178E-2</v>
      </c>
      <c r="S2218" s="7">
        <f t="shared" si="377"/>
        <v>14449600.000000002</v>
      </c>
      <c r="V2218" s="7">
        <f t="shared" si="378"/>
        <v>0</v>
      </c>
      <c r="W2218" s="7">
        <f t="shared" si="379"/>
        <v>0</v>
      </c>
      <c r="X2218" s="7">
        <f t="shared" si="380"/>
        <v>0</v>
      </c>
    </row>
    <row r="2219" spans="1:24">
      <c r="A2219">
        <v>2218</v>
      </c>
      <c r="B2219" s="96" t="s">
        <v>1385</v>
      </c>
      <c r="C2219" s="95">
        <v>43024</v>
      </c>
      <c r="D2219" s="82">
        <v>13147000</v>
      </c>
      <c r="E2219" s="82">
        <v>13130000</v>
      </c>
      <c r="F2219" s="82">
        <v>13190000</v>
      </c>
      <c r="G2219" s="82">
        <v>13140000</v>
      </c>
      <c r="I2219" s="97">
        <v>0</v>
      </c>
      <c r="J2219" s="97">
        <v>0</v>
      </c>
      <c r="K2219" s="97">
        <v>0</v>
      </c>
      <c r="M2219" s="7">
        <f t="shared" si="375"/>
        <v>0</v>
      </c>
      <c r="N2219" s="7">
        <f t="shared" si="382"/>
        <v>0</v>
      </c>
      <c r="O2219" s="7">
        <f t="shared" si="381"/>
        <v>4000</v>
      </c>
      <c r="P2219" s="99">
        <f t="shared" si="376"/>
        <v>3.0450669914738123E-4</v>
      </c>
      <c r="Q2219" s="99">
        <f t="shared" si="383"/>
        <v>9.2341395180948159E-4</v>
      </c>
      <c r="S2219" s="7">
        <f t="shared" si="377"/>
        <v>14454000.000000002</v>
      </c>
      <c r="V2219" s="7">
        <f t="shared" si="378"/>
        <v>0</v>
      </c>
      <c r="W2219" s="7">
        <f t="shared" si="379"/>
        <v>0</v>
      </c>
      <c r="X2219" s="7">
        <f t="shared" si="380"/>
        <v>0</v>
      </c>
    </row>
    <row r="2220" spans="1:24">
      <c r="A2220">
        <v>2219</v>
      </c>
      <c r="B2220" s="96" t="s">
        <v>1384</v>
      </c>
      <c r="C2220" s="95">
        <v>43025</v>
      </c>
      <c r="D2220" s="82">
        <v>13118000</v>
      </c>
      <c r="E2220" s="82">
        <v>13046000</v>
      </c>
      <c r="F2220" s="82">
        <v>13118000</v>
      </c>
      <c r="G2220" s="82">
        <v>13089000</v>
      </c>
      <c r="I2220" s="97">
        <v>0</v>
      </c>
      <c r="J2220" s="97">
        <v>0</v>
      </c>
      <c r="K2220" s="97">
        <v>0</v>
      </c>
      <c r="M2220" s="7">
        <f t="shared" si="375"/>
        <v>0</v>
      </c>
      <c r="N2220" s="7">
        <f t="shared" si="382"/>
        <v>0</v>
      </c>
      <c r="O2220" s="7">
        <f t="shared" si="381"/>
        <v>-51000</v>
      </c>
      <c r="P2220" s="99">
        <f t="shared" si="376"/>
        <v>-3.8812785388127853E-3</v>
      </c>
      <c r="Q2220" s="99">
        <f t="shared" si="383"/>
        <v>6.1803016033378146E-3</v>
      </c>
      <c r="S2220" s="7">
        <f t="shared" si="377"/>
        <v>14397900.000000002</v>
      </c>
      <c r="V2220" s="7">
        <f t="shared" si="378"/>
        <v>0</v>
      </c>
      <c r="W2220" s="7">
        <f t="shared" si="379"/>
        <v>0</v>
      </c>
      <c r="X2220" s="7">
        <f t="shared" si="380"/>
        <v>0</v>
      </c>
    </row>
    <row r="2221" spans="1:24">
      <c r="A2221">
        <v>2220</v>
      </c>
      <c r="B2221" s="96" t="s">
        <v>1383</v>
      </c>
      <c r="C2221" s="95">
        <v>43026</v>
      </c>
      <c r="D2221" s="82">
        <v>13099000</v>
      </c>
      <c r="E2221" s="82">
        <v>13055000</v>
      </c>
      <c r="F2221" s="82">
        <v>13125000</v>
      </c>
      <c r="G2221" s="82">
        <v>13085000</v>
      </c>
      <c r="I2221" s="98">
        <v>0</v>
      </c>
      <c r="J2221" s="98">
        <v>0</v>
      </c>
      <c r="K2221" s="98">
        <v>0</v>
      </c>
      <c r="M2221" s="7">
        <f t="shared" si="375"/>
        <v>0</v>
      </c>
      <c r="N2221" s="7">
        <f t="shared" si="382"/>
        <v>0</v>
      </c>
      <c r="O2221" s="7">
        <f t="shared" si="381"/>
        <v>-4000</v>
      </c>
      <c r="P2221" s="99">
        <f t="shared" si="376"/>
        <v>-3.0560012224004892E-4</v>
      </c>
      <c r="Q2221" s="99">
        <f t="shared" si="383"/>
        <v>1.3801869236368209E-3</v>
      </c>
      <c r="S2221" s="7">
        <f t="shared" si="377"/>
        <v>14393500.000000002</v>
      </c>
      <c r="V2221" s="7">
        <f t="shared" si="378"/>
        <v>0</v>
      </c>
      <c r="W2221" s="7">
        <f t="shared" si="379"/>
        <v>0</v>
      </c>
      <c r="X2221" s="7">
        <f t="shared" si="380"/>
        <v>0</v>
      </c>
    </row>
    <row r="2222" spans="1:24">
      <c r="A2222">
        <v>2221</v>
      </c>
      <c r="B2222" s="96" t="s">
        <v>1382</v>
      </c>
      <c r="C2222" s="95">
        <v>43027</v>
      </c>
      <c r="D2222" s="82">
        <v>13080000</v>
      </c>
      <c r="E2222" s="82">
        <v>13080000</v>
      </c>
      <c r="F2222" s="82">
        <v>13114000</v>
      </c>
      <c r="G2222" s="82">
        <v>13103000</v>
      </c>
      <c r="I2222" s="82">
        <f>G2222*1.1</f>
        <v>14413300.000000002</v>
      </c>
      <c r="J2222" s="82">
        <f>G2222/3</f>
        <v>4367666.666666667</v>
      </c>
      <c r="K2222" s="7">
        <f>G2490</f>
        <v>0</v>
      </c>
      <c r="L2222" s="7">
        <f>K2222-I2222</f>
        <v>-14413300.000000002</v>
      </c>
      <c r="M2222" s="7">
        <f t="shared" si="375"/>
        <v>545958.33333333337</v>
      </c>
      <c r="N2222" s="7">
        <f t="shared" si="382"/>
        <v>-13867341.666666668</v>
      </c>
      <c r="O2222" s="7">
        <f t="shared" si="381"/>
        <v>18000</v>
      </c>
      <c r="P2222" s="99">
        <f t="shared" si="376"/>
        <v>1.3756209400076424E-3</v>
      </c>
      <c r="Q2222" s="99">
        <f t="shared" si="383"/>
        <v>-8.7173348632299096E-3</v>
      </c>
      <c r="R2222">
        <v>1</v>
      </c>
      <c r="S2222" s="7">
        <f t="shared" si="377"/>
        <v>14413300.000000002</v>
      </c>
      <c r="V2222" s="7">
        <f t="shared" si="378"/>
        <v>-14413300.000000002</v>
      </c>
      <c r="W2222" s="7">
        <f t="shared" si="379"/>
        <v>0</v>
      </c>
      <c r="X2222" s="7">
        <f t="shared" si="380"/>
        <v>-14413300.000000002</v>
      </c>
    </row>
    <row r="2223" spans="1:24">
      <c r="A2223">
        <v>2222</v>
      </c>
      <c r="B2223" s="96" t="s">
        <v>1381</v>
      </c>
      <c r="C2223" s="95">
        <v>43029</v>
      </c>
      <c r="D2223" s="82">
        <v>13000000</v>
      </c>
      <c r="E2223" s="82">
        <v>12930000</v>
      </c>
      <c r="F2223" s="82">
        <v>13010000</v>
      </c>
      <c r="G2223" s="82">
        <v>12952000</v>
      </c>
      <c r="I2223" s="97">
        <v>0</v>
      </c>
      <c r="J2223" s="97">
        <v>0</v>
      </c>
      <c r="K2223" s="97">
        <v>0</v>
      </c>
      <c r="M2223" s="7">
        <f t="shared" si="375"/>
        <v>0</v>
      </c>
      <c r="N2223" s="7">
        <f t="shared" si="382"/>
        <v>0</v>
      </c>
      <c r="O2223" s="7">
        <f t="shared" si="381"/>
        <v>-151000</v>
      </c>
      <c r="P2223" s="99">
        <f t="shared" si="376"/>
        <v>-1.1524078455315577E-2</v>
      </c>
      <c r="Q2223" s="99">
        <f t="shared" si="383"/>
        <v>-5.2353210504044981E-4</v>
      </c>
      <c r="S2223" s="7">
        <f t="shared" si="377"/>
        <v>14247200.000000002</v>
      </c>
      <c r="V2223" s="7">
        <f t="shared" si="378"/>
        <v>0</v>
      </c>
      <c r="W2223" s="7">
        <f t="shared" si="379"/>
        <v>0</v>
      </c>
      <c r="X2223" s="7">
        <f t="shared" si="380"/>
        <v>0</v>
      </c>
    </row>
    <row r="2224" spans="1:24">
      <c r="A2224">
        <v>2223</v>
      </c>
      <c r="B2224" s="96" t="s">
        <v>1380</v>
      </c>
      <c r="C2224" s="95">
        <v>43030</v>
      </c>
      <c r="D2224" s="82">
        <v>12944000</v>
      </c>
      <c r="E2224" s="82">
        <v>12934000</v>
      </c>
      <c r="F2224" s="82">
        <v>12970000</v>
      </c>
      <c r="G2224" s="82">
        <v>12965000</v>
      </c>
      <c r="I2224" s="97">
        <v>0</v>
      </c>
      <c r="J2224" s="97">
        <v>0</v>
      </c>
      <c r="K2224" s="97">
        <v>0</v>
      </c>
      <c r="M2224" s="7">
        <f t="shared" si="375"/>
        <v>0</v>
      </c>
      <c r="N2224" s="7">
        <f t="shared" si="382"/>
        <v>0</v>
      </c>
      <c r="O2224" s="7">
        <f t="shared" si="381"/>
        <v>13000</v>
      </c>
      <c r="P2224" s="99">
        <f t="shared" si="376"/>
        <v>1.0037059913526869E-3</v>
      </c>
      <c r="Q2224" s="99">
        <f t="shared" si="383"/>
        <v>-1.4030829477213388E-2</v>
      </c>
      <c r="S2224" s="7">
        <f t="shared" si="377"/>
        <v>14261500.000000002</v>
      </c>
      <c r="V2224" s="7">
        <f t="shared" si="378"/>
        <v>0</v>
      </c>
      <c r="W2224" s="7">
        <f t="shared" si="379"/>
        <v>0</v>
      </c>
      <c r="X2224" s="7">
        <f t="shared" si="380"/>
        <v>0</v>
      </c>
    </row>
    <row r="2225" spans="1:24">
      <c r="A2225">
        <v>2224</v>
      </c>
      <c r="B2225" s="96" t="s">
        <v>1379</v>
      </c>
      <c r="C2225" s="95">
        <v>43031</v>
      </c>
      <c r="D2225" s="82">
        <v>12947000</v>
      </c>
      <c r="E2225" s="82">
        <v>12945000</v>
      </c>
      <c r="F2225" s="82">
        <v>13066000</v>
      </c>
      <c r="G2225" s="82">
        <v>13056000</v>
      </c>
      <c r="I2225" s="97">
        <v>0</v>
      </c>
      <c r="J2225" s="97">
        <v>0</v>
      </c>
      <c r="K2225" s="97">
        <v>0</v>
      </c>
      <c r="M2225" s="7">
        <f t="shared" si="375"/>
        <v>0</v>
      </c>
      <c r="N2225" s="7">
        <f t="shared" si="382"/>
        <v>0</v>
      </c>
      <c r="O2225" s="7">
        <f t="shared" si="381"/>
        <v>91000</v>
      </c>
      <c r="P2225" s="99">
        <f t="shared" si="376"/>
        <v>7.018897030466641E-3</v>
      </c>
      <c r="Q2225" s="99">
        <f t="shared" si="383"/>
        <v>-1.3331630185008084E-2</v>
      </c>
      <c r="S2225" s="7">
        <f t="shared" si="377"/>
        <v>14361600.000000002</v>
      </c>
      <c r="V2225" s="7">
        <f t="shared" si="378"/>
        <v>0</v>
      </c>
      <c r="W2225" s="7">
        <f t="shared" si="379"/>
        <v>0</v>
      </c>
      <c r="X2225" s="7">
        <f t="shared" si="380"/>
        <v>0</v>
      </c>
    </row>
    <row r="2226" spans="1:24">
      <c r="A2226">
        <v>2225</v>
      </c>
      <c r="B2226" s="96" t="s">
        <v>1378</v>
      </c>
      <c r="C2226" s="95">
        <v>43032</v>
      </c>
      <c r="D2226" s="82">
        <v>13076000</v>
      </c>
      <c r="E2226" s="82">
        <v>13070000</v>
      </c>
      <c r="F2226" s="82">
        <v>13130000</v>
      </c>
      <c r="G2226" s="82">
        <v>13110000</v>
      </c>
      <c r="I2226" s="98">
        <v>0</v>
      </c>
      <c r="J2226" s="98">
        <v>0</v>
      </c>
      <c r="K2226" s="98">
        <v>0</v>
      </c>
      <c r="M2226" s="7">
        <f t="shared" si="375"/>
        <v>0</v>
      </c>
      <c r="N2226" s="7">
        <f t="shared" si="382"/>
        <v>0</v>
      </c>
      <c r="O2226" s="7">
        <f t="shared" si="381"/>
        <v>54000</v>
      </c>
      <c r="P2226" s="99">
        <f t="shared" si="376"/>
        <v>4.1360294117647059E-3</v>
      </c>
      <c r="Q2226" s="99">
        <f t="shared" si="383"/>
        <v>-2.4314546157286569E-3</v>
      </c>
      <c r="S2226" s="7">
        <f t="shared" si="377"/>
        <v>14421000.000000002</v>
      </c>
      <c r="V2226" s="7">
        <f t="shared" si="378"/>
        <v>0</v>
      </c>
      <c r="W2226" s="7">
        <f t="shared" si="379"/>
        <v>0</v>
      </c>
      <c r="X2226" s="7">
        <f t="shared" si="380"/>
        <v>0</v>
      </c>
    </row>
    <row r="2227" spans="1:24">
      <c r="A2227">
        <v>2226</v>
      </c>
      <c r="B2227" s="96" t="s">
        <v>1377</v>
      </c>
      <c r="C2227" s="95">
        <v>43033</v>
      </c>
      <c r="D2227" s="82">
        <v>13127000</v>
      </c>
      <c r="E2227" s="82">
        <v>13065000</v>
      </c>
      <c r="F2227" s="82">
        <v>13127000</v>
      </c>
      <c r="G2227" s="82">
        <v>13080000</v>
      </c>
      <c r="I2227" s="82">
        <f>G2227*1.1</f>
        <v>14388000.000000002</v>
      </c>
      <c r="J2227" s="82">
        <f>G2227/3</f>
        <v>4360000</v>
      </c>
      <c r="K2227" s="7">
        <f>G2495</f>
        <v>0</v>
      </c>
      <c r="L2227" s="7">
        <f>K2227-I2227</f>
        <v>-14388000.000000002</v>
      </c>
      <c r="M2227" s="7">
        <f t="shared" si="375"/>
        <v>545000</v>
      </c>
      <c r="N2227" s="7">
        <f t="shared" si="382"/>
        <v>-13843000.000000002</v>
      </c>
      <c r="O2227" s="7">
        <f t="shared" si="381"/>
        <v>-30000</v>
      </c>
      <c r="P2227" s="99">
        <f t="shared" si="376"/>
        <v>-2.2883295194508009E-3</v>
      </c>
      <c r="Q2227" s="99">
        <f t="shared" si="383"/>
        <v>2.0101749182760984E-3</v>
      </c>
      <c r="R2227">
        <v>1</v>
      </c>
      <c r="S2227" s="7">
        <f t="shared" si="377"/>
        <v>14388000.000000002</v>
      </c>
      <c r="V2227" s="7">
        <f t="shared" si="378"/>
        <v>-14388000.000000002</v>
      </c>
      <c r="W2227" s="7">
        <f t="shared" si="379"/>
        <v>0</v>
      </c>
      <c r="X2227" s="7">
        <f t="shared" si="380"/>
        <v>-14388000.000000002</v>
      </c>
    </row>
    <row r="2228" spans="1:24">
      <c r="A2228">
        <v>2227</v>
      </c>
      <c r="B2228" s="96" t="s">
        <v>1376</v>
      </c>
      <c r="C2228" s="95">
        <v>43034</v>
      </c>
      <c r="D2228" s="82">
        <v>13090000</v>
      </c>
      <c r="E2228" s="82">
        <v>13026000</v>
      </c>
      <c r="F2228" s="82">
        <v>13107000</v>
      </c>
      <c r="G2228" s="82">
        <v>13026000</v>
      </c>
      <c r="I2228" s="97">
        <v>0</v>
      </c>
      <c r="J2228" s="97">
        <v>0</v>
      </c>
      <c r="K2228" s="97">
        <v>0</v>
      </c>
      <c r="M2228" s="7">
        <f t="shared" si="375"/>
        <v>0</v>
      </c>
      <c r="N2228" s="7">
        <f t="shared" si="382"/>
        <v>0</v>
      </c>
      <c r="O2228" s="7">
        <f t="shared" si="381"/>
        <v>-54000</v>
      </c>
      <c r="P2228" s="99">
        <f t="shared" si="376"/>
        <v>-4.1284403669724773E-3</v>
      </c>
      <c r="Q2228" s="99">
        <f t="shared" si="383"/>
        <v>-1.6537755411823447E-3</v>
      </c>
      <c r="S2228" s="7">
        <f t="shared" si="377"/>
        <v>14328600.000000002</v>
      </c>
      <c r="V2228" s="7">
        <f t="shared" si="378"/>
        <v>0</v>
      </c>
      <c r="W2228" s="7">
        <f t="shared" si="379"/>
        <v>0</v>
      </c>
      <c r="X2228" s="7">
        <f t="shared" si="380"/>
        <v>0</v>
      </c>
    </row>
    <row r="2229" spans="1:24">
      <c r="A2229">
        <v>2228</v>
      </c>
      <c r="B2229" s="96" t="s">
        <v>1375</v>
      </c>
      <c r="C2229" s="95">
        <v>43036</v>
      </c>
      <c r="D2229" s="82">
        <v>13056000</v>
      </c>
      <c r="E2229" s="82">
        <v>13056000</v>
      </c>
      <c r="F2229" s="82">
        <v>13189000</v>
      </c>
      <c r="G2229" s="82">
        <v>13174000</v>
      </c>
      <c r="I2229" s="97">
        <v>0</v>
      </c>
      <c r="J2229" s="97">
        <v>0</v>
      </c>
      <c r="K2229" s="97">
        <v>0</v>
      </c>
      <c r="M2229" s="7">
        <f t="shared" si="375"/>
        <v>0</v>
      </c>
      <c r="N2229" s="7">
        <f t="shared" si="382"/>
        <v>0</v>
      </c>
      <c r="O2229" s="7">
        <f t="shared" si="381"/>
        <v>148000</v>
      </c>
      <c r="P2229" s="99">
        <f t="shared" si="376"/>
        <v>1.1361891601412559E-2</v>
      </c>
      <c r="Q2229" s="99">
        <f t="shared" si="383"/>
        <v>5.7418625471607546E-3</v>
      </c>
      <c r="S2229" s="7">
        <f t="shared" si="377"/>
        <v>14491400.000000002</v>
      </c>
      <c r="V2229" s="7">
        <f t="shared" si="378"/>
        <v>0</v>
      </c>
      <c r="W2229" s="7">
        <f t="shared" si="379"/>
        <v>0</v>
      </c>
      <c r="X2229" s="7">
        <f t="shared" si="380"/>
        <v>0</v>
      </c>
    </row>
    <row r="2230" spans="1:24">
      <c r="A2230">
        <v>2229</v>
      </c>
      <c r="B2230" s="96" t="s">
        <v>1374</v>
      </c>
      <c r="C2230" s="95">
        <v>43037</v>
      </c>
      <c r="D2230" s="82">
        <v>13186000</v>
      </c>
      <c r="E2230" s="82">
        <v>13154000</v>
      </c>
      <c r="F2230" s="82">
        <v>13220000</v>
      </c>
      <c r="G2230" s="82">
        <v>13190000</v>
      </c>
      <c r="I2230" s="97">
        <v>0</v>
      </c>
      <c r="J2230" s="97">
        <v>0</v>
      </c>
      <c r="K2230" s="97">
        <v>0</v>
      </c>
      <c r="M2230" s="7">
        <f t="shared" si="375"/>
        <v>0</v>
      </c>
      <c r="N2230" s="7">
        <f t="shared" si="382"/>
        <v>0</v>
      </c>
      <c r="O2230" s="7">
        <f t="shared" si="381"/>
        <v>16000</v>
      </c>
      <c r="P2230" s="99">
        <f t="shared" si="376"/>
        <v>1.2145134355548808E-3</v>
      </c>
      <c r="Q2230" s="99">
        <f t="shared" si="383"/>
        <v>1.6100048157220631E-2</v>
      </c>
      <c r="S2230" s="7">
        <f t="shared" si="377"/>
        <v>14509000.000000002</v>
      </c>
      <c r="V2230" s="7">
        <f t="shared" si="378"/>
        <v>0</v>
      </c>
      <c r="W2230" s="7">
        <f t="shared" si="379"/>
        <v>0</v>
      </c>
      <c r="X2230" s="7">
        <f t="shared" si="380"/>
        <v>0</v>
      </c>
    </row>
    <row r="2231" spans="1:24">
      <c r="A2231">
        <v>2230</v>
      </c>
      <c r="B2231" s="96" t="s">
        <v>1373</v>
      </c>
      <c r="C2231" s="95">
        <v>43038</v>
      </c>
      <c r="D2231" s="82">
        <v>13168000</v>
      </c>
      <c r="E2231" s="82">
        <v>13120000</v>
      </c>
      <c r="F2231" s="82">
        <v>13180000</v>
      </c>
      <c r="G2231" s="82">
        <v>13144000</v>
      </c>
      <c r="I2231" s="98">
        <v>0</v>
      </c>
      <c r="J2231" s="98">
        <v>0</v>
      </c>
      <c r="K2231" s="98">
        <v>0</v>
      </c>
      <c r="M2231" s="7">
        <f t="shared" si="375"/>
        <v>0</v>
      </c>
      <c r="N2231" s="7">
        <f t="shared" si="382"/>
        <v>0</v>
      </c>
      <c r="O2231" s="7">
        <f t="shared" si="381"/>
        <v>-46000</v>
      </c>
      <c r="P2231" s="99">
        <f t="shared" si="376"/>
        <v>-3.4874905231235785E-3</v>
      </c>
      <c r="Q2231" s="99">
        <f t="shared" si="383"/>
        <v>1.0295664562308867E-2</v>
      </c>
      <c r="S2231" s="7">
        <f t="shared" si="377"/>
        <v>14458400.000000002</v>
      </c>
      <c r="V2231" s="7">
        <f t="shared" si="378"/>
        <v>0</v>
      </c>
      <c r="W2231" s="7">
        <f t="shared" si="379"/>
        <v>0</v>
      </c>
      <c r="X2231" s="7">
        <f t="shared" si="380"/>
        <v>0</v>
      </c>
    </row>
    <row r="2232" spans="1:24">
      <c r="A2232">
        <v>2231</v>
      </c>
      <c r="B2232" s="96" t="s">
        <v>1372</v>
      </c>
      <c r="C2232" s="95">
        <v>43039</v>
      </c>
      <c r="D2232" s="82">
        <v>13135000</v>
      </c>
      <c r="E2232" s="82">
        <v>13113000</v>
      </c>
      <c r="F2232" s="82">
        <v>13160000</v>
      </c>
      <c r="G2232" s="82">
        <v>13133000</v>
      </c>
      <c r="I2232" s="82">
        <f>G2232*1.1</f>
        <v>14446300.000000002</v>
      </c>
      <c r="J2232" s="82">
        <f>G2232/3</f>
        <v>4377666.666666667</v>
      </c>
      <c r="K2232" s="7">
        <f>G2500</f>
        <v>0</v>
      </c>
      <c r="L2232" s="7">
        <f>K2232-I2232</f>
        <v>-14446300.000000002</v>
      </c>
      <c r="M2232" s="7">
        <f t="shared" si="375"/>
        <v>547208.33333333337</v>
      </c>
      <c r="N2232" s="7">
        <f t="shared" si="382"/>
        <v>-13899091.666666668</v>
      </c>
      <c r="O2232" s="7">
        <f t="shared" si="381"/>
        <v>-11000</v>
      </c>
      <c r="P2232" s="99">
        <f t="shared" si="376"/>
        <v>-8.3688374923919658E-4</v>
      </c>
      <c r="Q2232" s="99">
        <f t="shared" si="383"/>
        <v>2.6721446274205838E-3</v>
      </c>
      <c r="R2232">
        <v>1</v>
      </c>
      <c r="S2232" s="7">
        <f t="shared" si="377"/>
        <v>14446300.000000002</v>
      </c>
      <c r="V2232" s="7">
        <f t="shared" si="378"/>
        <v>-14446300.000000002</v>
      </c>
      <c r="W2232" s="7">
        <f t="shared" si="379"/>
        <v>0</v>
      </c>
      <c r="X2232" s="7">
        <f t="shared" si="380"/>
        <v>-14446300.000000002</v>
      </c>
    </row>
    <row r="2233" spans="1:24">
      <c r="A2233">
        <v>2232</v>
      </c>
      <c r="B2233" s="96" t="s">
        <v>1371</v>
      </c>
      <c r="C2233" s="95">
        <v>43040</v>
      </c>
      <c r="D2233" s="82">
        <v>13141000</v>
      </c>
      <c r="E2233" s="82">
        <v>13141000</v>
      </c>
      <c r="F2233" s="82">
        <v>13197000</v>
      </c>
      <c r="G2233" s="82">
        <v>13180000</v>
      </c>
      <c r="I2233" s="97">
        <v>0</v>
      </c>
      <c r="J2233" s="97">
        <v>0</v>
      </c>
      <c r="K2233" s="97">
        <v>0</v>
      </c>
      <c r="M2233" s="7">
        <f t="shared" si="375"/>
        <v>0</v>
      </c>
      <c r="N2233" s="7">
        <f t="shared" si="382"/>
        <v>0</v>
      </c>
      <c r="O2233" s="7">
        <f t="shared" si="381"/>
        <v>47000</v>
      </c>
      <c r="P2233" s="99">
        <f t="shared" si="376"/>
        <v>3.5787710347978375E-3</v>
      </c>
      <c r="Q2233" s="99">
        <f t="shared" si="383"/>
        <v>4.1235903976321875E-3</v>
      </c>
      <c r="S2233" s="7">
        <f t="shared" si="377"/>
        <v>14498000.000000002</v>
      </c>
      <c r="V2233" s="7">
        <f t="shared" si="378"/>
        <v>0</v>
      </c>
      <c r="W2233" s="7">
        <f t="shared" si="379"/>
        <v>0</v>
      </c>
      <c r="X2233" s="7">
        <f t="shared" si="380"/>
        <v>0</v>
      </c>
    </row>
    <row r="2234" spans="1:24">
      <c r="A2234">
        <v>2233</v>
      </c>
      <c r="B2234" s="96" t="s">
        <v>1370</v>
      </c>
      <c r="C2234" s="95">
        <v>43041</v>
      </c>
      <c r="D2234" s="82">
        <v>13170000</v>
      </c>
      <c r="E2234" s="82">
        <v>13155000</v>
      </c>
      <c r="F2234" s="82">
        <v>13215000</v>
      </c>
      <c r="G2234" s="82">
        <v>13195000</v>
      </c>
      <c r="I2234" s="97">
        <v>0</v>
      </c>
      <c r="J2234" s="97">
        <v>0</v>
      </c>
      <c r="K2234" s="97">
        <v>0</v>
      </c>
      <c r="M2234" s="7">
        <f t="shared" si="375"/>
        <v>0</v>
      </c>
      <c r="N2234" s="7">
        <f t="shared" si="382"/>
        <v>0</v>
      </c>
      <c r="O2234" s="7">
        <f t="shared" si="381"/>
        <v>15000</v>
      </c>
      <c r="P2234" s="99">
        <f t="shared" si="376"/>
        <v>1.1380880121396055E-3</v>
      </c>
      <c r="Q2234" s="99">
        <f t="shared" si="383"/>
        <v>1.1830801799402503E-2</v>
      </c>
      <c r="S2234" s="7">
        <f t="shared" si="377"/>
        <v>14514500.000000002</v>
      </c>
      <c r="V2234" s="7">
        <f t="shared" si="378"/>
        <v>0</v>
      </c>
      <c r="W2234" s="7">
        <f t="shared" si="379"/>
        <v>0</v>
      </c>
      <c r="X2234" s="7">
        <f t="shared" si="380"/>
        <v>0</v>
      </c>
    </row>
    <row r="2235" spans="1:24">
      <c r="A2235">
        <v>2234</v>
      </c>
      <c r="B2235" s="96" t="s">
        <v>1369</v>
      </c>
      <c r="C2235" s="95">
        <v>43043</v>
      </c>
      <c r="D2235" s="82">
        <v>13155000</v>
      </c>
      <c r="E2235" s="82">
        <v>13144000</v>
      </c>
      <c r="F2235" s="82">
        <v>13192000</v>
      </c>
      <c r="G2235" s="82">
        <v>13187000</v>
      </c>
      <c r="I2235" s="97">
        <v>0</v>
      </c>
      <c r="J2235" s="97">
        <v>0</v>
      </c>
      <c r="K2235" s="97">
        <v>0</v>
      </c>
      <c r="M2235" s="7">
        <f t="shared" si="375"/>
        <v>0</v>
      </c>
      <c r="N2235" s="7">
        <f t="shared" si="382"/>
        <v>0</v>
      </c>
      <c r="O2235" s="7">
        <f t="shared" si="381"/>
        <v>-8000</v>
      </c>
      <c r="P2235" s="99">
        <f t="shared" si="376"/>
        <v>-6.0629026146267529E-4</v>
      </c>
      <c r="Q2235" s="99">
        <f t="shared" si="383"/>
        <v>1.6069982101295484E-3</v>
      </c>
      <c r="S2235" s="7">
        <f t="shared" si="377"/>
        <v>14505700.000000002</v>
      </c>
      <c r="V2235" s="7">
        <f t="shared" si="378"/>
        <v>0</v>
      </c>
      <c r="W2235" s="7">
        <f t="shared" si="379"/>
        <v>0</v>
      </c>
      <c r="X2235" s="7">
        <f t="shared" si="380"/>
        <v>0</v>
      </c>
    </row>
    <row r="2236" spans="1:24">
      <c r="A2236">
        <v>2235</v>
      </c>
      <c r="B2236" s="96" t="s">
        <v>1368</v>
      </c>
      <c r="C2236" s="95">
        <v>43044</v>
      </c>
      <c r="D2236" s="82">
        <v>13182000</v>
      </c>
      <c r="E2236" s="82">
        <v>13165000</v>
      </c>
      <c r="F2236" s="82">
        <v>13317000</v>
      </c>
      <c r="G2236" s="82">
        <v>13302000</v>
      </c>
      <c r="I2236" s="98">
        <v>0</v>
      </c>
      <c r="J2236" s="98">
        <v>0</v>
      </c>
      <c r="K2236" s="98">
        <v>0</v>
      </c>
      <c r="M2236" s="7">
        <f t="shared" si="375"/>
        <v>0</v>
      </c>
      <c r="N2236" s="7">
        <f t="shared" si="382"/>
        <v>0</v>
      </c>
      <c r="O2236" s="7">
        <f t="shared" si="381"/>
        <v>115000</v>
      </c>
      <c r="P2236" s="99">
        <f t="shared" si="376"/>
        <v>8.7207097899446428E-3</v>
      </c>
      <c r="Q2236" s="99">
        <f t="shared" si="383"/>
        <v>-2.1380548688800763E-4</v>
      </c>
      <c r="S2236" s="7">
        <f t="shared" si="377"/>
        <v>14632200.000000002</v>
      </c>
      <c r="V2236" s="7">
        <f t="shared" si="378"/>
        <v>0</v>
      </c>
      <c r="W2236" s="7">
        <f t="shared" si="379"/>
        <v>0</v>
      </c>
      <c r="X2236" s="7">
        <f t="shared" si="380"/>
        <v>0</v>
      </c>
    </row>
    <row r="2237" spans="1:24">
      <c r="A2237">
        <v>2236</v>
      </c>
      <c r="B2237" s="96" t="s">
        <v>1367</v>
      </c>
      <c r="C2237" s="95">
        <v>43045</v>
      </c>
      <c r="D2237" s="82">
        <v>13292000</v>
      </c>
      <c r="E2237" s="82">
        <v>13290000</v>
      </c>
      <c r="F2237" s="82">
        <v>13445000</v>
      </c>
      <c r="G2237" s="82">
        <v>13430000</v>
      </c>
      <c r="I2237" s="82">
        <f>G2237*1.1</f>
        <v>14773000.000000002</v>
      </c>
      <c r="J2237" s="82">
        <f>G2237/3</f>
        <v>4476666.666666667</v>
      </c>
      <c r="K2237" s="7">
        <f>G2505</f>
        <v>0</v>
      </c>
      <c r="L2237" s="7">
        <f>K2237-I2237</f>
        <v>-14773000.000000002</v>
      </c>
      <c r="M2237" s="7">
        <f t="shared" si="375"/>
        <v>559583.33333333337</v>
      </c>
      <c r="N2237" s="7">
        <f t="shared" si="382"/>
        <v>-14213416.666666668</v>
      </c>
      <c r="O2237" s="7">
        <f t="shared" si="381"/>
        <v>128000</v>
      </c>
      <c r="P2237" s="99">
        <f t="shared" si="376"/>
        <v>9.622613140881071E-3</v>
      </c>
      <c r="Q2237" s="99">
        <f t="shared" si="383"/>
        <v>1.1994394826180213E-2</v>
      </c>
      <c r="R2237">
        <v>1</v>
      </c>
      <c r="S2237" s="7">
        <f t="shared" si="377"/>
        <v>14773000.000000002</v>
      </c>
      <c r="V2237" s="7">
        <f t="shared" si="378"/>
        <v>-14773000.000000002</v>
      </c>
      <c r="W2237" s="7">
        <f t="shared" si="379"/>
        <v>0</v>
      </c>
      <c r="X2237" s="7">
        <f t="shared" si="380"/>
        <v>-14773000.000000002</v>
      </c>
    </row>
    <row r="2238" spans="1:24">
      <c r="A2238">
        <v>2237</v>
      </c>
      <c r="B2238" s="96" t="s">
        <v>1366</v>
      </c>
      <c r="C2238" s="95">
        <v>43046</v>
      </c>
      <c r="D2238" s="82">
        <v>13450000</v>
      </c>
      <c r="E2238" s="82">
        <v>13360000</v>
      </c>
      <c r="F2238" s="82">
        <v>13482000</v>
      </c>
      <c r="G2238" s="82">
        <v>13393000</v>
      </c>
      <c r="I2238" s="97">
        <v>0</v>
      </c>
      <c r="J2238" s="97">
        <v>0</v>
      </c>
      <c r="K2238" s="97">
        <v>0</v>
      </c>
      <c r="M2238" s="7">
        <f t="shared" si="375"/>
        <v>0</v>
      </c>
      <c r="N2238" s="7">
        <f t="shared" si="382"/>
        <v>0</v>
      </c>
      <c r="O2238" s="7">
        <f t="shared" si="381"/>
        <v>-37000</v>
      </c>
      <c r="P2238" s="99">
        <f t="shared" si="376"/>
        <v>-2.7550260610573344E-3</v>
      </c>
      <c r="Q2238" s="99">
        <f t="shared" si="383"/>
        <v>2.2453891716300481E-2</v>
      </c>
      <c r="S2238" s="7">
        <f t="shared" si="377"/>
        <v>14732300.000000002</v>
      </c>
      <c r="V2238" s="7">
        <f t="shared" si="378"/>
        <v>0</v>
      </c>
      <c r="W2238" s="7">
        <f t="shared" si="379"/>
        <v>0</v>
      </c>
      <c r="X2238" s="7">
        <f t="shared" si="380"/>
        <v>0</v>
      </c>
    </row>
    <row r="2239" spans="1:24">
      <c r="A2239">
        <v>2238</v>
      </c>
      <c r="B2239" s="96" t="s">
        <v>1365</v>
      </c>
      <c r="C2239" s="95">
        <v>43047</v>
      </c>
      <c r="D2239" s="82">
        <v>13405000</v>
      </c>
      <c r="E2239" s="82">
        <v>13405000</v>
      </c>
      <c r="F2239" s="82">
        <v>13510000</v>
      </c>
      <c r="G2239" s="82">
        <v>13497000</v>
      </c>
      <c r="I2239" s="97">
        <v>0</v>
      </c>
      <c r="J2239" s="97">
        <v>0</v>
      </c>
      <c r="K2239" s="97">
        <v>0</v>
      </c>
      <c r="M2239" s="7">
        <f t="shared" si="375"/>
        <v>0</v>
      </c>
      <c r="N2239" s="7">
        <f t="shared" si="382"/>
        <v>0</v>
      </c>
      <c r="O2239" s="7">
        <f t="shared" si="381"/>
        <v>104000</v>
      </c>
      <c r="P2239" s="99">
        <f t="shared" si="376"/>
        <v>7.7652505039946243E-3</v>
      </c>
      <c r="Q2239" s="99">
        <f t="shared" si="383"/>
        <v>1.6120094620445311E-2</v>
      </c>
      <c r="S2239" s="7">
        <f t="shared" si="377"/>
        <v>14846700.000000002</v>
      </c>
      <c r="V2239" s="7">
        <f t="shared" si="378"/>
        <v>0</v>
      </c>
      <c r="W2239" s="7">
        <f t="shared" si="379"/>
        <v>0</v>
      </c>
      <c r="X2239" s="7">
        <f t="shared" si="380"/>
        <v>0</v>
      </c>
    </row>
    <row r="2240" spans="1:24">
      <c r="A2240">
        <v>2239</v>
      </c>
      <c r="B2240" s="96" t="s">
        <v>1364</v>
      </c>
      <c r="C2240" s="95">
        <v>43048</v>
      </c>
      <c r="D2240" s="82">
        <v>13494000</v>
      </c>
      <c r="E2240" s="82">
        <v>13494000</v>
      </c>
      <c r="F2240" s="82">
        <v>13594000</v>
      </c>
      <c r="G2240" s="82">
        <v>13582000</v>
      </c>
      <c r="I2240" s="97">
        <v>0</v>
      </c>
      <c r="J2240" s="97">
        <v>0</v>
      </c>
      <c r="K2240" s="97">
        <v>0</v>
      </c>
      <c r="M2240" s="7">
        <f t="shared" si="375"/>
        <v>0</v>
      </c>
      <c r="N2240" s="7">
        <f t="shared" si="382"/>
        <v>0</v>
      </c>
      <c r="O2240" s="7">
        <f t="shared" si="381"/>
        <v>85000</v>
      </c>
      <c r="P2240" s="99">
        <f t="shared" si="376"/>
        <v>6.2976957842483519E-3</v>
      </c>
      <c r="Q2240" s="99">
        <f t="shared" si="383"/>
        <v>2.2747257112300329E-2</v>
      </c>
      <c r="S2240" s="7">
        <f t="shared" si="377"/>
        <v>14940200.000000002</v>
      </c>
      <c r="V2240" s="7">
        <f t="shared" si="378"/>
        <v>0</v>
      </c>
      <c r="W2240" s="7">
        <f t="shared" si="379"/>
        <v>0</v>
      </c>
      <c r="X2240" s="7">
        <f t="shared" si="380"/>
        <v>0</v>
      </c>
    </row>
    <row r="2241" spans="1:24">
      <c r="A2241">
        <v>2240</v>
      </c>
      <c r="B2241" s="96" t="s">
        <v>1363</v>
      </c>
      <c r="C2241" s="95">
        <v>43050</v>
      </c>
      <c r="D2241" s="82">
        <v>13564000</v>
      </c>
      <c r="E2241" s="82">
        <v>13457000</v>
      </c>
      <c r="F2241" s="82">
        <v>13635000</v>
      </c>
      <c r="G2241" s="82">
        <v>13497000</v>
      </c>
      <c r="I2241" s="98">
        <v>0</v>
      </c>
      <c r="J2241" s="98">
        <v>0</v>
      </c>
      <c r="K2241" s="98">
        <v>0</v>
      </c>
      <c r="M2241" s="7">
        <f t="shared" si="375"/>
        <v>0</v>
      </c>
      <c r="N2241" s="7">
        <f t="shared" si="382"/>
        <v>0</v>
      </c>
      <c r="O2241" s="7">
        <f t="shared" si="381"/>
        <v>-85000</v>
      </c>
      <c r="P2241" s="99">
        <f t="shared" si="376"/>
        <v>-6.2582830216462966E-3</v>
      </c>
      <c r="Q2241" s="99">
        <f t="shared" si="383"/>
        <v>2.9651243158011358E-2</v>
      </c>
      <c r="S2241" s="7">
        <f t="shared" si="377"/>
        <v>14846700.000000002</v>
      </c>
      <c r="V2241" s="7">
        <f t="shared" si="378"/>
        <v>0</v>
      </c>
      <c r="W2241" s="7">
        <f t="shared" si="379"/>
        <v>0</v>
      </c>
      <c r="X2241" s="7">
        <f t="shared" si="380"/>
        <v>0</v>
      </c>
    </row>
    <row r="2242" spans="1:24">
      <c r="A2242">
        <v>2241</v>
      </c>
      <c r="B2242" s="96" t="s">
        <v>1362</v>
      </c>
      <c r="C2242" s="95">
        <v>43051</v>
      </c>
      <c r="D2242" s="82">
        <v>13487000</v>
      </c>
      <c r="E2242" s="82">
        <v>13472000</v>
      </c>
      <c r="F2242" s="82">
        <v>13760000</v>
      </c>
      <c r="G2242" s="82">
        <v>13730000</v>
      </c>
      <c r="I2242" s="82">
        <f>G2242*1.1</f>
        <v>15103000.000000002</v>
      </c>
      <c r="J2242" s="82">
        <f>G2242/3</f>
        <v>4576666.666666667</v>
      </c>
      <c r="K2242" s="7">
        <f>G2510</f>
        <v>0</v>
      </c>
      <c r="L2242" s="7">
        <f>K2242-I2242</f>
        <v>-15103000.000000002</v>
      </c>
      <c r="M2242" s="7">
        <f t="shared" ref="M2242:M2305" si="384">J2242*$AI$6/200</f>
        <v>572083.33333333337</v>
      </c>
      <c r="N2242" s="7">
        <f t="shared" si="382"/>
        <v>-14530916.666666668</v>
      </c>
      <c r="O2242" s="7">
        <f t="shared" si="381"/>
        <v>233000</v>
      </c>
      <c r="P2242" s="99">
        <f t="shared" si="376"/>
        <v>1.7263095502704304E-2</v>
      </c>
      <c r="Q2242" s="99">
        <f t="shared" si="383"/>
        <v>1.4672250346420418E-2</v>
      </c>
      <c r="R2242">
        <v>1</v>
      </c>
      <c r="S2242" s="7">
        <f t="shared" si="377"/>
        <v>15103000.000000002</v>
      </c>
      <c r="V2242" s="7">
        <f t="shared" si="378"/>
        <v>-15103000.000000002</v>
      </c>
      <c r="W2242" s="7">
        <f t="shared" si="379"/>
        <v>0</v>
      </c>
      <c r="X2242" s="7">
        <f t="shared" si="380"/>
        <v>-15103000.000000002</v>
      </c>
    </row>
    <row r="2243" spans="1:24">
      <c r="A2243">
        <v>2242</v>
      </c>
      <c r="B2243" s="96" t="s">
        <v>1361</v>
      </c>
      <c r="C2243" s="95">
        <v>43052</v>
      </c>
      <c r="D2243" s="82">
        <v>13705000</v>
      </c>
      <c r="E2243" s="82">
        <v>13690000</v>
      </c>
      <c r="F2243" s="82">
        <v>13990000</v>
      </c>
      <c r="G2243" s="82">
        <v>13880000</v>
      </c>
      <c r="I2243" s="97">
        <v>0</v>
      </c>
      <c r="J2243" s="97">
        <v>0</v>
      </c>
      <c r="K2243" s="97">
        <v>0</v>
      </c>
      <c r="M2243" s="7">
        <f t="shared" si="384"/>
        <v>0</v>
      </c>
      <c r="N2243" s="7">
        <f t="shared" si="382"/>
        <v>0</v>
      </c>
      <c r="O2243" s="7">
        <f t="shared" si="381"/>
        <v>150000</v>
      </c>
      <c r="P2243" s="99">
        <f t="shared" ref="P2243:P2306" si="385">O2243/G2242</f>
        <v>1.0924981791697014E-2</v>
      </c>
      <c r="Q2243" s="99">
        <f t="shared" si="383"/>
        <v>2.231273270824365E-2</v>
      </c>
      <c r="S2243" s="7">
        <f t="shared" ref="S2243:S2306" si="386">G2243*1.1</f>
        <v>15268000.000000002</v>
      </c>
      <c r="V2243" s="7">
        <f t="shared" ref="V2243:V2306" si="387">(U2243-S2243)*R2243</f>
        <v>0</v>
      </c>
      <c r="W2243" s="7">
        <f t="shared" ref="W2243:W2306" si="388">(T2243*$AI$6/200)*R2243</f>
        <v>0</v>
      </c>
      <c r="X2243" s="7">
        <f t="shared" ref="X2243:X2306" si="389">V2243+W2243</f>
        <v>0</v>
      </c>
    </row>
    <row r="2244" spans="1:24">
      <c r="A2244">
        <v>2243</v>
      </c>
      <c r="B2244" s="96" t="s">
        <v>1360</v>
      </c>
      <c r="C2244" s="95">
        <v>43053</v>
      </c>
      <c r="D2244" s="82">
        <v>13940000</v>
      </c>
      <c r="E2244" s="82">
        <v>13825000</v>
      </c>
      <c r="F2244" s="82">
        <v>13975000</v>
      </c>
      <c r="G2244" s="82">
        <v>13895000</v>
      </c>
      <c r="I2244" s="97">
        <v>0</v>
      </c>
      <c r="J2244" s="97">
        <v>0</v>
      </c>
      <c r="K2244" s="97">
        <v>0</v>
      </c>
      <c r="M2244" s="7">
        <f t="shared" si="384"/>
        <v>0</v>
      </c>
      <c r="N2244" s="7">
        <f t="shared" si="382"/>
        <v>0</v>
      </c>
      <c r="O2244" s="7">
        <f t="shared" ref="O2244:O2307" si="390">G2244-G2243</f>
        <v>15000</v>
      </c>
      <c r="P2244" s="99">
        <f t="shared" si="385"/>
        <v>1.0806916426512969E-3</v>
      </c>
      <c r="Q2244" s="99">
        <f t="shared" si="383"/>
        <v>3.5992740560997993E-2</v>
      </c>
      <c r="S2244" s="7">
        <f t="shared" si="386"/>
        <v>15284500.000000002</v>
      </c>
      <c r="V2244" s="7">
        <f t="shared" si="387"/>
        <v>0</v>
      </c>
      <c r="W2244" s="7">
        <f t="shared" si="388"/>
        <v>0</v>
      </c>
      <c r="X2244" s="7">
        <f t="shared" si="389"/>
        <v>0</v>
      </c>
    </row>
    <row r="2245" spans="1:24">
      <c r="A2245">
        <v>2244</v>
      </c>
      <c r="B2245" s="96" t="s">
        <v>1359</v>
      </c>
      <c r="C2245" s="95">
        <v>43054</v>
      </c>
      <c r="D2245" s="82">
        <v>13940000</v>
      </c>
      <c r="E2245" s="82">
        <v>13866000</v>
      </c>
      <c r="F2245" s="82">
        <v>13940000</v>
      </c>
      <c r="G2245" s="82">
        <v>13883000</v>
      </c>
      <c r="I2245" s="97">
        <v>0</v>
      </c>
      <c r="J2245" s="97">
        <v>0</v>
      </c>
      <c r="K2245" s="97">
        <v>0</v>
      </c>
      <c r="M2245" s="7">
        <f t="shared" si="384"/>
        <v>0</v>
      </c>
      <c r="N2245" s="7">
        <f t="shared" si="382"/>
        <v>0</v>
      </c>
      <c r="O2245" s="7">
        <f t="shared" si="390"/>
        <v>-12000</v>
      </c>
      <c r="P2245" s="99">
        <f t="shared" si="385"/>
        <v>-8.6362000719683335E-4</v>
      </c>
      <c r="Q2245" s="99">
        <f t="shared" si="383"/>
        <v>2.9308181699654674E-2</v>
      </c>
      <c r="S2245" s="7">
        <f t="shared" si="386"/>
        <v>15271300.000000002</v>
      </c>
      <c r="V2245" s="7">
        <f t="shared" si="387"/>
        <v>0</v>
      </c>
      <c r="W2245" s="7">
        <f t="shared" si="388"/>
        <v>0</v>
      </c>
      <c r="X2245" s="7">
        <f t="shared" si="389"/>
        <v>0</v>
      </c>
    </row>
    <row r="2246" spans="1:24">
      <c r="A2246">
        <v>2245</v>
      </c>
      <c r="B2246" s="96" t="s">
        <v>1358</v>
      </c>
      <c r="C2246" s="95">
        <v>43055</v>
      </c>
      <c r="D2246" s="82">
        <v>13899000</v>
      </c>
      <c r="E2246" s="82">
        <v>13855000</v>
      </c>
      <c r="F2246" s="82">
        <v>13900000</v>
      </c>
      <c r="G2246" s="82">
        <v>13895000</v>
      </c>
      <c r="I2246" s="98">
        <v>0</v>
      </c>
      <c r="J2246" s="98">
        <v>0</v>
      </c>
      <c r="K2246" s="98">
        <v>0</v>
      </c>
      <c r="M2246" s="7">
        <f t="shared" si="384"/>
        <v>0</v>
      </c>
      <c r="N2246" s="7">
        <f t="shared" si="382"/>
        <v>0</v>
      </c>
      <c r="O2246" s="7">
        <f t="shared" si="390"/>
        <v>12000</v>
      </c>
      <c r="P2246" s="99">
        <f t="shared" si="385"/>
        <v>8.6436649139235041E-4</v>
      </c>
      <c r="Q2246" s="99">
        <f t="shared" si="383"/>
        <v>2.2146865908209488E-2</v>
      </c>
      <c r="S2246" s="7">
        <f t="shared" si="386"/>
        <v>15284500.000000002</v>
      </c>
      <c r="V2246" s="7">
        <f t="shared" si="387"/>
        <v>0</v>
      </c>
      <c r="W2246" s="7">
        <f t="shared" si="388"/>
        <v>0</v>
      </c>
      <c r="X2246" s="7">
        <f t="shared" si="389"/>
        <v>0</v>
      </c>
    </row>
    <row r="2247" spans="1:24">
      <c r="A2247">
        <v>2246</v>
      </c>
      <c r="B2247" s="96" t="s">
        <v>1357</v>
      </c>
      <c r="C2247" s="95">
        <v>43057</v>
      </c>
      <c r="D2247" s="82">
        <v>14016000</v>
      </c>
      <c r="E2247" s="82">
        <v>13990000</v>
      </c>
      <c r="F2247" s="82">
        <v>14180000</v>
      </c>
      <c r="G2247" s="82">
        <v>14145000</v>
      </c>
      <c r="I2247" s="82">
        <f>G2247*1.1</f>
        <v>15559500.000000002</v>
      </c>
      <c r="J2247" s="82">
        <f>G2247/3</f>
        <v>4715000</v>
      </c>
      <c r="K2247" s="7">
        <f>G2515</f>
        <v>0</v>
      </c>
      <c r="L2247" s="7">
        <f>K2247-I2247</f>
        <v>-15559500.000000002</v>
      </c>
      <c r="M2247" s="7">
        <f t="shared" si="384"/>
        <v>589375</v>
      </c>
      <c r="N2247" s="7">
        <f t="shared" si="382"/>
        <v>-14970125.000000002</v>
      </c>
      <c r="O2247" s="7">
        <f t="shared" si="390"/>
        <v>250000</v>
      </c>
      <c r="P2247" s="99">
        <f t="shared" si="385"/>
        <v>1.7992083483267363E-2</v>
      </c>
      <c r="Q2247" s="99">
        <f t="shared" si="383"/>
        <v>2.9269515421248133E-2</v>
      </c>
      <c r="R2247">
        <v>1</v>
      </c>
      <c r="S2247" s="7">
        <f t="shared" si="386"/>
        <v>15559500.000000002</v>
      </c>
      <c r="V2247" s="7">
        <f t="shared" si="387"/>
        <v>-15559500.000000002</v>
      </c>
      <c r="W2247" s="7">
        <f t="shared" si="388"/>
        <v>0</v>
      </c>
      <c r="X2247" s="7">
        <f t="shared" si="389"/>
        <v>-15559500.000000002</v>
      </c>
    </row>
    <row r="2248" spans="1:24">
      <c r="A2248">
        <v>2247</v>
      </c>
      <c r="B2248" s="96" t="s">
        <v>1356</v>
      </c>
      <c r="C2248" s="95">
        <v>43058</v>
      </c>
      <c r="D2248" s="82">
        <v>14160000</v>
      </c>
      <c r="E2248" s="82">
        <v>14145000</v>
      </c>
      <c r="F2248" s="82">
        <v>14195000</v>
      </c>
      <c r="G2248" s="82">
        <v>14155000</v>
      </c>
      <c r="I2248" s="97">
        <v>0</v>
      </c>
      <c r="J2248" s="97">
        <v>0</v>
      </c>
      <c r="K2248" s="97">
        <v>0</v>
      </c>
      <c r="M2248" s="7">
        <f t="shared" si="384"/>
        <v>0</v>
      </c>
      <c r="N2248" s="7">
        <f t="shared" ref="N2248:N2311" si="391">L2248+M2248</f>
        <v>0</v>
      </c>
      <c r="O2248" s="7">
        <f t="shared" si="390"/>
        <v>10000</v>
      </c>
      <c r="P2248" s="99">
        <f t="shared" si="385"/>
        <v>7.0696359137504422E-4</v>
      </c>
      <c r="Q2248" s="99">
        <f t="shared" ref="Q2248:Q2311" si="392">SUM(P2243:P2247)</f>
        <v>2.9998503401811191E-2</v>
      </c>
      <c r="S2248" s="7">
        <f t="shared" si="386"/>
        <v>15570500.000000002</v>
      </c>
      <c r="V2248" s="7">
        <f t="shared" si="387"/>
        <v>0</v>
      </c>
      <c r="W2248" s="7">
        <f t="shared" si="388"/>
        <v>0</v>
      </c>
      <c r="X2248" s="7">
        <f t="shared" si="389"/>
        <v>0</v>
      </c>
    </row>
    <row r="2249" spans="1:24">
      <c r="A2249">
        <v>2248</v>
      </c>
      <c r="B2249" s="96" t="s">
        <v>1355</v>
      </c>
      <c r="C2249" s="95">
        <v>43059</v>
      </c>
      <c r="D2249" s="82">
        <v>14140000</v>
      </c>
      <c r="E2249" s="82">
        <v>14105000</v>
      </c>
      <c r="F2249" s="82">
        <v>14435000</v>
      </c>
      <c r="G2249" s="82">
        <v>14210000</v>
      </c>
      <c r="I2249" s="97">
        <v>0</v>
      </c>
      <c r="J2249" s="97">
        <v>0</v>
      </c>
      <c r="K2249" s="97">
        <v>0</v>
      </c>
      <c r="M2249" s="7">
        <f t="shared" si="384"/>
        <v>0</v>
      </c>
      <c r="N2249" s="7">
        <f t="shared" si="391"/>
        <v>0</v>
      </c>
      <c r="O2249" s="7">
        <f t="shared" si="390"/>
        <v>55000</v>
      </c>
      <c r="P2249" s="99">
        <f t="shared" si="385"/>
        <v>3.885552808194984E-3</v>
      </c>
      <c r="Q2249" s="99">
        <f t="shared" si="392"/>
        <v>1.9780485201489222E-2</v>
      </c>
      <c r="S2249" s="7">
        <f t="shared" si="386"/>
        <v>15631000.000000002</v>
      </c>
      <c r="V2249" s="7">
        <f t="shared" si="387"/>
        <v>0</v>
      </c>
      <c r="W2249" s="7">
        <f t="shared" si="388"/>
        <v>0</v>
      </c>
      <c r="X2249" s="7">
        <f t="shared" si="389"/>
        <v>0</v>
      </c>
    </row>
    <row r="2250" spans="1:24">
      <c r="A2250">
        <v>2249</v>
      </c>
      <c r="B2250" s="96" t="s">
        <v>1354</v>
      </c>
      <c r="C2250" s="95">
        <v>43060</v>
      </c>
      <c r="D2250" s="82">
        <v>14285000</v>
      </c>
      <c r="E2250" s="82">
        <v>14136000</v>
      </c>
      <c r="F2250" s="82">
        <v>14484000</v>
      </c>
      <c r="G2250" s="82">
        <v>14441000</v>
      </c>
      <c r="I2250" s="97">
        <v>0</v>
      </c>
      <c r="J2250" s="97">
        <v>0</v>
      </c>
      <c r="K2250" s="97">
        <v>0</v>
      </c>
      <c r="M2250" s="7">
        <f t="shared" si="384"/>
        <v>0</v>
      </c>
      <c r="N2250" s="7">
        <f t="shared" si="391"/>
        <v>0</v>
      </c>
      <c r="O2250" s="7">
        <f t="shared" si="390"/>
        <v>231000</v>
      </c>
      <c r="P2250" s="99">
        <f t="shared" si="385"/>
        <v>1.6256157635467981E-2</v>
      </c>
      <c r="Q2250" s="99">
        <f t="shared" si="392"/>
        <v>2.2585346367032907E-2</v>
      </c>
      <c r="S2250" s="7">
        <f t="shared" si="386"/>
        <v>15885100.000000002</v>
      </c>
      <c r="V2250" s="7">
        <f t="shared" si="387"/>
        <v>0</v>
      </c>
      <c r="W2250" s="7">
        <f t="shared" si="388"/>
        <v>0</v>
      </c>
      <c r="X2250" s="7">
        <f t="shared" si="389"/>
        <v>0</v>
      </c>
    </row>
    <row r="2251" spans="1:24">
      <c r="A2251">
        <v>2250</v>
      </c>
      <c r="B2251" s="96" t="s">
        <v>1353</v>
      </c>
      <c r="C2251" s="95">
        <v>43061</v>
      </c>
      <c r="D2251" s="82">
        <v>14506000</v>
      </c>
      <c r="E2251" s="82">
        <v>14155000</v>
      </c>
      <c r="F2251" s="82">
        <v>14536000</v>
      </c>
      <c r="G2251" s="82">
        <v>14175000</v>
      </c>
      <c r="I2251" s="98">
        <v>0</v>
      </c>
      <c r="J2251" s="98">
        <v>0</v>
      </c>
      <c r="K2251" s="98">
        <v>0</v>
      </c>
      <c r="M2251" s="7">
        <f t="shared" si="384"/>
        <v>0</v>
      </c>
      <c r="N2251" s="7">
        <f t="shared" si="391"/>
        <v>0</v>
      </c>
      <c r="O2251" s="7">
        <f t="shared" si="390"/>
        <v>-266000</v>
      </c>
      <c r="P2251" s="99">
        <f t="shared" si="385"/>
        <v>-1.8419777023751818E-2</v>
      </c>
      <c r="Q2251" s="99">
        <f t="shared" si="392"/>
        <v>3.9705124009697723E-2</v>
      </c>
      <c r="S2251" s="7">
        <f t="shared" si="386"/>
        <v>15592500.000000002</v>
      </c>
      <c r="V2251" s="7">
        <f t="shared" si="387"/>
        <v>0</v>
      </c>
      <c r="W2251" s="7">
        <f t="shared" si="388"/>
        <v>0</v>
      </c>
      <c r="X2251" s="7">
        <f t="shared" si="389"/>
        <v>0</v>
      </c>
    </row>
    <row r="2252" spans="1:24">
      <c r="A2252">
        <v>2251</v>
      </c>
      <c r="B2252" s="96" t="s">
        <v>1352</v>
      </c>
      <c r="C2252" s="95">
        <v>43062</v>
      </c>
      <c r="D2252" s="82">
        <v>14130000</v>
      </c>
      <c r="E2252" s="82">
        <v>13853000</v>
      </c>
      <c r="F2252" s="82">
        <v>14248000</v>
      </c>
      <c r="G2252" s="82">
        <v>13903000</v>
      </c>
      <c r="I2252" s="82">
        <f>G2252*1.1</f>
        <v>15293300.000000002</v>
      </c>
      <c r="J2252" s="82">
        <f>G2252/3</f>
        <v>4634333.333333333</v>
      </c>
      <c r="K2252" s="7">
        <f>G2520</f>
        <v>0</v>
      </c>
      <c r="L2252" s="7">
        <f>K2252-I2252</f>
        <v>-15293300.000000002</v>
      </c>
      <c r="M2252" s="7">
        <f t="shared" si="384"/>
        <v>579291.66666666663</v>
      </c>
      <c r="N2252" s="7">
        <f t="shared" si="391"/>
        <v>-14714008.333333336</v>
      </c>
      <c r="O2252" s="7">
        <f t="shared" si="390"/>
        <v>-272000</v>
      </c>
      <c r="P2252" s="99">
        <f t="shared" si="385"/>
        <v>-1.9188712522045855E-2</v>
      </c>
      <c r="Q2252" s="99">
        <f t="shared" si="392"/>
        <v>2.0420980494553556E-2</v>
      </c>
      <c r="R2252">
        <v>1</v>
      </c>
      <c r="S2252" s="7">
        <f t="shared" si="386"/>
        <v>15293300.000000002</v>
      </c>
      <c r="V2252" s="7">
        <f t="shared" si="387"/>
        <v>-15293300.000000002</v>
      </c>
      <c r="W2252" s="7">
        <f t="shared" si="388"/>
        <v>0</v>
      </c>
      <c r="X2252" s="7">
        <f t="shared" si="389"/>
        <v>-15293300.000000002</v>
      </c>
    </row>
    <row r="2253" spans="1:24">
      <c r="A2253">
        <v>2252</v>
      </c>
      <c r="B2253" s="96" t="s">
        <v>1351</v>
      </c>
      <c r="C2253" s="95">
        <v>43064</v>
      </c>
      <c r="D2253" s="82">
        <v>13818000</v>
      </c>
      <c r="E2253" s="82">
        <v>13617000</v>
      </c>
      <c r="F2253" s="82">
        <v>13977000</v>
      </c>
      <c r="G2253" s="82">
        <v>13617000</v>
      </c>
      <c r="I2253" s="97">
        <v>0</v>
      </c>
      <c r="J2253" s="97">
        <v>0</v>
      </c>
      <c r="K2253" s="97">
        <v>0</v>
      </c>
      <c r="M2253" s="7">
        <f t="shared" si="384"/>
        <v>0</v>
      </c>
      <c r="N2253" s="7">
        <f t="shared" si="391"/>
        <v>0</v>
      </c>
      <c r="O2253" s="7">
        <f t="shared" si="390"/>
        <v>-286000</v>
      </c>
      <c r="P2253" s="99">
        <f t="shared" si="385"/>
        <v>-2.0571099762641157E-2</v>
      </c>
      <c r="Q2253" s="99">
        <f t="shared" si="392"/>
        <v>-1.6759815510759665E-2</v>
      </c>
      <c r="S2253" s="7">
        <f t="shared" si="386"/>
        <v>14978700.000000002</v>
      </c>
      <c r="V2253" s="7">
        <f t="shared" si="387"/>
        <v>0</v>
      </c>
      <c r="W2253" s="7">
        <f t="shared" si="388"/>
        <v>0</v>
      </c>
      <c r="X2253" s="7">
        <f t="shared" si="389"/>
        <v>0</v>
      </c>
    </row>
    <row r="2254" spans="1:24">
      <c r="A2254">
        <v>2253</v>
      </c>
      <c r="B2254" s="96" t="s">
        <v>1350</v>
      </c>
      <c r="C2254" s="95">
        <v>43065</v>
      </c>
      <c r="D2254" s="82">
        <v>13657000</v>
      </c>
      <c r="E2254" s="82">
        <v>13485000</v>
      </c>
      <c r="F2254" s="82">
        <v>13680000</v>
      </c>
      <c r="G2254" s="82">
        <v>13570000</v>
      </c>
      <c r="I2254" s="97">
        <v>0</v>
      </c>
      <c r="J2254" s="97">
        <v>0</v>
      </c>
      <c r="K2254" s="97">
        <v>0</v>
      </c>
      <c r="M2254" s="7">
        <f t="shared" si="384"/>
        <v>0</v>
      </c>
      <c r="N2254" s="7">
        <f t="shared" si="391"/>
        <v>0</v>
      </c>
      <c r="O2254" s="7">
        <f t="shared" si="390"/>
        <v>-47000</v>
      </c>
      <c r="P2254" s="99">
        <f t="shared" si="385"/>
        <v>-3.4515678930748328E-3</v>
      </c>
      <c r="Q2254" s="99">
        <f t="shared" si="392"/>
        <v>-3.8037878864775866E-2</v>
      </c>
      <c r="S2254" s="7">
        <f t="shared" si="386"/>
        <v>14927000.000000002</v>
      </c>
      <c r="V2254" s="7">
        <f t="shared" si="387"/>
        <v>0</v>
      </c>
      <c r="W2254" s="7">
        <f t="shared" si="388"/>
        <v>0</v>
      </c>
      <c r="X2254" s="7">
        <f t="shared" si="389"/>
        <v>0</v>
      </c>
    </row>
    <row r="2255" spans="1:24">
      <c r="A2255">
        <v>2254</v>
      </c>
      <c r="B2255" s="96" t="s">
        <v>1349</v>
      </c>
      <c r="C2255" s="95">
        <v>43066</v>
      </c>
      <c r="D2255" s="82">
        <v>13660000</v>
      </c>
      <c r="E2255" s="82">
        <v>13560000</v>
      </c>
      <c r="F2255" s="82">
        <v>13670000</v>
      </c>
      <c r="G2255" s="82">
        <v>13605000</v>
      </c>
      <c r="I2255" s="97">
        <v>0</v>
      </c>
      <c r="J2255" s="97">
        <v>0</v>
      </c>
      <c r="K2255" s="97">
        <v>0</v>
      </c>
      <c r="M2255" s="7">
        <f t="shared" si="384"/>
        <v>0</v>
      </c>
      <c r="N2255" s="7">
        <f t="shared" si="391"/>
        <v>0</v>
      </c>
      <c r="O2255" s="7">
        <f t="shared" si="390"/>
        <v>35000</v>
      </c>
      <c r="P2255" s="99">
        <f t="shared" si="385"/>
        <v>2.5792188651436992E-3</v>
      </c>
      <c r="Q2255" s="99">
        <f t="shared" si="392"/>
        <v>-4.5374999566045682E-2</v>
      </c>
      <c r="S2255" s="7">
        <f t="shared" si="386"/>
        <v>14965500.000000002</v>
      </c>
      <c r="V2255" s="7">
        <f t="shared" si="387"/>
        <v>0</v>
      </c>
      <c r="W2255" s="7">
        <f t="shared" si="388"/>
        <v>0</v>
      </c>
      <c r="X2255" s="7">
        <f t="shared" si="389"/>
        <v>0</v>
      </c>
    </row>
    <row r="2256" spans="1:24">
      <c r="A2256">
        <v>2255</v>
      </c>
      <c r="B2256" s="96" t="s">
        <v>1348</v>
      </c>
      <c r="C2256" s="95">
        <v>43067</v>
      </c>
      <c r="D2256" s="82">
        <v>13588000</v>
      </c>
      <c r="E2256" s="82">
        <v>13540000</v>
      </c>
      <c r="F2256" s="82">
        <v>13605000</v>
      </c>
      <c r="G2256" s="82">
        <v>13560000</v>
      </c>
      <c r="I2256" s="98">
        <v>0</v>
      </c>
      <c r="J2256" s="98">
        <v>0</v>
      </c>
      <c r="K2256" s="98">
        <v>0</v>
      </c>
      <c r="M2256" s="7">
        <f t="shared" si="384"/>
        <v>0</v>
      </c>
      <c r="N2256" s="7">
        <f t="shared" si="391"/>
        <v>0</v>
      </c>
      <c r="O2256" s="7">
        <f t="shared" si="390"/>
        <v>-45000</v>
      </c>
      <c r="P2256" s="99">
        <f t="shared" si="385"/>
        <v>-3.3076074972436605E-3</v>
      </c>
      <c r="Q2256" s="99">
        <f t="shared" si="392"/>
        <v>-5.9051938336369965E-2</v>
      </c>
      <c r="S2256" s="7">
        <f t="shared" si="386"/>
        <v>14916000.000000002</v>
      </c>
      <c r="V2256" s="7">
        <f t="shared" si="387"/>
        <v>0</v>
      </c>
      <c r="W2256" s="7">
        <f t="shared" si="388"/>
        <v>0</v>
      </c>
      <c r="X2256" s="7">
        <f t="shared" si="389"/>
        <v>0</v>
      </c>
    </row>
    <row r="2257" spans="1:24">
      <c r="A2257">
        <v>2256</v>
      </c>
      <c r="B2257" s="96" t="s">
        <v>1347</v>
      </c>
      <c r="C2257" s="95">
        <v>43068</v>
      </c>
      <c r="D2257" s="82">
        <v>13568000</v>
      </c>
      <c r="E2257" s="82">
        <v>13568000</v>
      </c>
      <c r="F2257" s="82">
        <v>13774000</v>
      </c>
      <c r="G2257" s="82">
        <v>13764000</v>
      </c>
      <c r="I2257" s="82">
        <f>G2257*1.1</f>
        <v>15140400.000000002</v>
      </c>
      <c r="J2257" s="82">
        <f>G2257/3</f>
        <v>4588000</v>
      </c>
      <c r="K2257" s="7">
        <f>G2525</f>
        <v>0</v>
      </c>
      <c r="L2257" s="7">
        <f>K2257-I2257</f>
        <v>-15140400.000000002</v>
      </c>
      <c r="M2257" s="7">
        <f t="shared" si="384"/>
        <v>573500</v>
      </c>
      <c r="N2257" s="7">
        <f t="shared" si="391"/>
        <v>-14566900.000000002</v>
      </c>
      <c r="O2257" s="7">
        <f t="shared" si="390"/>
        <v>204000</v>
      </c>
      <c r="P2257" s="99">
        <f t="shared" si="385"/>
        <v>1.5044247787610619E-2</v>
      </c>
      <c r="Q2257" s="99">
        <f t="shared" si="392"/>
        <v>-4.3939768809861807E-2</v>
      </c>
      <c r="R2257">
        <v>1</v>
      </c>
      <c r="S2257" s="7">
        <f t="shared" si="386"/>
        <v>15140400.000000002</v>
      </c>
      <c r="V2257" s="7">
        <f t="shared" si="387"/>
        <v>-15140400.000000002</v>
      </c>
      <c r="W2257" s="7">
        <f t="shared" si="388"/>
        <v>0</v>
      </c>
      <c r="X2257" s="7">
        <f t="shared" si="389"/>
        <v>-15140400.000000002</v>
      </c>
    </row>
    <row r="2258" spans="1:24">
      <c r="A2258">
        <v>2257</v>
      </c>
      <c r="B2258" s="96" t="s">
        <v>1346</v>
      </c>
      <c r="C2258" s="95">
        <v>43069</v>
      </c>
      <c r="D2258" s="82">
        <v>13804000</v>
      </c>
      <c r="E2258" s="82">
        <v>13752000</v>
      </c>
      <c r="F2258" s="82">
        <v>13870000</v>
      </c>
      <c r="G2258" s="82">
        <v>13815000</v>
      </c>
      <c r="I2258" s="97">
        <v>0</v>
      </c>
      <c r="J2258" s="97">
        <v>0</v>
      </c>
      <c r="K2258" s="97">
        <v>0</v>
      </c>
      <c r="M2258" s="7">
        <f t="shared" si="384"/>
        <v>0</v>
      </c>
      <c r="N2258" s="7">
        <f t="shared" si="391"/>
        <v>0</v>
      </c>
      <c r="O2258" s="7">
        <f t="shared" si="390"/>
        <v>51000</v>
      </c>
      <c r="P2258" s="99">
        <f t="shared" si="385"/>
        <v>3.7053182214472537E-3</v>
      </c>
      <c r="Q2258" s="99">
        <f t="shared" si="392"/>
        <v>-9.7068085002053328E-3</v>
      </c>
      <c r="S2258" s="7">
        <f t="shared" si="386"/>
        <v>15196500.000000002</v>
      </c>
      <c r="V2258" s="7">
        <f t="shared" si="387"/>
        <v>0</v>
      </c>
      <c r="W2258" s="7">
        <f t="shared" si="388"/>
        <v>0</v>
      </c>
      <c r="X2258" s="7">
        <f t="shared" si="389"/>
        <v>0</v>
      </c>
    </row>
    <row r="2259" spans="1:24">
      <c r="A2259">
        <v>2258</v>
      </c>
      <c r="B2259" s="96" t="s">
        <v>1345</v>
      </c>
      <c r="C2259" s="95">
        <v>43071</v>
      </c>
      <c r="D2259" s="82">
        <v>13805000</v>
      </c>
      <c r="E2259" s="82">
        <v>13805000</v>
      </c>
      <c r="F2259" s="82">
        <v>13938000</v>
      </c>
      <c r="G2259" s="82">
        <v>13938000</v>
      </c>
      <c r="I2259" s="97">
        <v>0</v>
      </c>
      <c r="J2259" s="97">
        <v>0</v>
      </c>
      <c r="K2259" s="97">
        <v>0</v>
      </c>
      <c r="M2259" s="7">
        <f t="shared" si="384"/>
        <v>0</v>
      </c>
      <c r="N2259" s="7">
        <f t="shared" si="391"/>
        <v>0</v>
      </c>
      <c r="O2259" s="7">
        <f t="shared" si="390"/>
        <v>123000</v>
      </c>
      <c r="P2259" s="99">
        <f t="shared" si="385"/>
        <v>8.9033659066232364E-3</v>
      </c>
      <c r="Q2259" s="99">
        <f t="shared" si="392"/>
        <v>1.4569609483883078E-2</v>
      </c>
      <c r="S2259" s="7">
        <f t="shared" si="386"/>
        <v>15331800.000000002</v>
      </c>
      <c r="V2259" s="7">
        <f t="shared" si="387"/>
        <v>0</v>
      </c>
      <c r="W2259" s="7">
        <f t="shared" si="388"/>
        <v>0</v>
      </c>
      <c r="X2259" s="7">
        <f t="shared" si="389"/>
        <v>0</v>
      </c>
    </row>
    <row r="2260" spans="1:24">
      <c r="A2260">
        <v>2259</v>
      </c>
      <c r="B2260" s="96" t="s">
        <v>1344</v>
      </c>
      <c r="C2260" s="95">
        <v>43072</v>
      </c>
      <c r="D2260" s="82">
        <v>13948000</v>
      </c>
      <c r="E2260" s="82">
        <v>13907000</v>
      </c>
      <c r="F2260" s="82">
        <v>14040000</v>
      </c>
      <c r="G2260" s="82">
        <v>13935000</v>
      </c>
      <c r="I2260" s="97">
        <v>0</v>
      </c>
      <c r="J2260" s="97">
        <v>0</v>
      </c>
      <c r="K2260" s="97">
        <v>0</v>
      </c>
      <c r="M2260" s="7">
        <f t="shared" si="384"/>
        <v>0</v>
      </c>
      <c r="N2260" s="7">
        <f t="shared" si="391"/>
        <v>0</v>
      </c>
      <c r="O2260" s="7">
        <f t="shared" si="390"/>
        <v>-3000</v>
      </c>
      <c r="P2260" s="99">
        <f t="shared" si="385"/>
        <v>-2.1523891519586742E-4</v>
      </c>
      <c r="Q2260" s="99">
        <f t="shared" si="392"/>
        <v>2.6924543283581147E-2</v>
      </c>
      <c r="S2260" s="7">
        <f t="shared" si="386"/>
        <v>15328500.000000002</v>
      </c>
      <c r="V2260" s="7">
        <f t="shared" si="387"/>
        <v>0</v>
      </c>
      <c r="W2260" s="7">
        <f t="shared" si="388"/>
        <v>0</v>
      </c>
      <c r="X2260" s="7">
        <f t="shared" si="389"/>
        <v>0</v>
      </c>
    </row>
    <row r="2261" spans="1:24">
      <c r="A2261">
        <v>2260</v>
      </c>
      <c r="B2261" s="96" t="s">
        <v>1343</v>
      </c>
      <c r="C2261" s="95">
        <v>43073</v>
      </c>
      <c r="D2261" s="82">
        <v>13920000</v>
      </c>
      <c r="E2261" s="82">
        <v>13915000</v>
      </c>
      <c r="F2261" s="82">
        <v>14268000</v>
      </c>
      <c r="G2261" s="82">
        <v>14258000</v>
      </c>
      <c r="I2261" s="98">
        <v>0</v>
      </c>
      <c r="J2261" s="98">
        <v>0</v>
      </c>
      <c r="K2261" s="98">
        <v>0</v>
      </c>
      <c r="M2261" s="7">
        <f t="shared" si="384"/>
        <v>0</v>
      </c>
      <c r="N2261" s="7">
        <f t="shared" si="391"/>
        <v>0</v>
      </c>
      <c r="O2261" s="7">
        <f t="shared" si="390"/>
        <v>323000</v>
      </c>
      <c r="P2261" s="99">
        <f t="shared" si="385"/>
        <v>2.3179045568711875E-2</v>
      </c>
      <c r="Q2261" s="99">
        <f t="shared" si="392"/>
        <v>2.4130085503241583E-2</v>
      </c>
      <c r="S2261" s="7">
        <f t="shared" si="386"/>
        <v>15683800.000000002</v>
      </c>
      <c r="V2261" s="7">
        <f t="shared" si="387"/>
        <v>0</v>
      </c>
      <c r="W2261" s="7">
        <f t="shared" si="388"/>
        <v>0</v>
      </c>
      <c r="X2261" s="7">
        <f t="shared" si="389"/>
        <v>0</v>
      </c>
    </row>
    <row r="2262" spans="1:24">
      <c r="A2262">
        <v>2261</v>
      </c>
      <c r="B2262" s="96" t="s">
        <v>1342</v>
      </c>
      <c r="C2262" s="95">
        <v>43074</v>
      </c>
      <c r="D2262" s="82">
        <v>14358000</v>
      </c>
      <c r="E2262" s="82">
        <v>14110000</v>
      </c>
      <c r="F2262" s="82">
        <v>14430000</v>
      </c>
      <c r="G2262" s="82">
        <v>14155000</v>
      </c>
      <c r="I2262" s="82">
        <f>G2262*1.1</f>
        <v>15570500.000000002</v>
      </c>
      <c r="J2262" s="82">
        <f>G2262/3</f>
        <v>4718333.333333333</v>
      </c>
      <c r="K2262" s="7">
        <f>G2530</f>
        <v>0</v>
      </c>
      <c r="L2262" s="7">
        <f>K2262-I2262</f>
        <v>-15570500.000000002</v>
      </c>
      <c r="M2262" s="7">
        <f t="shared" si="384"/>
        <v>589791.66666666663</v>
      </c>
      <c r="N2262" s="7">
        <f t="shared" si="391"/>
        <v>-14980708.333333336</v>
      </c>
      <c r="O2262" s="7">
        <f t="shared" si="390"/>
        <v>-103000</v>
      </c>
      <c r="P2262" s="99">
        <f t="shared" si="385"/>
        <v>-7.2240145883013043E-3</v>
      </c>
      <c r="Q2262" s="99">
        <f t="shared" si="392"/>
        <v>5.0616738569197121E-2</v>
      </c>
      <c r="R2262">
        <v>1</v>
      </c>
      <c r="S2262" s="7">
        <f t="shared" si="386"/>
        <v>15570500.000000002</v>
      </c>
      <c r="V2262" s="7">
        <f t="shared" si="387"/>
        <v>-15570500.000000002</v>
      </c>
      <c r="W2262" s="7">
        <f t="shared" si="388"/>
        <v>0</v>
      </c>
      <c r="X2262" s="7">
        <f t="shared" si="389"/>
        <v>-15570500.000000002</v>
      </c>
    </row>
    <row r="2263" spans="1:24">
      <c r="A2263">
        <v>2262</v>
      </c>
      <c r="B2263" s="96" t="s">
        <v>1341</v>
      </c>
      <c r="C2263" s="95">
        <v>43075</v>
      </c>
      <c r="D2263" s="82">
        <v>14145000</v>
      </c>
      <c r="E2263" s="82">
        <v>14120000</v>
      </c>
      <c r="F2263" s="82">
        <v>14185000</v>
      </c>
      <c r="G2263" s="82">
        <v>14140000</v>
      </c>
      <c r="I2263" s="97">
        <v>0</v>
      </c>
      <c r="J2263" s="97">
        <v>0</v>
      </c>
      <c r="K2263" s="97">
        <v>0</v>
      </c>
      <c r="M2263" s="7">
        <f t="shared" si="384"/>
        <v>0</v>
      </c>
      <c r="N2263" s="7">
        <f t="shared" si="391"/>
        <v>0</v>
      </c>
      <c r="O2263" s="7">
        <f t="shared" si="390"/>
        <v>-15000</v>
      </c>
      <c r="P2263" s="99">
        <f t="shared" si="385"/>
        <v>-1.0596962204168139E-3</v>
      </c>
      <c r="Q2263" s="99">
        <f t="shared" si="392"/>
        <v>2.8348476193285198E-2</v>
      </c>
      <c r="S2263" s="7">
        <f t="shared" si="386"/>
        <v>15554000.000000002</v>
      </c>
      <c r="V2263" s="7">
        <f t="shared" si="387"/>
        <v>0</v>
      </c>
      <c r="W2263" s="7">
        <f t="shared" si="388"/>
        <v>0</v>
      </c>
      <c r="X2263" s="7">
        <f t="shared" si="389"/>
        <v>0</v>
      </c>
    </row>
    <row r="2264" spans="1:24">
      <c r="A2264">
        <v>2263</v>
      </c>
      <c r="B2264" s="96" t="s">
        <v>1340</v>
      </c>
      <c r="C2264" s="95">
        <v>43076</v>
      </c>
      <c r="D2264" s="82">
        <v>14170000</v>
      </c>
      <c r="E2264" s="82">
        <v>14135000</v>
      </c>
      <c r="F2264" s="82">
        <v>14195000</v>
      </c>
      <c r="G2264" s="82">
        <v>14145000</v>
      </c>
      <c r="I2264" s="97">
        <v>0</v>
      </c>
      <c r="J2264" s="97">
        <v>0</v>
      </c>
      <c r="K2264" s="97">
        <v>0</v>
      </c>
      <c r="M2264" s="7">
        <f t="shared" si="384"/>
        <v>0</v>
      </c>
      <c r="N2264" s="7">
        <f t="shared" si="391"/>
        <v>0</v>
      </c>
      <c r="O2264" s="7">
        <f t="shared" si="390"/>
        <v>5000</v>
      </c>
      <c r="P2264" s="99">
        <f t="shared" si="385"/>
        <v>3.5360678925035362E-4</v>
      </c>
      <c r="Q2264" s="99">
        <f t="shared" si="392"/>
        <v>2.358346175142112E-2</v>
      </c>
      <c r="S2264" s="7">
        <f t="shared" si="386"/>
        <v>15559500.000000002</v>
      </c>
      <c r="V2264" s="7">
        <f t="shared" si="387"/>
        <v>0</v>
      </c>
      <c r="W2264" s="7">
        <f t="shared" si="388"/>
        <v>0</v>
      </c>
      <c r="X2264" s="7">
        <f t="shared" si="389"/>
        <v>0</v>
      </c>
    </row>
    <row r="2265" spans="1:24">
      <c r="A2265">
        <v>2264</v>
      </c>
      <c r="B2265" s="96" t="s">
        <v>1339</v>
      </c>
      <c r="C2265" s="95">
        <v>43078</v>
      </c>
      <c r="D2265" s="82">
        <v>13960000</v>
      </c>
      <c r="E2265" s="82">
        <v>13952000</v>
      </c>
      <c r="F2265" s="82">
        <v>14205000</v>
      </c>
      <c r="G2265" s="82">
        <v>14155000</v>
      </c>
      <c r="I2265" s="97">
        <v>0</v>
      </c>
      <c r="J2265" s="97">
        <v>0</v>
      </c>
      <c r="K2265" s="97">
        <v>0</v>
      </c>
      <c r="M2265" s="7">
        <f t="shared" si="384"/>
        <v>0</v>
      </c>
      <c r="N2265" s="7">
        <f t="shared" si="391"/>
        <v>0</v>
      </c>
      <c r="O2265" s="7">
        <f t="shared" si="390"/>
        <v>10000</v>
      </c>
      <c r="P2265" s="99">
        <f t="shared" si="385"/>
        <v>7.0696359137504422E-4</v>
      </c>
      <c r="Q2265" s="99">
        <f t="shared" si="392"/>
        <v>1.5033702634048244E-2</v>
      </c>
      <c r="S2265" s="7">
        <f t="shared" si="386"/>
        <v>15570500.000000002</v>
      </c>
      <c r="V2265" s="7">
        <f t="shared" si="387"/>
        <v>0</v>
      </c>
      <c r="W2265" s="7">
        <f t="shared" si="388"/>
        <v>0</v>
      </c>
      <c r="X2265" s="7">
        <f t="shared" si="389"/>
        <v>0</v>
      </c>
    </row>
    <row r="2266" spans="1:24">
      <c r="A2266">
        <v>2265</v>
      </c>
      <c r="B2266" s="96" t="s">
        <v>1338</v>
      </c>
      <c r="C2266" s="95">
        <v>43079</v>
      </c>
      <c r="D2266" s="82">
        <v>14180000</v>
      </c>
      <c r="E2266" s="82">
        <v>14045000</v>
      </c>
      <c r="F2266" s="82">
        <v>14250000</v>
      </c>
      <c r="G2266" s="82">
        <v>14087000</v>
      </c>
      <c r="I2266" s="98">
        <v>0</v>
      </c>
      <c r="J2266" s="98">
        <v>0</v>
      </c>
      <c r="K2266" s="98">
        <v>0</v>
      </c>
      <c r="M2266" s="7">
        <f t="shared" si="384"/>
        <v>0</v>
      </c>
      <c r="N2266" s="7">
        <f t="shared" si="391"/>
        <v>0</v>
      </c>
      <c r="O2266" s="7">
        <f t="shared" si="390"/>
        <v>-68000</v>
      </c>
      <c r="P2266" s="99">
        <f t="shared" si="385"/>
        <v>-4.8039561992228898E-3</v>
      </c>
      <c r="Q2266" s="99">
        <f t="shared" si="392"/>
        <v>1.5955905140619155E-2</v>
      </c>
      <c r="S2266" s="7">
        <f t="shared" si="386"/>
        <v>15495700.000000002</v>
      </c>
      <c r="V2266" s="7">
        <f t="shared" si="387"/>
        <v>0</v>
      </c>
      <c r="W2266" s="7">
        <f t="shared" si="388"/>
        <v>0</v>
      </c>
      <c r="X2266" s="7">
        <f t="shared" si="389"/>
        <v>0</v>
      </c>
    </row>
    <row r="2267" spans="1:24">
      <c r="A2267">
        <v>2266</v>
      </c>
      <c r="B2267" s="96" t="s">
        <v>1337</v>
      </c>
      <c r="C2267" s="95">
        <v>43080</v>
      </c>
      <c r="D2267" s="82">
        <v>14095000</v>
      </c>
      <c r="E2267" s="82">
        <v>14072000</v>
      </c>
      <c r="F2267" s="82">
        <v>14195000</v>
      </c>
      <c r="G2267" s="82">
        <v>14127000</v>
      </c>
      <c r="I2267" s="82">
        <f>G2267*1.1</f>
        <v>15539700.000000002</v>
      </c>
      <c r="J2267" s="82">
        <f>G2267/3</f>
        <v>4709000</v>
      </c>
      <c r="K2267" s="7">
        <f>G2535</f>
        <v>0</v>
      </c>
      <c r="L2267" s="7">
        <f>K2267-I2267</f>
        <v>-15539700.000000002</v>
      </c>
      <c r="M2267" s="7">
        <f t="shared" si="384"/>
        <v>588625</v>
      </c>
      <c r="N2267" s="7">
        <f t="shared" si="391"/>
        <v>-14951075.000000002</v>
      </c>
      <c r="O2267" s="7">
        <f t="shared" si="390"/>
        <v>40000</v>
      </c>
      <c r="P2267" s="99">
        <f t="shared" si="385"/>
        <v>2.8394974089586142E-3</v>
      </c>
      <c r="Q2267" s="99">
        <f t="shared" si="392"/>
        <v>-1.202709662731561E-2</v>
      </c>
      <c r="R2267">
        <v>1</v>
      </c>
      <c r="S2267" s="7">
        <f t="shared" si="386"/>
        <v>15539700.000000002</v>
      </c>
      <c r="V2267" s="7">
        <f t="shared" si="387"/>
        <v>-15539700.000000002</v>
      </c>
      <c r="W2267" s="7">
        <f t="shared" si="388"/>
        <v>0</v>
      </c>
      <c r="X2267" s="7">
        <f t="shared" si="389"/>
        <v>-15539700.000000002</v>
      </c>
    </row>
    <row r="2268" spans="1:24">
      <c r="A2268">
        <v>2267</v>
      </c>
      <c r="B2268" s="96" t="s">
        <v>1336</v>
      </c>
      <c r="C2268" s="95">
        <v>43081</v>
      </c>
      <c r="D2268" s="82">
        <v>14117000</v>
      </c>
      <c r="E2268" s="82">
        <v>14074000</v>
      </c>
      <c r="F2268" s="82">
        <v>14177000</v>
      </c>
      <c r="G2268" s="82">
        <v>14104000</v>
      </c>
      <c r="I2268" s="97">
        <v>0</v>
      </c>
      <c r="J2268" s="97">
        <v>0</v>
      </c>
      <c r="K2268" s="97">
        <v>0</v>
      </c>
      <c r="M2268" s="7">
        <f t="shared" si="384"/>
        <v>0</v>
      </c>
      <c r="N2268" s="7">
        <f t="shared" si="391"/>
        <v>0</v>
      </c>
      <c r="O2268" s="7">
        <f t="shared" si="390"/>
        <v>-23000</v>
      </c>
      <c r="P2268" s="99">
        <f t="shared" si="385"/>
        <v>-1.6280880583280242E-3</v>
      </c>
      <c r="Q2268" s="99">
        <f t="shared" si="392"/>
        <v>-1.9635846300556916E-3</v>
      </c>
      <c r="S2268" s="7">
        <f t="shared" si="386"/>
        <v>15514400.000000002</v>
      </c>
      <c r="V2268" s="7">
        <f t="shared" si="387"/>
        <v>0</v>
      </c>
      <c r="W2268" s="7">
        <f t="shared" si="388"/>
        <v>0</v>
      </c>
      <c r="X2268" s="7">
        <f t="shared" si="389"/>
        <v>0</v>
      </c>
    </row>
    <row r="2269" spans="1:24">
      <c r="A2269">
        <v>2268</v>
      </c>
      <c r="B2269" s="96" t="s">
        <v>1335</v>
      </c>
      <c r="C2269" s="95">
        <v>43082</v>
      </c>
      <c r="D2269" s="82">
        <v>14129000</v>
      </c>
      <c r="E2269" s="82">
        <v>14095000</v>
      </c>
      <c r="F2269" s="82">
        <v>14150000</v>
      </c>
      <c r="G2269" s="82">
        <v>14120000</v>
      </c>
      <c r="I2269" s="97">
        <v>0</v>
      </c>
      <c r="J2269" s="97">
        <v>0</v>
      </c>
      <c r="K2269" s="97">
        <v>0</v>
      </c>
      <c r="M2269" s="7">
        <f t="shared" si="384"/>
        <v>0</v>
      </c>
      <c r="N2269" s="7">
        <f t="shared" si="391"/>
        <v>0</v>
      </c>
      <c r="O2269" s="7">
        <f t="shared" si="390"/>
        <v>16000</v>
      </c>
      <c r="P2269" s="99">
        <f t="shared" si="385"/>
        <v>1.1344299489506524E-3</v>
      </c>
      <c r="Q2269" s="99">
        <f t="shared" si="392"/>
        <v>-2.5319764679669022E-3</v>
      </c>
      <c r="S2269" s="7">
        <f t="shared" si="386"/>
        <v>15532000.000000002</v>
      </c>
      <c r="V2269" s="7">
        <f t="shared" si="387"/>
        <v>0</v>
      </c>
      <c r="W2269" s="7">
        <f t="shared" si="388"/>
        <v>0</v>
      </c>
      <c r="X2269" s="7">
        <f t="shared" si="389"/>
        <v>0</v>
      </c>
    </row>
    <row r="2270" spans="1:24">
      <c r="A2270">
        <v>2269</v>
      </c>
      <c r="B2270" s="96" t="s">
        <v>1334</v>
      </c>
      <c r="C2270" s="95">
        <v>43083</v>
      </c>
      <c r="D2270" s="82">
        <v>14155000</v>
      </c>
      <c r="E2270" s="82">
        <v>14102000</v>
      </c>
      <c r="F2270" s="82">
        <v>14170000</v>
      </c>
      <c r="G2270" s="82">
        <v>14117000</v>
      </c>
      <c r="I2270" s="97">
        <v>0</v>
      </c>
      <c r="J2270" s="97">
        <v>0</v>
      </c>
      <c r="K2270" s="97">
        <v>0</v>
      </c>
      <c r="M2270" s="7">
        <f t="shared" si="384"/>
        <v>0</v>
      </c>
      <c r="N2270" s="7">
        <f t="shared" si="391"/>
        <v>0</v>
      </c>
      <c r="O2270" s="7">
        <f t="shared" si="390"/>
        <v>-3000</v>
      </c>
      <c r="P2270" s="99">
        <f t="shared" si="385"/>
        <v>-2.1246458923512748E-4</v>
      </c>
      <c r="Q2270" s="99">
        <f t="shared" si="392"/>
        <v>-1.7511533082666035E-3</v>
      </c>
      <c r="S2270" s="7">
        <f t="shared" si="386"/>
        <v>15528700.000000002</v>
      </c>
      <c r="V2270" s="7">
        <f t="shared" si="387"/>
        <v>0</v>
      </c>
      <c r="W2270" s="7">
        <f t="shared" si="388"/>
        <v>0</v>
      </c>
      <c r="X2270" s="7">
        <f t="shared" si="389"/>
        <v>0</v>
      </c>
    </row>
    <row r="2271" spans="1:24">
      <c r="A2271">
        <v>2270</v>
      </c>
      <c r="B2271" s="96" t="s">
        <v>1333</v>
      </c>
      <c r="C2271" s="95">
        <v>43085</v>
      </c>
      <c r="D2271" s="82">
        <v>14122000</v>
      </c>
      <c r="E2271" s="82">
        <v>13952000</v>
      </c>
      <c r="F2271" s="82">
        <v>14137000</v>
      </c>
      <c r="G2271" s="82">
        <v>13997000</v>
      </c>
      <c r="I2271" s="98">
        <v>0</v>
      </c>
      <c r="J2271" s="98">
        <v>0</v>
      </c>
      <c r="K2271" s="98">
        <v>0</v>
      </c>
      <c r="M2271" s="7">
        <f t="shared" si="384"/>
        <v>0</v>
      </c>
      <c r="N2271" s="7">
        <f t="shared" si="391"/>
        <v>0</v>
      </c>
      <c r="O2271" s="7">
        <f t="shared" si="390"/>
        <v>-120000</v>
      </c>
      <c r="P2271" s="99">
        <f t="shared" si="385"/>
        <v>-8.5003896011900549E-3</v>
      </c>
      <c r="Q2271" s="99">
        <f t="shared" si="392"/>
        <v>-2.670581488876775E-3</v>
      </c>
      <c r="S2271" s="7">
        <f t="shared" si="386"/>
        <v>15396700.000000002</v>
      </c>
      <c r="V2271" s="7">
        <f t="shared" si="387"/>
        <v>0</v>
      </c>
      <c r="W2271" s="7">
        <f t="shared" si="388"/>
        <v>0</v>
      </c>
      <c r="X2271" s="7">
        <f t="shared" si="389"/>
        <v>0</v>
      </c>
    </row>
    <row r="2272" spans="1:24">
      <c r="A2272">
        <v>2271</v>
      </c>
      <c r="B2272" s="96" t="s">
        <v>1332</v>
      </c>
      <c r="C2272" s="95">
        <v>43086</v>
      </c>
      <c r="D2272" s="82">
        <v>13982000</v>
      </c>
      <c r="E2272" s="82">
        <v>13827000</v>
      </c>
      <c r="F2272" s="82">
        <v>13990000</v>
      </c>
      <c r="G2272" s="82">
        <v>13847000</v>
      </c>
      <c r="I2272" s="82">
        <f>G2272*1.1</f>
        <v>15231700.000000002</v>
      </c>
      <c r="J2272" s="82">
        <f>G2272/3</f>
        <v>4615666.666666667</v>
      </c>
      <c r="K2272" s="7">
        <f>G2540</f>
        <v>0</v>
      </c>
      <c r="L2272" s="7">
        <f>K2272-I2272</f>
        <v>-15231700.000000002</v>
      </c>
      <c r="M2272" s="7">
        <f t="shared" si="384"/>
        <v>576958.33333333337</v>
      </c>
      <c r="N2272" s="7">
        <f t="shared" si="391"/>
        <v>-14654741.666666668</v>
      </c>
      <c r="O2272" s="7">
        <f t="shared" si="390"/>
        <v>-150000</v>
      </c>
      <c r="P2272" s="99">
        <f t="shared" si="385"/>
        <v>-1.0716582124741017E-2</v>
      </c>
      <c r="Q2272" s="99">
        <f t="shared" si="392"/>
        <v>-6.3670148908439401E-3</v>
      </c>
      <c r="R2272">
        <v>1</v>
      </c>
      <c r="S2272" s="7">
        <f t="shared" si="386"/>
        <v>15231700.000000002</v>
      </c>
      <c r="V2272" s="7">
        <f t="shared" si="387"/>
        <v>-15231700.000000002</v>
      </c>
      <c r="W2272" s="7">
        <f t="shared" si="388"/>
        <v>0</v>
      </c>
      <c r="X2272" s="7">
        <f t="shared" si="389"/>
        <v>-15231700.000000002</v>
      </c>
    </row>
    <row r="2273" spans="1:24">
      <c r="A2273">
        <v>2272</v>
      </c>
      <c r="B2273" s="96" t="s">
        <v>1331</v>
      </c>
      <c r="C2273" s="95">
        <v>43087</v>
      </c>
      <c r="D2273" s="82">
        <v>13850000</v>
      </c>
      <c r="E2273" s="82">
        <v>13850000</v>
      </c>
      <c r="F2273" s="82">
        <v>13967000</v>
      </c>
      <c r="G2273" s="82">
        <v>13927000</v>
      </c>
      <c r="I2273" s="97">
        <v>0</v>
      </c>
      <c r="J2273" s="97">
        <v>0</v>
      </c>
      <c r="K2273" s="97">
        <v>0</v>
      </c>
      <c r="M2273" s="7">
        <f t="shared" si="384"/>
        <v>0</v>
      </c>
      <c r="N2273" s="7">
        <f t="shared" si="391"/>
        <v>0</v>
      </c>
      <c r="O2273" s="7">
        <f t="shared" si="390"/>
        <v>80000</v>
      </c>
      <c r="P2273" s="99">
        <f t="shared" si="385"/>
        <v>5.7774247129342097E-3</v>
      </c>
      <c r="Q2273" s="99">
        <f t="shared" si="392"/>
        <v>-1.9923094424543569E-2</v>
      </c>
      <c r="S2273" s="7">
        <f t="shared" si="386"/>
        <v>15319700.000000002</v>
      </c>
      <c r="V2273" s="7">
        <f t="shared" si="387"/>
        <v>0</v>
      </c>
      <c r="W2273" s="7">
        <f t="shared" si="388"/>
        <v>0</v>
      </c>
      <c r="X2273" s="7">
        <f t="shared" si="389"/>
        <v>0</v>
      </c>
    </row>
    <row r="2274" spans="1:24">
      <c r="A2274">
        <v>2273</v>
      </c>
      <c r="B2274" s="96" t="s">
        <v>1330</v>
      </c>
      <c r="C2274" s="95">
        <v>43088</v>
      </c>
      <c r="D2274" s="82">
        <v>13942000</v>
      </c>
      <c r="E2274" s="82">
        <v>13875000</v>
      </c>
      <c r="F2274" s="82">
        <v>13974000</v>
      </c>
      <c r="G2274" s="82">
        <v>13880000</v>
      </c>
      <c r="I2274" s="97">
        <v>0</v>
      </c>
      <c r="J2274" s="97">
        <v>0</v>
      </c>
      <c r="K2274" s="97">
        <v>0</v>
      </c>
      <c r="M2274" s="7">
        <f t="shared" si="384"/>
        <v>0</v>
      </c>
      <c r="N2274" s="7">
        <f t="shared" si="391"/>
        <v>0</v>
      </c>
      <c r="O2274" s="7">
        <f t="shared" si="390"/>
        <v>-47000</v>
      </c>
      <c r="P2274" s="99">
        <f t="shared" si="385"/>
        <v>-3.3747397142241688E-3</v>
      </c>
      <c r="Q2274" s="99">
        <f t="shared" si="392"/>
        <v>-1.2517581653281337E-2</v>
      </c>
      <c r="S2274" s="7">
        <f t="shared" si="386"/>
        <v>15268000.000000002</v>
      </c>
      <c r="V2274" s="7">
        <f t="shared" si="387"/>
        <v>0</v>
      </c>
      <c r="W2274" s="7">
        <f t="shared" si="388"/>
        <v>0</v>
      </c>
      <c r="X2274" s="7">
        <f t="shared" si="389"/>
        <v>0</v>
      </c>
    </row>
    <row r="2275" spans="1:24">
      <c r="A2275">
        <v>2274</v>
      </c>
      <c r="B2275" s="96" t="s">
        <v>1329</v>
      </c>
      <c r="C2275" s="95">
        <v>43089</v>
      </c>
      <c r="D2275" s="82">
        <v>13915000</v>
      </c>
      <c r="E2275" s="82">
        <v>13875000</v>
      </c>
      <c r="F2275" s="82">
        <v>13945000</v>
      </c>
      <c r="G2275" s="82">
        <v>13920000</v>
      </c>
      <c r="I2275" s="97">
        <v>0</v>
      </c>
      <c r="J2275" s="97">
        <v>0</v>
      </c>
      <c r="K2275" s="97">
        <v>0</v>
      </c>
      <c r="M2275" s="7">
        <f t="shared" si="384"/>
        <v>0</v>
      </c>
      <c r="N2275" s="7">
        <f t="shared" si="391"/>
        <v>0</v>
      </c>
      <c r="O2275" s="7">
        <f t="shared" si="390"/>
        <v>40000</v>
      </c>
      <c r="P2275" s="99">
        <f t="shared" si="385"/>
        <v>2.881844380403458E-3</v>
      </c>
      <c r="Q2275" s="99">
        <f t="shared" si="392"/>
        <v>-1.702675131645616E-2</v>
      </c>
      <c r="S2275" s="7">
        <f t="shared" si="386"/>
        <v>15312000.000000002</v>
      </c>
      <c r="V2275" s="7">
        <f t="shared" si="387"/>
        <v>0</v>
      </c>
      <c r="W2275" s="7">
        <f t="shared" si="388"/>
        <v>0</v>
      </c>
      <c r="X2275" s="7">
        <f t="shared" si="389"/>
        <v>0</v>
      </c>
    </row>
    <row r="2276" spans="1:24">
      <c r="A2276">
        <v>2275</v>
      </c>
      <c r="B2276" s="96" t="s">
        <v>1328</v>
      </c>
      <c r="C2276" s="95">
        <v>43090</v>
      </c>
      <c r="D2276" s="82">
        <v>13905000</v>
      </c>
      <c r="E2276" s="82">
        <v>13897000</v>
      </c>
      <c r="F2276" s="82">
        <v>13955000</v>
      </c>
      <c r="G2276" s="82">
        <v>13915000</v>
      </c>
      <c r="I2276" s="98">
        <v>0</v>
      </c>
      <c r="J2276" s="98">
        <v>0</v>
      </c>
      <c r="K2276" s="98">
        <v>0</v>
      </c>
      <c r="M2276" s="7">
        <f t="shared" si="384"/>
        <v>0</v>
      </c>
      <c r="N2276" s="7">
        <f t="shared" si="391"/>
        <v>0</v>
      </c>
      <c r="O2276" s="7">
        <f t="shared" si="390"/>
        <v>-5000</v>
      </c>
      <c r="P2276" s="99">
        <f t="shared" si="385"/>
        <v>-3.5919540229885057E-4</v>
      </c>
      <c r="Q2276" s="99">
        <f t="shared" si="392"/>
        <v>-1.3932442346817573E-2</v>
      </c>
      <c r="S2276" s="7">
        <f t="shared" si="386"/>
        <v>15306500.000000002</v>
      </c>
      <c r="V2276" s="7">
        <f t="shared" si="387"/>
        <v>0</v>
      </c>
      <c r="W2276" s="7">
        <f t="shared" si="388"/>
        <v>0</v>
      </c>
      <c r="X2276" s="7">
        <f t="shared" si="389"/>
        <v>0</v>
      </c>
    </row>
    <row r="2277" spans="1:24">
      <c r="A2277">
        <v>2276</v>
      </c>
      <c r="B2277" s="96" t="s">
        <v>1327</v>
      </c>
      <c r="C2277" s="95">
        <v>43092</v>
      </c>
      <c r="D2277" s="82">
        <v>13950000</v>
      </c>
      <c r="E2277" s="82">
        <v>13924000</v>
      </c>
      <c r="F2277" s="82">
        <v>13990000</v>
      </c>
      <c r="G2277" s="82">
        <v>13955000</v>
      </c>
      <c r="I2277" s="82">
        <f>G2277*1.1</f>
        <v>15350500.000000002</v>
      </c>
      <c r="J2277" s="82">
        <f>G2277/3</f>
        <v>4651666.666666667</v>
      </c>
      <c r="K2277" s="7">
        <f>G2545</f>
        <v>0</v>
      </c>
      <c r="L2277" s="7">
        <f>K2277-I2277</f>
        <v>-15350500.000000002</v>
      </c>
      <c r="M2277" s="7">
        <f t="shared" si="384"/>
        <v>581458.33333333337</v>
      </c>
      <c r="N2277" s="7">
        <f t="shared" si="391"/>
        <v>-14769041.666666668</v>
      </c>
      <c r="O2277" s="7">
        <f t="shared" si="390"/>
        <v>40000</v>
      </c>
      <c r="P2277" s="99">
        <f t="shared" si="385"/>
        <v>2.8745957599712541E-3</v>
      </c>
      <c r="Q2277" s="99">
        <f t="shared" si="392"/>
        <v>-5.7912481479263679E-3</v>
      </c>
      <c r="R2277">
        <v>1</v>
      </c>
      <c r="S2277" s="7">
        <f t="shared" si="386"/>
        <v>15350500.000000002</v>
      </c>
      <c r="V2277" s="7">
        <f t="shared" si="387"/>
        <v>-15350500.000000002</v>
      </c>
      <c r="W2277" s="7">
        <f t="shared" si="388"/>
        <v>0</v>
      </c>
      <c r="X2277" s="7">
        <f t="shared" si="389"/>
        <v>-15350500.000000002</v>
      </c>
    </row>
    <row r="2278" spans="1:24">
      <c r="A2278">
        <v>2277</v>
      </c>
      <c r="B2278" s="96" t="s">
        <v>1326</v>
      </c>
      <c r="C2278" s="95">
        <v>43093</v>
      </c>
      <c r="D2278" s="82">
        <v>13962000</v>
      </c>
      <c r="E2278" s="82">
        <v>13947000</v>
      </c>
      <c r="F2278" s="82">
        <v>13990000</v>
      </c>
      <c r="G2278" s="82">
        <v>13960000</v>
      </c>
      <c r="I2278" s="97">
        <v>0</v>
      </c>
      <c r="J2278" s="97">
        <v>0</v>
      </c>
      <c r="K2278" s="97">
        <v>0</v>
      </c>
      <c r="M2278" s="7">
        <f t="shared" si="384"/>
        <v>0</v>
      </c>
      <c r="N2278" s="7">
        <f t="shared" si="391"/>
        <v>0</v>
      </c>
      <c r="O2278" s="7">
        <f t="shared" si="390"/>
        <v>5000</v>
      </c>
      <c r="P2278" s="99">
        <f t="shared" si="385"/>
        <v>3.5829451809387314E-4</v>
      </c>
      <c r="Q2278" s="99">
        <f t="shared" si="392"/>
        <v>7.7999297367859028E-3</v>
      </c>
      <c r="S2278" s="7">
        <f t="shared" si="386"/>
        <v>15356000.000000002</v>
      </c>
      <c r="V2278" s="7">
        <f t="shared" si="387"/>
        <v>0</v>
      </c>
      <c r="W2278" s="7">
        <f t="shared" si="388"/>
        <v>0</v>
      </c>
      <c r="X2278" s="7">
        <f t="shared" si="389"/>
        <v>0</v>
      </c>
    </row>
    <row r="2279" spans="1:24">
      <c r="A2279">
        <v>2278</v>
      </c>
      <c r="B2279" s="96" t="s">
        <v>1325</v>
      </c>
      <c r="C2279" s="95">
        <v>43094</v>
      </c>
      <c r="D2279" s="82">
        <v>13953000</v>
      </c>
      <c r="E2279" s="82">
        <v>13940000</v>
      </c>
      <c r="F2279" s="82">
        <v>13969000</v>
      </c>
      <c r="G2279" s="82">
        <v>13969000</v>
      </c>
      <c r="I2279" s="97">
        <v>0</v>
      </c>
      <c r="J2279" s="97">
        <v>0</v>
      </c>
      <c r="K2279" s="97">
        <v>0</v>
      </c>
      <c r="M2279" s="7">
        <f t="shared" si="384"/>
        <v>0</v>
      </c>
      <c r="N2279" s="7">
        <f t="shared" si="391"/>
        <v>0</v>
      </c>
      <c r="O2279" s="7">
        <f t="shared" si="390"/>
        <v>9000</v>
      </c>
      <c r="P2279" s="99">
        <f t="shared" si="385"/>
        <v>6.446991404011461E-4</v>
      </c>
      <c r="Q2279" s="99">
        <f t="shared" si="392"/>
        <v>2.380799541945566E-3</v>
      </c>
      <c r="S2279" s="7">
        <f t="shared" si="386"/>
        <v>15365900.000000002</v>
      </c>
      <c r="V2279" s="7">
        <f t="shared" si="387"/>
        <v>0</v>
      </c>
      <c r="W2279" s="7">
        <f t="shared" si="388"/>
        <v>0</v>
      </c>
      <c r="X2279" s="7">
        <f t="shared" si="389"/>
        <v>0</v>
      </c>
    </row>
    <row r="2280" spans="1:24">
      <c r="A2280">
        <v>2279</v>
      </c>
      <c r="B2280" s="96" t="s">
        <v>1324</v>
      </c>
      <c r="C2280" s="95">
        <v>43095</v>
      </c>
      <c r="D2280" s="82">
        <v>13972000</v>
      </c>
      <c r="E2280" s="82">
        <v>13972000</v>
      </c>
      <c r="F2280" s="82">
        <v>14048000</v>
      </c>
      <c r="G2280" s="82">
        <v>14043000</v>
      </c>
      <c r="I2280" s="97">
        <v>0</v>
      </c>
      <c r="J2280" s="97">
        <v>0</v>
      </c>
      <c r="K2280" s="97">
        <v>0</v>
      </c>
      <c r="M2280" s="7">
        <f t="shared" si="384"/>
        <v>0</v>
      </c>
      <c r="N2280" s="7">
        <f t="shared" si="391"/>
        <v>0</v>
      </c>
      <c r="O2280" s="7">
        <f t="shared" si="390"/>
        <v>74000</v>
      </c>
      <c r="P2280" s="99">
        <f t="shared" si="385"/>
        <v>5.2974443410408762E-3</v>
      </c>
      <c r="Q2280" s="99">
        <f t="shared" si="392"/>
        <v>6.4002383965708802E-3</v>
      </c>
      <c r="S2280" s="7">
        <f t="shared" si="386"/>
        <v>15447300.000000002</v>
      </c>
      <c r="V2280" s="7">
        <f t="shared" si="387"/>
        <v>0</v>
      </c>
      <c r="W2280" s="7">
        <f t="shared" si="388"/>
        <v>0</v>
      </c>
      <c r="X2280" s="7">
        <f t="shared" si="389"/>
        <v>0</v>
      </c>
    </row>
    <row r="2281" spans="1:24">
      <c r="A2281">
        <v>2280</v>
      </c>
      <c r="B2281" s="96" t="s">
        <v>1323</v>
      </c>
      <c r="C2281" s="95">
        <v>43096</v>
      </c>
      <c r="D2281" s="82">
        <v>14078000</v>
      </c>
      <c r="E2281" s="82">
        <v>14068000</v>
      </c>
      <c r="F2281" s="82">
        <v>14153000</v>
      </c>
      <c r="G2281" s="82">
        <v>14113000</v>
      </c>
      <c r="I2281" s="98">
        <v>0</v>
      </c>
      <c r="J2281" s="98">
        <v>0</v>
      </c>
      <c r="K2281" s="98">
        <v>0</v>
      </c>
      <c r="M2281" s="7">
        <f t="shared" si="384"/>
        <v>0</v>
      </c>
      <c r="N2281" s="7">
        <f t="shared" si="391"/>
        <v>0</v>
      </c>
      <c r="O2281" s="7">
        <f t="shared" si="390"/>
        <v>70000</v>
      </c>
      <c r="P2281" s="99">
        <f t="shared" si="385"/>
        <v>4.9846898810795414E-3</v>
      </c>
      <c r="Q2281" s="99">
        <f t="shared" si="392"/>
        <v>8.8158383572082989E-3</v>
      </c>
      <c r="S2281" s="7">
        <f t="shared" si="386"/>
        <v>15524300.000000002</v>
      </c>
      <c r="V2281" s="7">
        <f t="shared" si="387"/>
        <v>0</v>
      </c>
      <c r="W2281" s="7">
        <f t="shared" si="388"/>
        <v>0</v>
      </c>
      <c r="X2281" s="7">
        <f t="shared" si="389"/>
        <v>0</v>
      </c>
    </row>
    <row r="2282" spans="1:24">
      <c r="A2282">
        <v>2281</v>
      </c>
      <c r="B2282" s="96" t="s">
        <v>1322</v>
      </c>
      <c r="C2282" s="95">
        <v>43097</v>
      </c>
      <c r="D2282" s="82">
        <v>14125000</v>
      </c>
      <c r="E2282" s="82">
        <v>14108000</v>
      </c>
      <c r="F2282" s="82">
        <v>14161000</v>
      </c>
      <c r="G2282" s="82">
        <v>14148000</v>
      </c>
      <c r="I2282" s="82">
        <f>G2282*1.1</f>
        <v>15562800.000000002</v>
      </c>
      <c r="J2282" s="82">
        <f>G2282/3</f>
        <v>4716000</v>
      </c>
      <c r="K2282" s="7">
        <f>G2550</f>
        <v>0</v>
      </c>
      <c r="L2282" s="7">
        <f>K2282-I2282</f>
        <v>-15562800.000000002</v>
      </c>
      <c r="M2282" s="7">
        <f t="shared" si="384"/>
        <v>589500</v>
      </c>
      <c r="N2282" s="7">
        <f t="shared" si="391"/>
        <v>-14973300.000000002</v>
      </c>
      <c r="O2282" s="7">
        <f t="shared" si="390"/>
        <v>35000</v>
      </c>
      <c r="P2282" s="99">
        <f t="shared" si="385"/>
        <v>2.4799829944023243E-3</v>
      </c>
      <c r="Q2282" s="99">
        <f t="shared" si="392"/>
        <v>1.4159723640586692E-2</v>
      </c>
      <c r="R2282">
        <v>1</v>
      </c>
      <c r="S2282" s="7">
        <f t="shared" si="386"/>
        <v>15562800.000000002</v>
      </c>
      <c r="V2282" s="7">
        <f t="shared" si="387"/>
        <v>-15562800.000000002</v>
      </c>
      <c r="W2282" s="7">
        <f t="shared" si="388"/>
        <v>0</v>
      </c>
      <c r="X2282" s="7">
        <f t="shared" si="389"/>
        <v>-15562800.000000002</v>
      </c>
    </row>
    <row r="2283" spans="1:24">
      <c r="A2283">
        <v>2282</v>
      </c>
      <c r="B2283" s="96" t="s">
        <v>1321</v>
      </c>
      <c r="C2283" s="95">
        <v>43099</v>
      </c>
      <c r="D2283" s="82">
        <v>14213000</v>
      </c>
      <c r="E2283" s="82">
        <v>14175000</v>
      </c>
      <c r="F2283" s="82">
        <v>14469000</v>
      </c>
      <c r="G2283" s="82">
        <v>14434000</v>
      </c>
      <c r="I2283" s="97">
        <v>0</v>
      </c>
      <c r="J2283" s="97">
        <v>0</v>
      </c>
      <c r="K2283" s="97">
        <v>0</v>
      </c>
      <c r="M2283" s="7">
        <f t="shared" si="384"/>
        <v>0</v>
      </c>
      <c r="N2283" s="7">
        <f t="shared" si="391"/>
        <v>0</v>
      </c>
      <c r="O2283" s="7">
        <f t="shared" si="390"/>
        <v>286000</v>
      </c>
      <c r="P2283" s="99">
        <f t="shared" si="385"/>
        <v>2.0214871359909528E-2</v>
      </c>
      <c r="Q2283" s="99">
        <f t="shared" si="392"/>
        <v>1.3765110875017762E-2</v>
      </c>
      <c r="S2283" s="7">
        <f t="shared" si="386"/>
        <v>15877400.000000002</v>
      </c>
      <c r="V2283" s="7">
        <f t="shared" si="387"/>
        <v>0</v>
      </c>
      <c r="W2283" s="7">
        <f t="shared" si="388"/>
        <v>0</v>
      </c>
      <c r="X2283" s="7">
        <f t="shared" si="389"/>
        <v>0</v>
      </c>
    </row>
    <row r="2284" spans="1:24">
      <c r="A2284">
        <v>2283</v>
      </c>
      <c r="B2284" s="96" t="s">
        <v>1320</v>
      </c>
      <c r="C2284" s="95">
        <v>43100</v>
      </c>
      <c r="D2284" s="82">
        <v>14474000</v>
      </c>
      <c r="E2284" s="82">
        <v>14315000</v>
      </c>
      <c r="F2284" s="82">
        <v>14650000</v>
      </c>
      <c r="G2284" s="82">
        <v>14500000</v>
      </c>
      <c r="I2284" s="97">
        <v>0</v>
      </c>
      <c r="J2284" s="97">
        <v>0</v>
      </c>
      <c r="K2284" s="97">
        <v>0</v>
      </c>
      <c r="M2284" s="7">
        <f t="shared" si="384"/>
        <v>0</v>
      </c>
      <c r="N2284" s="7">
        <f t="shared" si="391"/>
        <v>0</v>
      </c>
      <c r="O2284" s="7">
        <f t="shared" si="390"/>
        <v>66000</v>
      </c>
      <c r="P2284" s="99">
        <f t="shared" si="385"/>
        <v>4.5725370652625746E-3</v>
      </c>
      <c r="Q2284" s="99">
        <f t="shared" si="392"/>
        <v>3.3621687716833416E-2</v>
      </c>
      <c r="S2284" s="7">
        <f t="shared" si="386"/>
        <v>15950000.000000002</v>
      </c>
      <c r="V2284" s="7">
        <f t="shared" si="387"/>
        <v>0</v>
      </c>
      <c r="W2284" s="7">
        <f t="shared" si="388"/>
        <v>0</v>
      </c>
      <c r="X2284" s="7">
        <f t="shared" si="389"/>
        <v>0</v>
      </c>
    </row>
    <row r="2285" spans="1:24">
      <c r="A2285">
        <v>2284</v>
      </c>
      <c r="B2285" s="96" t="s">
        <v>1319</v>
      </c>
      <c r="C2285" s="95">
        <v>43101</v>
      </c>
      <c r="D2285" s="82">
        <v>14555000</v>
      </c>
      <c r="E2285" s="82">
        <v>14542500</v>
      </c>
      <c r="F2285" s="82">
        <v>14975000</v>
      </c>
      <c r="G2285" s="82">
        <v>14890000</v>
      </c>
      <c r="I2285" s="97">
        <v>0</v>
      </c>
      <c r="J2285" s="97">
        <v>0</v>
      </c>
      <c r="K2285" s="97">
        <v>0</v>
      </c>
      <c r="M2285" s="7">
        <f t="shared" si="384"/>
        <v>0</v>
      </c>
      <c r="N2285" s="7">
        <f t="shared" si="391"/>
        <v>0</v>
      </c>
      <c r="O2285" s="7">
        <f t="shared" si="390"/>
        <v>390000</v>
      </c>
      <c r="P2285" s="99">
        <f t="shared" si="385"/>
        <v>2.6896551724137931E-2</v>
      </c>
      <c r="Q2285" s="99">
        <f t="shared" si="392"/>
        <v>3.7549525641694843E-2</v>
      </c>
      <c r="S2285" s="7">
        <f t="shared" si="386"/>
        <v>16379000.000000002</v>
      </c>
      <c r="V2285" s="7">
        <f t="shared" si="387"/>
        <v>0</v>
      </c>
      <c r="W2285" s="7">
        <f t="shared" si="388"/>
        <v>0</v>
      </c>
      <c r="X2285" s="7">
        <f t="shared" si="389"/>
        <v>0</v>
      </c>
    </row>
    <row r="2286" spans="1:24">
      <c r="A2286">
        <v>2285</v>
      </c>
      <c r="B2286" s="96" t="s">
        <v>1318</v>
      </c>
      <c r="C2286" s="95">
        <v>43102</v>
      </c>
      <c r="D2286" s="82">
        <v>14855000</v>
      </c>
      <c r="E2286" s="82">
        <v>14805000</v>
      </c>
      <c r="F2286" s="82">
        <v>15030000</v>
      </c>
      <c r="G2286" s="82">
        <v>14907500</v>
      </c>
      <c r="I2286" s="98">
        <v>0</v>
      </c>
      <c r="J2286" s="98">
        <v>0</v>
      </c>
      <c r="K2286" s="98">
        <v>0</v>
      </c>
      <c r="M2286" s="7">
        <f t="shared" si="384"/>
        <v>0</v>
      </c>
      <c r="N2286" s="7">
        <f t="shared" si="391"/>
        <v>0</v>
      </c>
      <c r="O2286" s="7">
        <f t="shared" si="390"/>
        <v>17500</v>
      </c>
      <c r="P2286" s="99">
        <f t="shared" si="385"/>
        <v>1.1752854264607119E-3</v>
      </c>
      <c r="Q2286" s="99">
        <f t="shared" si="392"/>
        <v>5.9148633024791897E-2</v>
      </c>
      <c r="S2286" s="7">
        <f t="shared" si="386"/>
        <v>16398250.000000002</v>
      </c>
      <c r="V2286" s="7">
        <f t="shared" si="387"/>
        <v>0</v>
      </c>
      <c r="W2286" s="7">
        <f t="shared" si="388"/>
        <v>0</v>
      </c>
      <c r="X2286" s="7">
        <f t="shared" si="389"/>
        <v>0</v>
      </c>
    </row>
    <row r="2287" spans="1:24">
      <c r="A2287">
        <v>2286</v>
      </c>
      <c r="B2287" s="96" t="s">
        <v>1317</v>
      </c>
      <c r="C2287" s="95">
        <v>43103</v>
      </c>
      <c r="D2287" s="82">
        <v>14992500</v>
      </c>
      <c r="E2287" s="82">
        <v>14945000</v>
      </c>
      <c r="F2287" s="82">
        <v>15120000</v>
      </c>
      <c r="G2287" s="82">
        <v>15030000</v>
      </c>
      <c r="I2287" s="82">
        <f>G2287*1.1</f>
        <v>16533000.000000002</v>
      </c>
      <c r="J2287" s="82">
        <f>G2287/3</f>
        <v>5010000</v>
      </c>
      <c r="K2287" s="7">
        <f>G2555</f>
        <v>0</v>
      </c>
      <c r="L2287" s="7">
        <f>K2287-I2287</f>
        <v>-16533000.000000002</v>
      </c>
      <c r="M2287" s="7">
        <f t="shared" si="384"/>
        <v>626250</v>
      </c>
      <c r="N2287" s="7">
        <f t="shared" si="391"/>
        <v>-15906750.000000002</v>
      </c>
      <c r="O2287" s="7">
        <f t="shared" si="390"/>
        <v>122500</v>
      </c>
      <c r="P2287" s="99">
        <f t="shared" si="385"/>
        <v>8.2173402649672982E-3</v>
      </c>
      <c r="Q2287" s="99">
        <f t="shared" si="392"/>
        <v>5.5339228570173066E-2</v>
      </c>
      <c r="R2287">
        <v>1</v>
      </c>
      <c r="S2287" s="7">
        <f t="shared" si="386"/>
        <v>16533000.000000002</v>
      </c>
      <c r="V2287" s="7">
        <f t="shared" si="387"/>
        <v>-16533000.000000002</v>
      </c>
      <c r="W2287" s="7">
        <f t="shared" si="388"/>
        <v>0</v>
      </c>
      <c r="X2287" s="7">
        <f t="shared" si="389"/>
        <v>-16533000.000000002</v>
      </c>
    </row>
    <row r="2288" spans="1:24">
      <c r="A2288">
        <v>2287</v>
      </c>
      <c r="B2288" s="96" t="s">
        <v>1316</v>
      </c>
      <c r="C2288" s="95">
        <v>43104</v>
      </c>
      <c r="D2288" s="82">
        <v>15015000</v>
      </c>
      <c r="E2288" s="82">
        <v>14560000</v>
      </c>
      <c r="F2288" s="82">
        <v>15025000</v>
      </c>
      <c r="G2288" s="82">
        <v>14655000</v>
      </c>
      <c r="I2288" s="97">
        <v>0</v>
      </c>
      <c r="J2288" s="97">
        <v>0</v>
      </c>
      <c r="K2288" s="97">
        <v>0</v>
      </c>
      <c r="M2288" s="7">
        <f t="shared" si="384"/>
        <v>0</v>
      </c>
      <c r="N2288" s="7">
        <f t="shared" si="391"/>
        <v>0</v>
      </c>
      <c r="O2288" s="7">
        <f t="shared" si="390"/>
        <v>-375000</v>
      </c>
      <c r="P2288" s="99">
        <f t="shared" si="385"/>
        <v>-2.4950099800399202E-2</v>
      </c>
      <c r="Q2288" s="99">
        <f t="shared" si="392"/>
        <v>6.1076585840738051E-2</v>
      </c>
      <c r="S2288" s="7">
        <f t="shared" si="386"/>
        <v>16120500.000000002</v>
      </c>
      <c r="V2288" s="7">
        <f t="shared" si="387"/>
        <v>0</v>
      </c>
      <c r="W2288" s="7">
        <f t="shared" si="388"/>
        <v>0</v>
      </c>
      <c r="X2288" s="7">
        <f t="shared" si="389"/>
        <v>0</v>
      </c>
    </row>
    <row r="2289" spans="1:24">
      <c r="A2289">
        <v>2288</v>
      </c>
      <c r="B2289" s="96" t="s">
        <v>1315</v>
      </c>
      <c r="C2289" s="95">
        <v>43106</v>
      </c>
      <c r="D2289" s="82">
        <v>14635000</v>
      </c>
      <c r="E2289" s="82">
        <v>14575000</v>
      </c>
      <c r="F2289" s="82">
        <v>14785000</v>
      </c>
      <c r="G2289" s="82">
        <v>14725000</v>
      </c>
      <c r="I2289" s="97">
        <v>0</v>
      </c>
      <c r="J2289" s="97">
        <v>0</v>
      </c>
      <c r="K2289" s="97">
        <v>0</v>
      </c>
      <c r="M2289" s="7">
        <f t="shared" si="384"/>
        <v>0</v>
      </c>
      <c r="N2289" s="7">
        <f t="shared" si="391"/>
        <v>0</v>
      </c>
      <c r="O2289" s="7">
        <f t="shared" si="390"/>
        <v>70000</v>
      </c>
      <c r="P2289" s="99">
        <f t="shared" si="385"/>
        <v>4.7765267826680316E-3</v>
      </c>
      <c r="Q2289" s="99">
        <f t="shared" si="392"/>
        <v>1.5911614680429322E-2</v>
      </c>
      <c r="S2289" s="7">
        <f t="shared" si="386"/>
        <v>16197500.000000002</v>
      </c>
      <c r="V2289" s="7">
        <f t="shared" si="387"/>
        <v>0</v>
      </c>
      <c r="W2289" s="7">
        <f t="shared" si="388"/>
        <v>0</v>
      </c>
      <c r="X2289" s="7">
        <f t="shared" si="389"/>
        <v>0</v>
      </c>
    </row>
    <row r="2290" spans="1:24">
      <c r="A2290">
        <v>2289</v>
      </c>
      <c r="B2290" s="96" t="s">
        <v>1314</v>
      </c>
      <c r="C2290" s="95">
        <v>43107</v>
      </c>
      <c r="D2290" s="82">
        <v>14700000</v>
      </c>
      <c r="E2290" s="82">
        <v>14620000</v>
      </c>
      <c r="F2290" s="82">
        <v>14735000</v>
      </c>
      <c r="G2290" s="82">
        <v>14700000</v>
      </c>
      <c r="I2290" s="97">
        <v>0</v>
      </c>
      <c r="J2290" s="97">
        <v>0</v>
      </c>
      <c r="K2290" s="97">
        <v>0</v>
      </c>
      <c r="M2290" s="7">
        <f t="shared" si="384"/>
        <v>0</v>
      </c>
      <c r="N2290" s="7">
        <f t="shared" si="391"/>
        <v>0</v>
      </c>
      <c r="O2290" s="7">
        <f t="shared" si="390"/>
        <v>-25000</v>
      </c>
      <c r="P2290" s="99">
        <f t="shared" si="385"/>
        <v>-1.697792869269949E-3</v>
      </c>
      <c r="Q2290" s="99">
        <f t="shared" si="392"/>
        <v>1.6115604397834771E-2</v>
      </c>
      <c r="S2290" s="7">
        <f t="shared" si="386"/>
        <v>16170000.000000002</v>
      </c>
      <c r="V2290" s="7">
        <f t="shared" si="387"/>
        <v>0</v>
      </c>
      <c r="W2290" s="7">
        <f t="shared" si="388"/>
        <v>0</v>
      </c>
      <c r="X2290" s="7">
        <f t="shared" si="389"/>
        <v>0</v>
      </c>
    </row>
    <row r="2291" spans="1:24">
      <c r="A2291">
        <v>2290</v>
      </c>
      <c r="B2291" s="96" t="s">
        <v>1313</v>
      </c>
      <c r="C2291" s="95">
        <v>43108</v>
      </c>
      <c r="D2291" s="82">
        <v>14675000</v>
      </c>
      <c r="E2291" s="82">
        <v>14640000</v>
      </c>
      <c r="F2291" s="82">
        <v>14775000</v>
      </c>
      <c r="G2291" s="82">
        <v>14683000</v>
      </c>
      <c r="I2291" s="98">
        <v>0</v>
      </c>
      <c r="J2291" s="98">
        <v>0</v>
      </c>
      <c r="K2291" s="98">
        <v>0</v>
      </c>
      <c r="M2291" s="7">
        <f t="shared" si="384"/>
        <v>0</v>
      </c>
      <c r="N2291" s="7">
        <f t="shared" si="391"/>
        <v>0</v>
      </c>
      <c r="O2291" s="7">
        <f t="shared" si="390"/>
        <v>-17000</v>
      </c>
      <c r="P2291" s="99">
        <f t="shared" si="385"/>
        <v>-1.1564625850340137E-3</v>
      </c>
      <c r="Q2291" s="99">
        <f t="shared" si="392"/>
        <v>-1.247874019557311E-2</v>
      </c>
      <c r="S2291" s="7">
        <f t="shared" si="386"/>
        <v>16151300.000000002</v>
      </c>
      <c r="V2291" s="7">
        <f t="shared" si="387"/>
        <v>0</v>
      </c>
      <c r="W2291" s="7">
        <f t="shared" si="388"/>
        <v>0</v>
      </c>
      <c r="X2291" s="7">
        <f t="shared" si="389"/>
        <v>0</v>
      </c>
    </row>
    <row r="2292" spans="1:24">
      <c r="A2292">
        <v>2291</v>
      </c>
      <c r="B2292" s="96" t="s">
        <v>1306</v>
      </c>
      <c r="C2292" s="95">
        <v>43109</v>
      </c>
      <c r="D2292" s="82">
        <v>14703000</v>
      </c>
      <c r="E2292" s="82">
        <v>14643000</v>
      </c>
      <c r="F2292" s="82">
        <v>14715000</v>
      </c>
      <c r="G2292" s="82">
        <v>14700000</v>
      </c>
      <c r="I2292" s="82">
        <f>G2292*1.1</f>
        <v>16170000.000000002</v>
      </c>
      <c r="J2292" s="82">
        <f>G2292/3</f>
        <v>4900000</v>
      </c>
      <c r="K2292" s="7">
        <f>G2560</f>
        <v>0</v>
      </c>
      <c r="L2292" s="7">
        <f>K2292-I2292</f>
        <v>-16170000.000000002</v>
      </c>
      <c r="M2292" s="7">
        <f t="shared" si="384"/>
        <v>612500</v>
      </c>
      <c r="N2292" s="7">
        <f t="shared" si="391"/>
        <v>-15557500.000000002</v>
      </c>
      <c r="O2292" s="7">
        <f t="shared" si="390"/>
        <v>17000</v>
      </c>
      <c r="P2292" s="99">
        <f t="shared" si="385"/>
        <v>1.1578015391949875E-3</v>
      </c>
      <c r="Q2292" s="99">
        <f t="shared" si="392"/>
        <v>-1.4810488207067835E-2</v>
      </c>
      <c r="R2292">
        <v>1</v>
      </c>
      <c r="S2292" s="7">
        <f t="shared" si="386"/>
        <v>16170000.000000002</v>
      </c>
      <c r="V2292" s="7">
        <f t="shared" si="387"/>
        <v>-16170000.000000002</v>
      </c>
      <c r="W2292" s="7">
        <f t="shared" si="388"/>
        <v>0</v>
      </c>
      <c r="X2292" s="7">
        <f t="shared" si="389"/>
        <v>-16170000.000000002</v>
      </c>
    </row>
    <row r="2293" spans="1:24">
      <c r="A2293">
        <v>2292</v>
      </c>
      <c r="B2293" s="96" t="s">
        <v>1305</v>
      </c>
      <c r="C2293" s="95">
        <v>43110</v>
      </c>
      <c r="D2293" s="82">
        <v>14725000</v>
      </c>
      <c r="E2293" s="82">
        <v>14700000</v>
      </c>
      <c r="F2293" s="82">
        <v>14965000</v>
      </c>
      <c r="G2293" s="82">
        <v>14945000</v>
      </c>
      <c r="I2293" s="97">
        <v>0</v>
      </c>
      <c r="J2293" s="97">
        <v>0</v>
      </c>
      <c r="K2293" s="97">
        <v>0</v>
      </c>
      <c r="M2293" s="7">
        <f t="shared" si="384"/>
        <v>0</v>
      </c>
      <c r="N2293" s="7">
        <f t="shared" si="391"/>
        <v>0</v>
      </c>
      <c r="O2293" s="7">
        <f t="shared" si="390"/>
        <v>245000</v>
      </c>
      <c r="P2293" s="99">
        <f t="shared" si="385"/>
        <v>1.6666666666666666E-2</v>
      </c>
      <c r="Q2293" s="99">
        <f t="shared" si="392"/>
        <v>-2.1870026932840146E-2</v>
      </c>
      <c r="S2293" s="7">
        <f t="shared" si="386"/>
        <v>16439500.000000002</v>
      </c>
      <c r="V2293" s="7">
        <f t="shared" si="387"/>
        <v>0</v>
      </c>
      <c r="W2293" s="7">
        <f t="shared" si="388"/>
        <v>0</v>
      </c>
      <c r="X2293" s="7">
        <f t="shared" si="389"/>
        <v>0</v>
      </c>
    </row>
    <row r="2294" spans="1:24">
      <c r="A2294">
        <v>2293</v>
      </c>
      <c r="B2294" s="96" t="s">
        <v>1304</v>
      </c>
      <c r="C2294" s="95">
        <v>43111</v>
      </c>
      <c r="D2294" s="82">
        <v>14950000</v>
      </c>
      <c r="E2294" s="82">
        <v>14843000</v>
      </c>
      <c r="F2294" s="82">
        <v>15015000</v>
      </c>
      <c r="G2294" s="82">
        <v>14925000</v>
      </c>
      <c r="I2294" s="97">
        <v>0</v>
      </c>
      <c r="J2294" s="97">
        <v>0</v>
      </c>
      <c r="K2294" s="97">
        <v>0</v>
      </c>
      <c r="M2294" s="7">
        <f t="shared" si="384"/>
        <v>0</v>
      </c>
      <c r="N2294" s="7">
        <f t="shared" si="391"/>
        <v>0</v>
      </c>
      <c r="O2294" s="7">
        <f t="shared" si="390"/>
        <v>-20000</v>
      </c>
      <c r="P2294" s="99">
        <f t="shared" si="385"/>
        <v>-1.3382402141184342E-3</v>
      </c>
      <c r="Q2294" s="99">
        <f t="shared" si="392"/>
        <v>1.9746739534225722E-2</v>
      </c>
      <c r="S2294" s="7">
        <f t="shared" si="386"/>
        <v>16417500.000000002</v>
      </c>
      <c r="V2294" s="7">
        <f t="shared" si="387"/>
        <v>0</v>
      </c>
      <c r="W2294" s="7">
        <f t="shared" si="388"/>
        <v>0</v>
      </c>
      <c r="X2294" s="7">
        <f t="shared" si="389"/>
        <v>0</v>
      </c>
    </row>
    <row r="2295" spans="1:24">
      <c r="A2295">
        <v>2294</v>
      </c>
      <c r="B2295" s="96" t="s">
        <v>1303</v>
      </c>
      <c r="C2295" s="95">
        <v>43113</v>
      </c>
      <c r="D2295" s="82">
        <v>14850000</v>
      </c>
      <c r="E2295" s="82">
        <v>14815000</v>
      </c>
      <c r="F2295" s="82">
        <v>15040000</v>
      </c>
      <c r="G2295" s="82">
        <v>15015000</v>
      </c>
      <c r="I2295" s="97">
        <v>0</v>
      </c>
      <c r="J2295" s="97">
        <v>0</v>
      </c>
      <c r="K2295" s="97">
        <v>0</v>
      </c>
      <c r="M2295" s="7">
        <f t="shared" si="384"/>
        <v>0</v>
      </c>
      <c r="N2295" s="7">
        <f t="shared" si="391"/>
        <v>0</v>
      </c>
      <c r="O2295" s="7">
        <f t="shared" si="390"/>
        <v>90000</v>
      </c>
      <c r="P2295" s="99">
        <f t="shared" si="385"/>
        <v>6.030150753768844E-3</v>
      </c>
      <c r="Q2295" s="99">
        <f t="shared" si="392"/>
        <v>1.3631972537439257E-2</v>
      </c>
      <c r="S2295" s="7">
        <f t="shared" si="386"/>
        <v>16516500.000000002</v>
      </c>
      <c r="V2295" s="7">
        <f t="shared" si="387"/>
        <v>0</v>
      </c>
      <c r="W2295" s="7">
        <f t="shared" si="388"/>
        <v>0</v>
      </c>
      <c r="X2295" s="7">
        <f t="shared" si="389"/>
        <v>0</v>
      </c>
    </row>
    <row r="2296" spans="1:24">
      <c r="A2296">
        <v>2295</v>
      </c>
      <c r="B2296" s="96" t="s">
        <v>1302</v>
      </c>
      <c r="C2296" s="95">
        <v>43114</v>
      </c>
      <c r="D2296" s="82">
        <v>15020000</v>
      </c>
      <c r="E2296" s="82">
        <v>14827000</v>
      </c>
      <c r="F2296" s="82">
        <v>15107000</v>
      </c>
      <c r="G2296" s="82">
        <v>14877000</v>
      </c>
      <c r="I2296" s="98">
        <v>0</v>
      </c>
      <c r="J2296" s="98">
        <v>0</v>
      </c>
      <c r="K2296" s="98">
        <v>0</v>
      </c>
      <c r="M2296" s="7">
        <f t="shared" si="384"/>
        <v>0</v>
      </c>
      <c r="N2296" s="7">
        <f t="shared" si="391"/>
        <v>0</v>
      </c>
      <c r="O2296" s="7">
        <f t="shared" si="390"/>
        <v>-138000</v>
      </c>
      <c r="P2296" s="99">
        <f t="shared" si="385"/>
        <v>-9.1908091908091908E-3</v>
      </c>
      <c r="Q2296" s="99">
        <f t="shared" si="392"/>
        <v>2.1359916160478047E-2</v>
      </c>
      <c r="S2296" s="7">
        <f t="shared" si="386"/>
        <v>16364700.000000002</v>
      </c>
      <c r="V2296" s="7">
        <f t="shared" si="387"/>
        <v>0</v>
      </c>
      <c r="W2296" s="7">
        <f t="shared" si="388"/>
        <v>0</v>
      </c>
      <c r="X2296" s="7">
        <f t="shared" si="389"/>
        <v>0</v>
      </c>
    </row>
    <row r="2297" spans="1:24">
      <c r="A2297">
        <v>2296</v>
      </c>
      <c r="B2297" s="96" t="s">
        <v>1301</v>
      </c>
      <c r="C2297" s="95">
        <v>43115</v>
      </c>
      <c r="D2297" s="82">
        <v>14872000</v>
      </c>
      <c r="E2297" s="82">
        <v>14865000</v>
      </c>
      <c r="F2297" s="82">
        <v>14950000</v>
      </c>
      <c r="G2297" s="82">
        <v>14920000</v>
      </c>
      <c r="I2297" s="82">
        <f>G2297*1.1</f>
        <v>16412000.000000002</v>
      </c>
      <c r="J2297" s="82">
        <f>G2297/3</f>
        <v>4973333.333333333</v>
      </c>
      <c r="K2297" s="7">
        <f>G2565</f>
        <v>0</v>
      </c>
      <c r="L2297" s="7">
        <f>K2297-I2297</f>
        <v>-16412000.000000002</v>
      </c>
      <c r="M2297" s="7">
        <f t="shared" si="384"/>
        <v>621666.66666666663</v>
      </c>
      <c r="N2297" s="7">
        <f t="shared" si="391"/>
        <v>-15790333.333333336</v>
      </c>
      <c r="O2297" s="7">
        <f t="shared" si="390"/>
        <v>43000</v>
      </c>
      <c r="P2297" s="99">
        <f t="shared" si="385"/>
        <v>2.890367681656248E-3</v>
      </c>
      <c r="Q2297" s="99">
        <f t="shared" si="392"/>
        <v>1.3325569554702871E-2</v>
      </c>
      <c r="R2297">
        <v>1</v>
      </c>
      <c r="S2297" s="7">
        <f t="shared" si="386"/>
        <v>16412000.000000002</v>
      </c>
      <c r="V2297" s="7">
        <f t="shared" si="387"/>
        <v>-16412000.000000002</v>
      </c>
      <c r="W2297" s="7">
        <f t="shared" si="388"/>
        <v>0</v>
      </c>
      <c r="X2297" s="7">
        <f t="shared" si="389"/>
        <v>-16412000.000000002</v>
      </c>
    </row>
    <row r="2298" spans="1:24">
      <c r="A2298">
        <v>2297</v>
      </c>
      <c r="B2298" s="96" t="s">
        <v>1300</v>
      </c>
      <c r="C2298" s="95">
        <v>43116</v>
      </c>
      <c r="D2298" s="82">
        <v>14935000</v>
      </c>
      <c r="E2298" s="82">
        <v>14921000</v>
      </c>
      <c r="F2298" s="82">
        <v>15005000</v>
      </c>
      <c r="G2298" s="82">
        <v>14940000</v>
      </c>
      <c r="I2298" s="97">
        <v>0</v>
      </c>
      <c r="J2298" s="97">
        <v>0</v>
      </c>
      <c r="K2298" s="97">
        <v>0</v>
      </c>
      <c r="M2298" s="7">
        <f t="shared" si="384"/>
        <v>0</v>
      </c>
      <c r="N2298" s="7">
        <f t="shared" si="391"/>
        <v>0</v>
      </c>
      <c r="O2298" s="7">
        <f t="shared" si="390"/>
        <v>20000</v>
      </c>
      <c r="P2298" s="99">
        <f t="shared" si="385"/>
        <v>1.3404825737265416E-3</v>
      </c>
      <c r="Q2298" s="99">
        <f t="shared" si="392"/>
        <v>1.5058135697164136E-2</v>
      </c>
      <c r="S2298" s="7">
        <f t="shared" si="386"/>
        <v>16434000.000000002</v>
      </c>
      <c r="V2298" s="7">
        <f t="shared" si="387"/>
        <v>0</v>
      </c>
      <c r="W2298" s="7">
        <f t="shared" si="388"/>
        <v>0</v>
      </c>
      <c r="X2298" s="7">
        <f t="shared" si="389"/>
        <v>0</v>
      </c>
    </row>
    <row r="2299" spans="1:24">
      <c r="A2299">
        <v>2298</v>
      </c>
      <c r="B2299" s="96" t="s">
        <v>1299</v>
      </c>
      <c r="C2299" s="95">
        <v>43117</v>
      </c>
      <c r="D2299" s="82">
        <v>15005000</v>
      </c>
      <c r="E2299" s="82">
        <v>14995000</v>
      </c>
      <c r="F2299" s="82">
        <v>15155000</v>
      </c>
      <c r="G2299" s="82">
        <v>15150000</v>
      </c>
      <c r="I2299" s="97">
        <v>0</v>
      </c>
      <c r="J2299" s="97">
        <v>0</v>
      </c>
      <c r="K2299" s="97">
        <v>0</v>
      </c>
      <c r="M2299" s="7">
        <f t="shared" si="384"/>
        <v>0</v>
      </c>
      <c r="N2299" s="7">
        <f t="shared" si="391"/>
        <v>0</v>
      </c>
      <c r="O2299" s="7">
        <f t="shared" si="390"/>
        <v>210000</v>
      </c>
      <c r="P2299" s="99">
        <f t="shared" si="385"/>
        <v>1.4056224899598393E-2</v>
      </c>
      <c r="Q2299" s="99">
        <f t="shared" si="392"/>
        <v>-2.680483957759913E-4</v>
      </c>
      <c r="S2299" s="7">
        <f t="shared" si="386"/>
        <v>16665000.000000002</v>
      </c>
      <c r="V2299" s="7">
        <f t="shared" si="387"/>
        <v>0</v>
      </c>
      <c r="W2299" s="7">
        <f t="shared" si="388"/>
        <v>0</v>
      </c>
      <c r="X2299" s="7">
        <f t="shared" si="389"/>
        <v>0</v>
      </c>
    </row>
    <row r="2300" spans="1:24">
      <c r="A2300">
        <v>2299</v>
      </c>
      <c r="B2300" s="96" t="s">
        <v>1298</v>
      </c>
      <c r="C2300" s="95">
        <v>43118</v>
      </c>
      <c r="D2300" s="82">
        <v>15135000</v>
      </c>
      <c r="E2300" s="82">
        <v>14995000</v>
      </c>
      <c r="F2300" s="82">
        <v>15140000</v>
      </c>
      <c r="G2300" s="82">
        <v>15025000</v>
      </c>
      <c r="I2300" s="97">
        <v>0</v>
      </c>
      <c r="J2300" s="97">
        <v>0</v>
      </c>
      <c r="K2300" s="97">
        <v>0</v>
      </c>
      <c r="M2300" s="7">
        <f t="shared" si="384"/>
        <v>0</v>
      </c>
      <c r="N2300" s="7">
        <f t="shared" si="391"/>
        <v>0</v>
      </c>
      <c r="O2300" s="7">
        <f t="shared" si="390"/>
        <v>-125000</v>
      </c>
      <c r="P2300" s="99">
        <f t="shared" si="385"/>
        <v>-8.2508250825082501E-3</v>
      </c>
      <c r="Q2300" s="99">
        <f t="shared" si="392"/>
        <v>1.5126416717940835E-2</v>
      </c>
      <c r="S2300" s="7">
        <f t="shared" si="386"/>
        <v>16527500.000000002</v>
      </c>
      <c r="V2300" s="7">
        <f t="shared" si="387"/>
        <v>0</v>
      </c>
      <c r="W2300" s="7">
        <f t="shared" si="388"/>
        <v>0</v>
      </c>
      <c r="X2300" s="7">
        <f t="shared" si="389"/>
        <v>0</v>
      </c>
    </row>
    <row r="2301" spans="1:24">
      <c r="A2301">
        <v>2300</v>
      </c>
      <c r="B2301" s="96" t="s">
        <v>1297</v>
      </c>
      <c r="C2301" s="95">
        <v>43120</v>
      </c>
      <c r="D2301" s="82">
        <v>15050000</v>
      </c>
      <c r="E2301" s="82">
        <v>15050000</v>
      </c>
      <c r="F2301" s="82">
        <v>15220000</v>
      </c>
      <c r="G2301" s="82">
        <v>15195000</v>
      </c>
      <c r="I2301" s="98">
        <v>0</v>
      </c>
      <c r="J2301" s="98">
        <v>0</v>
      </c>
      <c r="K2301" s="98">
        <v>0</v>
      </c>
      <c r="M2301" s="7">
        <f t="shared" si="384"/>
        <v>0</v>
      </c>
      <c r="N2301" s="7">
        <f t="shared" si="391"/>
        <v>0</v>
      </c>
      <c r="O2301" s="7">
        <f t="shared" si="390"/>
        <v>170000</v>
      </c>
      <c r="P2301" s="99">
        <f t="shared" si="385"/>
        <v>1.1314475873544094E-2</v>
      </c>
      <c r="Q2301" s="99">
        <f t="shared" si="392"/>
        <v>8.454408816637414E-4</v>
      </c>
      <c r="S2301" s="7">
        <f t="shared" si="386"/>
        <v>16714500.000000002</v>
      </c>
      <c r="V2301" s="7">
        <f t="shared" si="387"/>
        <v>0</v>
      </c>
      <c r="W2301" s="7">
        <f t="shared" si="388"/>
        <v>0</v>
      </c>
      <c r="X2301" s="7">
        <f t="shared" si="389"/>
        <v>0</v>
      </c>
    </row>
    <row r="2302" spans="1:24">
      <c r="A2302">
        <v>2301</v>
      </c>
      <c r="B2302" s="96" t="s">
        <v>1296</v>
      </c>
      <c r="C2302" s="95">
        <v>43121</v>
      </c>
      <c r="D2302" s="82">
        <v>15205000</v>
      </c>
      <c r="E2302" s="82">
        <v>15137000</v>
      </c>
      <c r="F2302" s="82">
        <v>15297000</v>
      </c>
      <c r="G2302" s="82">
        <v>15282000</v>
      </c>
      <c r="I2302" s="82">
        <f>G2302*1.1</f>
        <v>16810200</v>
      </c>
      <c r="J2302" s="82">
        <f>G2302/3</f>
        <v>5094000</v>
      </c>
      <c r="K2302" s="7">
        <f>G2570</f>
        <v>0</v>
      </c>
      <c r="L2302" s="7">
        <f>K2302-I2302</f>
        <v>-16810200</v>
      </c>
      <c r="M2302" s="7">
        <f t="shared" si="384"/>
        <v>636750</v>
      </c>
      <c r="N2302" s="7">
        <f t="shared" si="391"/>
        <v>-16173450</v>
      </c>
      <c r="O2302" s="7">
        <f t="shared" si="390"/>
        <v>87000</v>
      </c>
      <c r="P2302" s="99">
        <f t="shared" si="385"/>
        <v>5.7255676209279367E-3</v>
      </c>
      <c r="Q2302" s="99">
        <f t="shared" si="392"/>
        <v>2.1350725946017023E-2</v>
      </c>
      <c r="R2302">
        <v>1</v>
      </c>
      <c r="S2302" s="7">
        <f t="shared" si="386"/>
        <v>16810200</v>
      </c>
      <c r="V2302" s="7">
        <f t="shared" si="387"/>
        <v>-16810200</v>
      </c>
      <c r="W2302" s="7">
        <f t="shared" si="388"/>
        <v>0</v>
      </c>
      <c r="X2302" s="7">
        <f t="shared" si="389"/>
        <v>-16810200</v>
      </c>
    </row>
    <row r="2303" spans="1:24">
      <c r="A2303">
        <v>2302</v>
      </c>
      <c r="B2303" s="96" t="s">
        <v>1295</v>
      </c>
      <c r="C2303" s="95">
        <v>43122</v>
      </c>
      <c r="D2303" s="82">
        <v>15285000</v>
      </c>
      <c r="E2303" s="82">
        <v>15235000</v>
      </c>
      <c r="F2303" s="82">
        <v>15375000</v>
      </c>
      <c r="G2303" s="82">
        <v>15285000</v>
      </c>
      <c r="I2303" s="97">
        <v>0</v>
      </c>
      <c r="J2303" s="97">
        <v>0</v>
      </c>
      <c r="K2303" s="97">
        <v>0</v>
      </c>
      <c r="M2303" s="7">
        <f t="shared" si="384"/>
        <v>0</v>
      </c>
      <c r="N2303" s="7">
        <f t="shared" si="391"/>
        <v>0</v>
      </c>
      <c r="O2303" s="7">
        <f t="shared" si="390"/>
        <v>3000</v>
      </c>
      <c r="P2303" s="99">
        <f t="shared" si="385"/>
        <v>1.9630938358853554E-4</v>
      </c>
      <c r="Q2303" s="99">
        <f t="shared" si="392"/>
        <v>2.4185925885288714E-2</v>
      </c>
      <c r="S2303" s="7">
        <f t="shared" si="386"/>
        <v>16813500</v>
      </c>
      <c r="V2303" s="7">
        <f t="shared" si="387"/>
        <v>0</v>
      </c>
      <c r="W2303" s="7">
        <f t="shared" si="388"/>
        <v>0</v>
      </c>
      <c r="X2303" s="7">
        <f t="shared" si="389"/>
        <v>0</v>
      </c>
    </row>
    <row r="2304" spans="1:24">
      <c r="A2304">
        <v>2303</v>
      </c>
      <c r="B2304" s="96" t="s">
        <v>1294</v>
      </c>
      <c r="C2304" s="95">
        <v>43123</v>
      </c>
      <c r="D2304" s="82">
        <v>15290000</v>
      </c>
      <c r="E2304" s="82">
        <v>15160000</v>
      </c>
      <c r="F2304" s="82">
        <v>15400000</v>
      </c>
      <c r="G2304" s="82">
        <v>15180000</v>
      </c>
      <c r="I2304" s="97">
        <v>0</v>
      </c>
      <c r="J2304" s="97">
        <v>0</v>
      </c>
      <c r="K2304" s="97">
        <v>0</v>
      </c>
      <c r="M2304" s="7">
        <f t="shared" si="384"/>
        <v>0</v>
      </c>
      <c r="N2304" s="7">
        <f t="shared" si="391"/>
        <v>0</v>
      </c>
      <c r="O2304" s="7">
        <f t="shared" si="390"/>
        <v>-105000</v>
      </c>
      <c r="P2304" s="99">
        <f t="shared" si="385"/>
        <v>-6.8694798822374874E-3</v>
      </c>
      <c r="Q2304" s="99">
        <f t="shared" si="392"/>
        <v>2.3041752695150707E-2</v>
      </c>
      <c r="S2304" s="7">
        <f t="shared" si="386"/>
        <v>16698000.000000002</v>
      </c>
      <c r="V2304" s="7">
        <f t="shared" si="387"/>
        <v>0</v>
      </c>
      <c r="W2304" s="7">
        <f t="shared" si="388"/>
        <v>0</v>
      </c>
      <c r="X2304" s="7">
        <f t="shared" si="389"/>
        <v>0</v>
      </c>
    </row>
    <row r="2305" spans="1:24">
      <c r="A2305">
        <v>2304</v>
      </c>
      <c r="B2305" s="96" t="s">
        <v>1293</v>
      </c>
      <c r="C2305" s="95">
        <v>43124</v>
      </c>
      <c r="D2305" s="82">
        <v>15200000</v>
      </c>
      <c r="E2305" s="82">
        <v>15145000</v>
      </c>
      <c r="F2305" s="82">
        <v>15265000</v>
      </c>
      <c r="G2305" s="82">
        <v>15190000</v>
      </c>
      <c r="I2305" s="97">
        <v>0</v>
      </c>
      <c r="J2305" s="97">
        <v>0</v>
      </c>
      <c r="K2305" s="97">
        <v>0</v>
      </c>
      <c r="M2305" s="7">
        <f t="shared" si="384"/>
        <v>0</v>
      </c>
      <c r="N2305" s="7">
        <f t="shared" si="391"/>
        <v>0</v>
      </c>
      <c r="O2305" s="7">
        <f t="shared" si="390"/>
        <v>10000</v>
      </c>
      <c r="P2305" s="99">
        <f t="shared" si="385"/>
        <v>6.5876152832674575E-4</v>
      </c>
      <c r="Q2305" s="99">
        <f t="shared" si="392"/>
        <v>2.1160479133148294E-3</v>
      </c>
      <c r="S2305" s="7">
        <f t="shared" si="386"/>
        <v>16709000.000000002</v>
      </c>
      <c r="V2305" s="7">
        <f t="shared" si="387"/>
        <v>0</v>
      </c>
      <c r="W2305" s="7">
        <f t="shared" si="388"/>
        <v>0</v>
      </c>
      <c r="X2305" s="7">
        <f t="shared" si="389"/>
        <v>0</v>
      </c>
    </row>
    <row r="2306" spans="1:24">
      <c r="A2306">
        <v>2305</v>
      </c>
      <c r="B2306" s="96" t="s">
        <v>1292</v>
      </c>
      <c r="C2306" s="95">
        <v>43125</v>
      </c>
      <c r="D2306" s="82">
        <v>15225000</v>
      </c>
      <c r="E2306" s="82">
        <v>15145000</v>
      </c>
      <c r="F2306" s="82">
        <v>15265000</v>
      </c>
      <c r="G2306" s="82">
        <v>15180000</v>
      </c>
      <c r="I2306" s="98">
        <v>0</v>
      </c>
      <c r="J2306" s="98">
        <v>0</v>
      </c>
      <c r="K2306" s="98">
        <v>0</v>
      </c>
      <c r="M2306" s="7">
        <f t="shared" ref="M2306:M2369" si="393">J2306*$AI$6/200</f>
        <v>0</v>
      </c>
      <c r="N2306" s="7">
        <f t="shared" si="391"/>
        <v>0</v>
      </c>
      <c r="O2306" s="7">
        <f t="shared" si="390"/>
        <v>-10000</v>
      </c>
      <c r="P2306" s="99">
        <f t="shared" si="385"/>
        <v>-6.583278472679394E-4</v>
      </c>
      <c r="Q2306" s="99">
        <f t="shared" si="392"/>
        <v>1.1025634524149824E-2</v>
      </c>
      <c r="S2306" s="7">
        <f t="shared" si="386"/>
        <v>16698000.000000002</v>
      </c>
      <c r="V2306" s="7">
        <f t="shared" si="387"/>
        <v>0</v>
      </c>
      <c r="W2306" s="7">
        <f t="shared" si="388"/>
        <v>0</v>
      </c>
      <c r="X2306" s="7">
        <f t="shared" si="389"/>
        <v>0</v>
      </c>
    </row>
    <row r="2307" spans="1:24">
      <c r="A2307">
        <v>2306</v>
      </c>
      <c r="B2307" s="96" t="s">
        <v>1291</v>
      </c>
      <c r="C2307" s="95">
        <v>43127</v>
      </c>
      <c r="D2307" s="82">
        <v>14885000</v>
      </c>
      <c r="E2307" s="82">
        <v>14685000</v>
      </c>
      <c r="F2307" s="82">
        <v>14925000</v>
      </c>
      <c r="G2307" s="82">
        <v>14775000</v>
      </c>
      <c r="I2307" s="82">
        <f>G2307*1.1</f>
        <v>16252500.000000002</v>
      </c>
      <c r="J2307" s="82">
        <f>G2307/3</f>
        <v>4925000</v>
      </c>
      <c r="K2307" s="7">
        <f>G2575</f>
        <v>0</v>
      </c>
      <c r="L2307" s="7">
        <f>K2307-I2307</f>
        <v>-16252500.000000002</v>
      </c>
      <c r="M2307" s="7">
        <f t="shared" si="393"/>
        <v>615625</v>
      </c>
      <c r="N2307" s="7">
        <f t="shared" si="391"/>
        <v>-15636875.000000002</v>
      </c>
      <c r="O2307" s="7">
        <f t="shared" si="390"/>
        <v>-405000</v>
      </c>
      <c r="P2307" s="99">
        <f t="shared" ref="P2307:P2370" si="394">O2307/G2306</f>
        <v>-2.66798418972332E-2</v>
      </c>
      <c r="Q2307" s="99">
        <f t="shared" si="392"/>
        <v>-9.4716919666220896E-4</v>
      </c>
      <c r="R2307">
        <v>1</v>
      </c>
      <c r="S2307" s="7">
        <f t="shared" ref="S2307:S2370" si="395">G2307*1.1</f>
        <v>16252500.000000002</v>
      </c>
      <c r="V2307" s="7">
        <f t="shared" ref="V2307:V2370" si="396">(U2307-S2307)*R2307</f>
        <v>-16252500.000000002</v>
      </c>
      <c r="W2307" s="7">
        <f t="shared" ref="W2307:W2370" si="397">(T2307*$AI$6/200)*R2307</f>
        <v>0</v>
      </c>
      <c r="X2307" s="7">
        <f t="shared" ref="X2307:X2370" si="398">V2307+W2307</f>
        <v>-16252500.000000002</v>
      </c>
    </row>
    <row r="2308" spans="1:24">
      <c r="A2308">
        <v>2307</v>
      </c>
      <c r="B2308" s="96" t="s">
        <v>1290</v>
      </c>
      <c r="C2308" s="95">
        <v>43128</v>
      </c>
      <c r="D2308" s="82">
        <v>14770000</v>
      </c>
      <c r="E2308" s="82">
        <v>14765000</v>
      </c>
      <c r="F2308" s="82">
        <v>14900000</v>
      </c>
      <c r="G2308" s="82">
        <v>14890000</v>
      </c>
      <c r="I2308" s="97">
        <v>0</v>
      </c>
      <c r="J2308" s="97">
        <v>0</v>
      </c>
      <c r="K2308" s="97">
        <v>0</v>
      </c>
      <c r="M2308" s="7">
        <f t="shared" si="393"/>
        <v>0</v>
      </c>
      <c r="N2308" s="7">
        <f t="shared" si="391"/>
        <v>0</v>
      </c>
      <c r="O2308" s="7">
        <f t="shared" ref="O2308:O2371" si="399">G2308-G2307</f>
        <v>115000</v>
      </c>
      <c r="P2308" s="99">
        <f t="shared" si="394"/>
        <v>7.7834179357021997E-3</v>
      </c>
      <c r="Q2308" s="99">
        <f t="shared" si="392"/>
        <v>-3.3352578714823347E-2</v>
      </c>
      <c r="S2308" s="7">
        <f t="shared" si="395"/>
        <v>16379000.000000002</v>
      </c>
      <c r="V2308" s="7">
        <f t="shared" si="396"/>
        <v>0</v>
      </c>
      <c r="W2308" s="7">
        <f t="shared" si="397"/>
        <v>0</v>
      </c>
      <c r="X2308" s="7">
        <f t="shared" si="398"/>
        <v>0</v>
      </c>
    </row>
    <row r="2309" spans="1:24">
      <c r="A2309">
        <v>2308</v>
      </c>
      <c r="B2309" s="96" t="s">
        <v>1289</v>
      </c>
      <c r="C2309" s="95">
        <v>43129</v>
      </c>
      <c r="D2309" s="82">
        <v>14910000</v>
      </c>
      <c r="E2309" s="82">
        <v>14745000</v>
      </c>
      <c r="F2309" s="82">
        <v>14925000</v>
      </c>
      <c r="G2309" s="82">
        <v>14770000</v>
      </c>
      <c r="I2309" s="97">
        <v>0</v>
      </c>
      <c r="J2309" s="97">
        <v>0</v>
      </c>
      <c r="K2309" s="97">
        <v>0</v>
      </c>
      <c r="M2309" s="7">
        <f t="shared" si="393"/>
        <v>0</v>
      </c>
      <c r="N2309" s="7">
        <f t="shared" si="391"/>
        <v>0</v>
      </c>
      <c r="O2309" s="7">
        <f t="shared" si="399"/>
        <v>-120000</v>
      </c>
      <c r="P2309" s="99">
        <f t="shared" si="394"/>
        <v>-8.0591000671591667E-3</v>
      </c>
      <c r="Q2309" s="99">
        <f t="shared" si="392"/>
        <v>-2.5765470162709681E-2</v>
      </c>
      <c r="S2309" s="7">
        <f t="shared" si="395"/>
        <v>16247000.000000002</v>
      </c>
      <c r="V2309" s="7">
        <f t="shared" si="396"/>
        <v>0</v>
      </c>
      <c r="W2309" s="7">
        <f t="shared" si="397"/>
        <v>0</v>
      </c>
      <c r="X2309" s="7">
        <f t="shared" si="398"/>
        <v>0</v>
      </c>
    </row>
    <row r="2310" spans="1:24">
      <c r="A2310">
        <v>2309</v>
      </c>
      <c r="B2310" s="96" t="s">
        <v>1288</v>
      </c>
      <c r="C2310" s="95">
        <v>43130</v>
      </c>
      <c r="D2310" s="82">
        <v>14785000</v>
      </c>
      <c r="E2310" s="82">
        <v>14725000</v>
      </c>
      <c r="F2310" s="82">
        <v>14880000</v>
      </c>
      <c r="G2310" s="82">
        <v>14875000</v>
      </c>
      <c r="I2310" s="97">
        <v>0</v>
      </c>
      <c r="J2310" s="97">
        <v>0</v>
      </c>
      <c r="K2310" s="97">
        <v>0</v>
      </c>
      <c r="M2310" s="7">
        <f t="shared" si="393"/>
        <v>0</v>
      </c>
      <c r="N2310" s="7">
        <f t="shared" si="391"/>
        <v>0</v>
      </c>
      <c r="O2310" s="7">
        <f t="shared" si="399"/>
        <v>105000</v>
      </c>
      <c r="P2310" s="99">
        <f t="shared" si="394"/>
        <v>7.1090047393364926E-3</v>
      </c>
      <c r="Q2310" s="99">
        <f t="shared" si="392"/>
        <v>-2.6955090347631359E-2</v>
      </c>
      <c r="S2310" s="7">
        <f t="shared" si="395"/>
        <v>16362500.000000002</v>
      </c>
      <c r="V2310" s="7">
        <f t="shared" si="396"/>
        <v>0</v>
      </c>
      <c r="W2310" s="7">
        <f t="shared" si="397"/>
        <v>0</v>
      </c>
      <c r="X2310" s="7">
        <f t="shared" si="398"/>
        <v>0</v>
      </c>
    </row>
    <row r="2311" spans="1:24">
      <c r="A2311">
        <v>2310</v>
      </c>
      <c r="B2311" s="96" t="s">
        <v>1287</v>
      </c>
      <c r="C2311" s="95">
        <v>43131</v>
      </c>
      <c r="D2311" s="82">
        <v>14925000</v>
      </c>
      <c r="E2311" s="82">
        <v>14835000</v>
      </c>
      <c r="F2311" s="82">
        <v>15055000</v>
      </c>
      <c r="G2311" s="82">
        <v>15035000</v>
      </c>
      <c r="I2311" s="98">
        <v>0</v>
      </c>
      <c r="J2311" s="98">
        <v>0</v>
      </c>
      <c r="K2311" s="98">
        <v>0</v>
      </c>
      <c r="M2311" s="7">
        <f t="shared" si="393"/>
        <v>0</v>
      </c>
      <c r="N2311" s="7">
        <f t="shared" si="391"/>
        <v>0</v>
      </c>
      <c r="O2311" s="7">
        <f t="shared" si="399"/>
        <v>160000</v>
      </c>
      <c r="P2311" s="99">
        <f t="shared" si="394"/>
        <v>1.0756302521008404E-2</v>
      </c>
      <c r="Q2311" s="99">
        <f t="shared" si="392"/>
        <v>-2.0504847136621613E-2</v>
      </c>
      <c r="S2311" s="7">
        <f t="shared" si="395"/>
        <v>16538500.000000002</v>
      </c>
      <c r="V2311" s="7">
        <f t="shared" si="396"/>
        <v>0</v>
      </c>
      <c r="W2311" s="7">
        <f t="shared" si="397"/>
        <v>0</v>
      </c>
      <c r="X2311" s="7">
        <f t="shared" si="398"/>
        <v>0</v>
      </c>
    </row>
    <row r="2312" spans="1:24">
      <c r="A2312">
        <v>2311</v>
      </c>
      <c r="B2312" s="96" t="s">
        <v>1286</v>
      </c>
      <c r="C2312" s="95">
        <v>43132</v>
      </c>
      <c r="D2312" s="82">
        <v>15145000</v>
      </c>
      <c r="E2312" s="82">
        <v>14905000</v>
      </c>
      <c r="F2312" s="82">
        <v>15145000</v>
      </c>
      <c r="G2312" s="82">
        <v>14915000</v>
      </c>
      <c r="I2312" s="82">
        <f>G2312*1.1</f>
        <v>16406500.000000002</v>
      </c>
      <c r="J2312" s="82">
        <f>G2312/3</f>
        <v>4971666.666666667</v>
      </c>
      <c r="K2312" s="7">
        <f>G2580</f>
        <v>0</v>
      </c>
      <c r="L2312" s="7">
        <f>K2312-I2312</f>
        <v>-16406500.000000002</v>
      </c>
      <c r="M2312" s="7">
        <f t="shared" si="393"/>
        <v>621458.33333333337</v>
      </c>
      <c r="N2312" s="7">
        <f t="shared" ref="N2312:N2375" si="400">L2312+M2312</f>
        <v>-15785041.666666668</v>
      </c>
      <c r="O2312" s="7">
        <f t="shared" si="399"/>
        <v>-120000</v>
      </c>
      <c r="P2312" s="99">
        <f t="shared" si="394"/>
        <v>-7.9813767874958429E-3</v>
      </c>
      <c r="Q2312" s="99">
        <f t="shared" ref="Q2312:Q2375" si="401">SUM(P2307:P2311)</f>
        <v>-9.0902167683452693E-3</v>
      </c>
      <c r="R2312">
        <v>1</v>
      </c>
      <c r="S2312" s="7">
        <f t="shared" si="395"/>
        <v>16406500.000000002</v>
      </c>
      <c r="V2312" s="7">
        <f t="shared" si="396"/>
        <v>-16406500.000000002</v>
      </c>
      <c r="W2312" s="7">
        <f t="shared" si="397"/>
        <v>0</v>
      </c>
      <c r="X2312" s="7">
        <f t="shared" si="398"/>
        <v>-16406500.000000002</v>
      </c>
    </row>
    <row r="2313" spans="1:24">
      <c r="A2313">
        <v>2312</v>
      </c>
      <c r="B2313" s="96" t="s">
        <v>1285</v>
      </c>
      <c r="C2313" s="95">
        <v>43134</v>
      </c>
      <c r="D2313" s="82">
        <v>14975000</v>
      </c>
      <c r="E2313" s="82">
        <v>14970000</v>
      </c>
      <c r="F2313" s="82">
        <v>15130000</v>
      </c>
      <c r="G2313" s="82">
        <v>15095000</v>
      </c>
      <c r="I2313" s="97">
        <v>0</v>
      </c>
      <c r="J2313" s="97">
        <v>0</v>
      </c>
      <c r="K2313" s="97">
        <v>0</v>
      </c>
      <c r="M2313" s="7">
        <f t="shared" si="393"/>
        <v>0</v>
      </c>
      <c r="N2313" s="7">
        <f t="shared" si="400"/>
        <v>0</v>
      </c>
      <c r="O2313" s="7">
        <f t="shared" si="399"/>
        <v>180000</v>
      </c>
      <c r="P2313" s="99">
        <f t="shared" si="394"/>
        <v>1.2068387529332886E-2</v>
      </c>
      <c r="Q2313" s="99">
        <f t="shared" si="401"/>
        <v>9.6082483413920863E-3</v>
      </c>
      <c r="S2313" s="7">
        <f t="shared" si="395"/>
        <v>16604500.000000002</v>
      </c>
      <c r="V2313" s="7">
        <f t="shared" si="396"/>
        <v>0</v>
      </c>
      <c r="W2313" s="7">
        <f t="shared" si="397"/>
        <v>0</v>
      </c>
      <c r="X2313" s="7">
        <f t="shared" si="398"/>
        <v>0</v>
      </c>
    </row>
    <row r="2314" spans="1:24">
      <c r="A2314">
        <v>2313</v>
      </c>
      <c r="B2314" s="96" t="s">
        <v>1284</v>
      </c>
      <c r="C2314" s="95">
        <v>43135</v>
      </c>
      <c r="D2314" s="82">
        <v>15100000</v>
      </c>
      <c r="E2314" s="82">
        <v>15095000</v>
      </c>
      <c r="F2314" s="82">
        <v>15295000</v>
      </c>
      <c r="G2314" s="82">
        <v>15195000</v>
      </c>
      <c r="I2314" s="97">
        <v>0</v>
      </c>
      <c r="J2314" s="97">
        <v>0</v>
      </c>
      <c r="K2314" s="97">
        <v>0</v>
      </c>
      <c r="M2314" s="7">
        <f t="shared" si="393"/>
        <v>0</v>
      </c>
      <c r="N2314" s="7">
        <f t="shared" si="400"/>
        <v>0</v>
      </c>
      <c r="O2314" s="7">
        <f t="shared" si="399"/>
        <v>100000</v>
      </c>
      <c r="P2314" s="99">
        <f t="shared" si="394"/>
        <v>6.6247101689301093E-3</v>
      </c>
      <c r="Q2314" s="99">
        <f t="shared" si="401"/>
        <v>1.3893217935022772E-2</v>
      </c>
      <c r="S2314" s="7">
        <f t="shared" si="395"/>
        <v>16714500.000000002</v>
      </c>
      <c r="V2314" s="7">
        <f t="shared" si="396"/>
        <v>0</v>
      </c>
      <c r="W2314" s="7">
        <f t="shared" si="397"/>
        <v>0</v>
      </c>
      <c r="X2314" s="7">
        <f t="shared" si="398"/>
        <v>0</v>
      </c>
    </row>
    <row r="2315" spans="1:24">
      <c r="A2315">
        <v>2314</v>
      </c>
      <c r="B2315" s="96" t="s">
        <v>1283</v>
      </c>
      <c r="C2315" s="95">
        <v>43136</v>
      </c>
      <c r="D2315" s="82">
        <v>15190000</v>
      </c>
      <c r="E2315" s="82">
        <v>15125000</v>
      </c>
      <c r="F2315" s="82">
        <v>15295000</v>
      </c>
      <c r="G2315" s="82">
        <v>15225000</v>
      </c>
      <c r="I2315" s="97">
        <v>0</v>
      </c>
      <c r="J2315" s="97">
        <v>0</v>
      </c>
      <c r="K2315" s="97">
        <v>0</v>
      </c>
      <c r="M2315" s="7">
        <f t="shared" si="393"/>
        <v>0</v>
      </c>
      <c r="N2315" s="7">
        <f t="shared" si="400"/>
        <v>0</v>
      </c>
      <c r="O2315" s="7">
        <f t="shared" si="399"/>
        <v>30000</v>
      </c>
      <c r="P2315" s="99">
        <f t="shared" si="394"/>
        <v>1.9743336623889436E-3</v>
      </c>
      <c r="Q2315" s="99">
        <f t="shared" si="401"/>
        <v>2.8577028171112049E-2</v>
      </c>
      <c r="S2315" s="7">
        <f t="shared" si="395"/>
        <v>16747500.000000002</v>
      </c>
      <c r="V2315" s="7">
        <f t="shared" si="396"/>
        <v>0</v>
      </c>
      <c r="W2315" s="7">
        <f t="shared" si="397"/>
        <v>0</v>
      </c>
      <c r="X2315" s="7">
        <f t="shared" si="398"/>
        <v>0</v>
      </c>
    </row>
    <row r="2316" spans="1:24">
      <c r="A2316">
        <v>2315</v>
      </c>
      <c r="B2316" s="96" t="s">
        <v>1282</v>
      </c>
      <c r="C2316" s="95">
        <v>43137</v>
      </c>
      <c r="D2316" s="82">
        <v>15245000</v>
      </c>
      <c r="E2316" s="82">
        <v>15220000</v>
      </c>
      <c r="F2316" s="82">
        <v>15310000</v>
      </c>
      <c r="G2316" s="82">
        <v>15225000</v>
      </c>
      <c r="I2316" s="98">
        <v>0</v>
      </c>
      <c r="J2316" s="98">
        <v>0</v>
      </c>
      <c r="K2316" s="98">
        <v>0</v>
      </c>
      <c r="M2316" s="7">
        <f t="shared" si="393"/>
        <v>0</v>
      </c>
      <c r="N2316" s="7">
        <f t="shared" si="400"/>
        <v>0</v>
      </c>
      <c r="O2316" s="7">
        <f t="shared" si="399"/>
        <v>0</v>
      </c>
      <c r="P2316" s="99">
        <f t="shared" si="394"/>
        <v>0</v>
      </c>
      <c r="Q2316" s="99">
        <f t="shared" si="401"/>
        <v>2.34423570941645E-2</v>
      </c>
      <c r="S2316" s="7">
        <f t="shared" si="395"/>
        <v>16747500.000000002</v>
      </c>
      <c r="V2316" s="7">
        <f t="shared" si="396"/>
        <v>0</v>
      </c>
      <c r="W2316" s="7">
        <f t="shared" si="397"/>
        <v>0</v>
      </c>
      <c r="X2316" s="7">
        <f t="shared" si="398"/>
        <v>0</v>
      </c>
    </row>
    <row r="2317" spans="1:24">
      <c r="A2317">
        <v>2316</v>
      </c>
      <c r="B2317" s="96" t="s">
        <v>1281</v>
      </c>
      <c r="C2317" s="95">
        <v>43138</v>
      </c>
      <c r="D2317" s="82">
        <v>15195000</v>
      </c>
      <c r="E2317" s="82">
        <v>15185000</v>
      </c>
      <c r="F2317" s="82">
        <v>15335000</v>
      </c>
      <c r="G2317" s="82">
        <v>15205000</v>
      </c>
      <c r="I2317" s="82">
        <f>G2317*1.1</f>
        <v>16725500.000000002</v>
      </c>
      <c r="J2317" s="82">
        <f>G2317/3</f>
        <v>5068333.333333333</v>
      </c>
      <c r="K2317" s="7">
        <f>G2585</f>
        <v>0</v>
      </c>
      <c r="L2317" s="7">
        <f>K2317-I2317</f>
        <v>-16725500.000000002</v>
      </c>
      <c r="M2317" s="7">
        <f t="shared" si="393"/>
        <v>633541.66666666663</v>
      </c>
      <c r="N2317" s="7">
        <f t="shared" si="400"/>
        <v>-16091958.333333336</v>
      </c>
      <c r="O2317" s="7">
        <f t="shared" si="399"/>
        <v>-20000</v>
      </c>
      <c r="P2317" s="99">
        <f t="shared" si="394"/>
        <v>-1.3136288998357964E-3</v>
      </c>
      <c r="Q2317" s="99">
        <f t="shared" si="401"/>
        <v>1.2686054573156098E-2</v>
      </c>
      <c r="R2317">
        <v>1</v>
      </c>
      <c r="S2317" s="7">
        <f t="shared" si="395"/>
        <v>16725500.000000002</v>
      </c>
      <c r="V2317" s="7">
        <f t="shared" si="396"/>
        <v>-16725500.000000002</v>
      </c>
      <c r="W2317" s="7">
        <f t="shared" si="397"/>
        <v>0</v>
      </c>
      <c r="X2317" s="7">
        <f t="shared" si="398"/>
        <v>-16725500.000000002</v>
      </c>
    </row>
    <row r="2318" spans="1:24">
      <c r="A2318">
        <v>2317</v>
      </c>
      <c r="B2318" s="96" t="s">
        <v>1280</v>
      </c>
      <c r="C2318" s="95">
        <v>43139</v>
      </c>
      <c r="D2318" s="82">
        <v>15215000</v>
      </c>
      <c r="E2318" s="82">
        <v>15090000</v>
      </c>
      <c r="F2318" s="82">
        <v>15265000</v>
      </c>
      <c r="G2318" s="82">
        <v>15250000</v>
      </c>
      <c r="I2318" s="97">
        <v>0</v>
      </c>
      <c r="J2318" s="97">
        <v>0</v>
      </c>
      <c r="K2318" s="97">
        <v>0</v>
      </c>
      <c r="M2318" s="7">
        <f t="shared" si="393"/>
        <v>0</v>
      </c>
      <c r="N2318" s="7">
        <f t="shared" si="400"/>
        <v>0</v>
      </c>
      <c r="O2318" s="7">
        <f t="shared" si="399"/>
        <v>45000</v>
      </c>
      <c r="P2318" s="99">
        <f t="shared" si="394"/>
        <v>2.9595527786912199E-3</v>
      </c>
      <c r="Q2318" s="99">
        <f t="shared" si="401"/>
        <v>1.9353802460816142E-2</v>
      </c>
      <c r="S2318" s="7">
        <f t="shared" si="395"/>
        <v>16775000.000000002</v>
      </c>
      <c r="V2318" s="7">
        <f t="shared" si="396"/>
        <v>0</v>
      </c>
      <c r="W2318" s="7">
        <f t="shared" si="397"/>
        <v>0</v>
      </c>
      <c r="X2318" s="7">
        <f t="shared" si="398"/>
        <v>0</v>
      </c>
    </row>
    <row r="2319" spans="1:24">
      <c r="A2319">
        <v>2318</v>
      </c>
      <c r="B2319" s="96" t="s">
        <v>1279</v>
      </c>
      <c r="C2319" s="95">
        <v>43141</v>
      </c>
      <c r="D2319" s="82">
        <v>15255000</v>
      </c>
      <c r="E2319" s="82">
        <v>15245000</v>
      </c>
      <c r="F2319" s="82">
        <v>15440000</v>
      </c>
      <c r="G2319" s="82">
        <v>15425000</v>
      </c>
      <c r="I2319" s="97">
        <v>0</v>
      </c>
      <c r="J2319" s="97">
        <v>0</v>
      </c>
      <c r="K2319" s="97">
        <v>0</v>
      </c>
      <c r="M2319" s="7">
        <f t="shared" si="393"/>
        <v>0</v>
      </c>
      <c r="N2319" s="7">
        <f t="shared" si="400"/>
        <v>0</v>
      </c>
      <c r="O2319" s="7">
        <f t="shared" si="399"/>
        <v>175000</v>
      </c>
      <c r="P2319" s="99">
        <f t="shared" si="394"/>
        <v>1.1475409836065573E-2</v>
      </c>
      <c r="Q2319" s="99">
        <f t="shared" si="401"/>
        <v>1.0244967710174475E-2</v>
      </c>
      <c r="S2319" s="7">
        <f t="shared" si="395"/>
        <v>16967500</v>
      </c>
      <c r="V2319" s="7">
        <f t="shared" si="396"/>
        <v>0</v>
      </c>
      <c r="W2319" s="7">
        <f t="shared" si="397"/>
        <v>0</v>
      </c>
      <c r="X2319" s="7">
        <f t="shared" si="398"/>
        <v>0</v>
      </c>
    </row>
    <row r="2320" spans="1:24">
      <c r="A2320">
        <v>2319</v>
      </c>
      <c r="B2320" s="96" t="s">
        <v>1278</v>
      </c>
      <c r="C2320" s="95">
        <v>43142</v>
      </c>
      <c r="D2320" s="82">
        <v>15495000</v>
      </c>
      <c r="E2320" s="82">
        <v>15420000</v>
      </c>
      <c r="F2320" s="82">
        <v>15550000</v>
      </c>
      <c r="G2320" s="82">
        <v>15440000</v>
      </c>
      <c r="I2320" s="97">
        <v>0</v>
      </c>
      <c r="J2320" s="97">
        <v>0</v>
      </c>
      <c r="K2320" s="97">
        <v>0</v>
      </c>
      <c r="M2320" s="7">
        <f t="shared" si="393"/>
        <v>0</v>
      </c>
      <c r="N2320" s="7">
        <f t="shared" si="400"/>
        <v>0</v>
      </c>
      <c r="O2320" s="7">
        <f t="shared" si="399"/>
        <v>15000</v>
      </c>
      <c r="P2320" s="99">
        <f t="shared" si="394"/>
        <v>9.7244732576985411E-4</v>
      </c>
      <c r="Q2320" s="99">
        <f t="shared" si="401"/>
        <v>1.509566737730994E-2</v>
      </c>
      <c r="S2320" s="7">
        <f t="shared" si="395"/>
        <v>16984000</v>
      </c>
      <c r="V2320" s="7">
        <f t="shared" si="396"/>
        <v>0</v>
      </c>
      <c r="W2320" s="7">
        <f t="shared" si="397"/>
        <v>0</v>
      </c>
      <c r="X2320" s="7">
        <f t="shared" si="398"/>
        <v>0</v>
      </c>
    </row>
    <row r="2321" spans="1:24">
      <c r="A2321">
        <v>2320</v>
      </c>
      <c r="B2321" s="96" t="s">
        <v>1277</v>
      </c>
      <c r="C2321" s="95">
        <v>43143</v>
      </c>
      <c r="D2321" s="82">
        <v>15430000</v>
      </c>
      <c r="E2321" s="82">
        <v>15430000</v>
      </c>
      <c r="F2321" s="82">
        <v>15785000</v>
      </c>
      <c r="G2321" s="82">
        <v>15740000</v>
      </c>
      <c r="I2321" s="98">
        <v>0</v>
      </c>
      <c r="J2321" s="98">
        <v>0</v>
      </c>
      <c r="K2321" s="98">
        <v>0</v>
      </c>
      <c r="M2321" s="7">
        <f t="shared" si="393"/>
        <v>0</v>
      </c>
      <c r="N2321" s="7">
        <f t="shared" si="400"/>
        <v>0</v>
      </c>
      <c r="O2321" s="7">
        <f t="shared" si="399"/>
        <v>300000</v>
      </c>
      <c r="P2321" s="99">
        <f t="shared" si="394"/>
        <v>1.9430051813471502E-2</v>
      </c>
      <c r="Q2321" s="99">
        <f t="shared" si="401"/>
        <v>1.409378104069085E-2</v>
      </c>
      <c r="S2321" s="7">
        <f t="shared" si="395"/>
        <v>17314000</v>
      </c>
      <c r="V2321" s="7">
        <f t="shared" si="396"/>
        <v>0</v>
      </c>
      <c r="W2321" s="7">
        <f t="shared" si="397"/>
        <v>0</v>
      </c>
      <c r="X2321" s="7">
        <f t="shared" si="398"/>
        <v>0</v>
      </c>
    </row>
    <row r="2322" spans="1:24">
      <c r="A2322">
        <v>2321</v>
      </c>
      <c r="B2322" s="96" t="s">
        <v>1276</v>
      </c>
      <c r="C2322" s="95">
        <v>43144</v>
      </c>
      <c r="D2322" s="82">
        <v>15790000</v>
      </c>
      <c r="E2322" s="82">
        <v>15790000</v>
      </c>
      <c r="F2322" s="82">
        <v>15985000</v>
      </c>
      <c r="G2322" s="82">
        <v>15905000</v>
      </c>
      <c r="I2322" s="82">
        <f>G2322*1.1</f>
        <v>17495500</v>
      </c>
      <c r="J2322" s="82">
        <f>G2322/3</f>
        <v>5301666.666666667</v>
      </c>
      <c r="K2322" s="7">
        <f>G2590</f>
        <v>0</v>
      </c>
      <c r="L2322" s="7">
        <f>K2322-I2322</f>
        <v>-17495500</v>
      </c>
      <c r="M2322" s="7">
        <f t="shared" si="393"/>
        <v>662708.33333333337</v>
      </c>
      <c r="N2322" s="7">
        <f t="shared" si="400"/>
        <v>-16832791.666666668</v>
      </c>
      <c r="O2322" s="7">
        <f t="shared" si="399"/>
        <v>165000</v>
      </c>
      <c r="P2322" s="99">
        <f t="shared" si="394"/>
        <v>1.048284625158831E-2</v>
      </c>
      <c r="Q2322" s="99">
        <f t="shared" si="401"/>
        <v>3.3523832854162355E-2</v>
      </c>
      <c r="R2322">
        <v>1</v>
      </c>
      <c r="S2322" s="7">
        <f t="shared" si="395"/>
        <v>17495500</v>
      </c>
      <c r="V2322" s="7">
        <f t="shared" si="396"/>
        <v>-17495500</v>
      </c>
      <c r="W2322" s="7">
        <f t="shared" si="397"/>
        <v>0</v>
      </c>
      <c r="X2322" s="7">
        <f t="shared" si="398"/>
        <v>-17495500</v>
      </c>
    </row>
    <row r="2323" spans="1:24">
      <c r="A2323">
        <v>2322</v>
      </c>
      <c r="B2323" s="96" t="s">
        <v>1275</v>
      </c>
      <c r="C2323" s="95">
        <v>43145</v>
      </c>
      <c r="D2323" s="82">
        <v>15955000</v>
      </c>
      <c r="E2323" s="82">
        <v>15775000</v>
      </c>
      <c r="F2323" s="82">
        <v>15965000</v>
      </c>
      <c r="G2323" s="82">
        <v>15775000</v>
      </c>
      <c r="I2323" s="97">
        <v>0</v>
      </c>
      <c r="J2323" s="97">
        <v>0</v>
      </c>
      <c r="K2323" s="97">
        <v>0</v>
      </c>
      <c r="M2323" s="7">
        <f t="shared" si="393"/>
        <v>0</v>
      </c>
      <c r="N2323" s="7">
        <f t="shared" si="400"/>
        <v>0</v>
      </c>
      <c r="O2323" s="7">
        <f t="shared" si="399"/>
        <v>-130000</v>
      </c>
      <c r="P2323" s="99">
        <f t="shared" si="394"/>
        <v>-8.1735303363722096E-3</v>
      </c>
      <c r="Q2323" s="99">
        <f t="shared" si="401"/>
        <v>4.5320308005586458E-2</v>
      </c>
      <c r="S2323" s="7">
        <f t="shared" si="395"/>
        <v>17352500</v>
      </c>
      <c r="V2323" s="7">
        <f t="shared" si="396"/>
        <v>0</v>
      </c>
      <c r="W2323" s="7">
        <f t="shared" si="397"/>
        <v>0</v>
      </c>
      <c r="X2323" s="7">
        <f t="shared" si="398"/>
        <v>0</v>
      </c>
    </row>
    <row r="2324" spans="1:24">
      <c r="A2324">
        <v>2323</v>
      </c>
      <c r="B2324" s="96" t="s">
        <v>1274</v>
      </c>
      <c r="C2324" s="95">
        <v>43148</v>
      </c>
      <c r="D2324" s="82">
        <v>15632500</v>
      </c>
      <c r="E2324" s="82">
        <v>15155000</v>
      </c>
      <c r="F2324" s="82">
        <v>15667500</v>
      </c>
      <c r="G2324" s="82">
        <v>15155000</v>
      </c>
      <c r="I2324" s="97">
        <v>0</v>
      </c>
      <c r="J2324" s="97">
        <v>0</v>
      </c>
      <c r="K2324" s="97">
        <v>0</v>
      </c>
      <c r="M2324" s="7">
        <f t="shared" si="393"/>
        <v>0</v>
      </c>
      <c r="N2324" s="7">
        <f t="shared" si="400"/>
        <v>0</v>
      </c>
      <c r="O2324" s="7">
        <f t="shared" si="399"/>
        <v>-620000</v>
      </c>
      <c r="P2324" s="99">
        <f t="shared" si="394"/>
        <v>-3.9302694136291602E-2</v>
      </c>
      <c r="Q2324" s="99">
        <f t="shared" si="401"/>
        <v>3.4187224890523032E-2</v>
      </c>
      <c r="S2324" s="7">
        <f t="shared" si="395"/>
        <v>16670500.000000002</v>
      </c>
      <c r="V2324" s="7">
        <f t="shared" si="396"/>
        <v>0</v>
      </c>
      <c r="W2324" s="7">
        <f t="shared" si="397"/>
        <v>0</v>
      </c>
      <c r="X2324" s="7">
        <f t="shared" si="398"/>
        <v>0</v>
      </c>
    </row>
    <row r="2325" spans="1:24">
      <c r="A2325">
        <v>2324</v>
      </c>
      <c r="B2325" s="96" t="s">
        <v>1273</v>
      </c>
      <c r="C2325" s="95">
        <v>43149</v>
      </c>
      <c r="D2325" s="82">
        <v>15130000</v>
      </c>
      <c r="E2325" s="82">
        <v>14952500</v>
      </c>
      <c r="F2325" s="82">
        <v>15155000</v>
      </c>
      <c r="G2325" s="82">
        <v>15017500</v>
      </c>
      <c r="I2325" s="97">
        <v>0</v>
      </c>
      <c r="J2325" s="97">
        <v>0</v>
      </c>
      <c r="K2325" s="97">
        <v>0</v>
      </c>
      <c r="M2325" s="7">
        <f t="shared" si="393"/>
        <v>0</v>
      </c>
      <c r="N2325" s="7">
        <f t="shared" si="400"/>
        <v>0</v>
      </c>
      <c r="O2325" s="7">
        <f t="shared" si="399"/>
        <v>-137500</v>
      </c>
      <c r="P2325" s="99">
        <f t="shared" si="394"/>
        <v>-9.0729132299571091E-3</v>
      </c>
      <c r="Q2325" s="99">
        <f t="shared" si="401"/>
        <v>-1.6590879081834146E-2</v>
      </c>
      <c r="S2325" s="7">
        <f t="shared" si="395"/>
        <v>16519250.000000002</v>
      </c>
      <c r="V2325" s="7">
        <f t="shared" si="396"/>
        <v>0</v>
      </c>
      <c r="W2325" s="7">
        <f t="shared" si="397"/>
        <v>0</v>
      </c>
      <c r="X2325" s="7">
        <f t="shared" si="398"/>
        <v>0</v>
      </c>
    </row>
    <row r="2326" spans="1:24">
      <c r="A2326">
        <v>2325</v>
      </c>
      <c r="B2326" s="96" t="s">
        <v>1272</v>
      </c>
      <c r="C2326" s="95">
        <v>43150</v>
      </c>
      <c r="D2326" s="82">
        <v>15015000</v>
      </c>
      <c r="E2326" s="82">
        <v>14820000</v>
      </c>
      <c r="F2326" s="82">
        <v>15015000</v>
      </c>
      <c r="G2326" s="82">
        <v>14862500</v>
      </c>
      <c r="I2326" s="98">
        <v>0</v>
      </c>
      <c r="J2326" s="98">
        <v>0</v>
      </c>
      <c r="K2326" s="98">
        <v>0</v>
      </c>
      <c r="M2326" s="7">
        <f t="shared" si="393"/>
        <v>0</v>
      </c>
      <c r="N2326" s="7">
        <f t="shared" si="400"/>
        <v>0</v>
      </c>
      <c r="O2326" s="7">
        <f t="shared" si="399"/>
        <v>-155000</v>
      </c>
      <c r="P2326" s="99">
        <f t="shared" si="394"/>
        <v>-1.0321291826202764E-2</v>
      </c>
      <c r="Q2326" s="99">
        <f t="shared" si="401"/>
        <v>-2.6636239637561107E-2</v>
      </c>
      <c r="S2326" s="7">
        <f t="shared" si="395"/>
        <v>16348750.000000002</v>
      </c>
      <c r="V2326" s="7">
        <f t="shared" si="396"/>
        <v>0</v>
      </c>
      <c r="W2326" s="7">
        <f t="shared" si="397"/>
        <v>0</v>
      </c>
      <c r="X2326" s="7">
        <f t="shared" si="398"/>
        <v>0</v>
      </c>
    </row>
    <row r="2327" spans="1:24">
      <c r="A2327">
        <v>2326</v>
      </c>
      <c r="B2327" s="96" t="s">
        <v>1271</v>
      </c>
      <c r="C2327" s="95">
        <v>43152</v>
      </c>
      <c r="D2327" s="82">
        <v>14857500</v>
      </c>
      <c r="E2327" s="82">
        <v>14750000</v>
      </c>
      <c r="F2327" s="82">
        <v>14900000</v>
      </c>
      <c r="G2327" s="82">
        <v>14750000</v>
      </c>
      <c r="I2327" s="82">
        <f>G2327*1.1</f>
        <v>16225000.000000002</v>
      </c>
      <c r="J2327" s="82">
        <f>G2327/3</f>
        <v>4916666.666666667</v>
      </c>
      <c r="K2327" s="7">
        <f>G2595</f>
        <v>0</v>
      </c>
      <c r="L2327" s="7">
        <f>K2327-I2327</f>
        <v>-16225000.000000002</v>
      </c>
      <c r="M2327" s="7">
        <f t="shared" si="393"/>
        <v>614583.33333333337</v>
      </c>
      <c r="N2327" s="7">
        <f t="shared" si="400"/>
        <v>-15610416.666666668</v>
      </c>
      <c r="O2327" s="7">
        <f t="shared" si="399"/>
        <v>-112500</v>
      </c>
      <c r="P2327" s="99">
        <f t="shared" si="394"/>
        <v>-7.569386038687973E-3</v>
      </c>
      <c r="Q2327" s="99">
        <f t="shared" si="401"/>
        <v>-5.6387583277235372E-2</v>
      </c>
      <c r="R2327">
        <v>1</v>
      </c>
      <c r="S2327" s="7">
        <f t="shared" si="395"/>
        <v>16225000.000000002</v>
      </c>
      <c r="V2327" s="7">
        <f t="shared" si="396"/>
        <v>-16225000.000000002</v>
      </c>
      <c r="W2327" s="7">
        <f t="shared" si="397"/>
        <v>0</v>
      </c>
      <c r="X2327" s="7">
        <f t="shared" si="398"/>
        <v>-16225000.000000002</v>
      </c>
    </row>
    <row r="2328" spans="1:24">
      <c r="A2328">
        <v>2327</v>
      </c>
      <c r="B2328" s="96" t="s">
        <v>1270</v>
      </c>
      <c r="C2328" s="95">
        <v>43153</v>
      </c>
      <c r="D2328" s="82">
        <v>14770000</v>
      </c>
      <c r="E2328" s="82">
        <v>14770000</v>
      </c>
      <c r="F2328" s="82">
        <v>14807000</v>
      </c>
      <c r="G2328" s="82">
        <v>14799000</v>
      </c>
      <c r="I2328" s="97">
        <v>0</v>
      </c>
      <c r="J2328" s="97">
        <v>0</v>
      </c>
      <c r="K2328" s="97">
        <v>0</v>
      </c>
      <c r="M2328" s="7">
        <f t="shared" si="393"/>
        <v>0</v>
      </c>
      <c r="N2328" s="7">
        <f t="shared" si="400"/>
        <v>0</v>
      </c>
      <c r="O2328" s="7">
        <f t="shared" si="399"/>
        <v>49000</v>
      </c>
      <c r="P2328" s="99">
        <f t="shared" si="394"/>
        <v>3.3220338983050847E-3</v>
      </c>
      <c r="Q2328" s="99">
        <f t="shared" si="401"/>
        <v>-7.4439815567511655E-2</v>
      </c>
      <c r="S2328" s="7">
        <f t="shared" si="395"/>
        <v>16278900.000000002</v>
      </c>
      <c r="V2328" s="7">
        <f t="shared" si="396"/>
        <v>0</v>
      </c>
      <c r="W2328" s="7">
        <f t="shared" si="397"/>
        <v>0</v>
      </c>
      <c r="X2328" s="7">
        <f t="shared" si="398"/>
        <v>0</v>
      </c>
    </row>
    <row r="2329" spans="1:24">
      <c r="A2329">
        <v>2328</v>
      </c>
      <c r="B2329" s="96" t="s">
        <v>1269</v>
      </c>
      <c r="C2329" s="95">
        <v>43154</v>
      </c>
      <c r="D2329" s="82">
        <v>14791000</v>
      </c>
      <c r="E2329" s="82">
        <v>14782000</v>
      </c>
      <c r="F2329" s="82">
        <v>14800000</v>
      </c>
      <c r="G2329" s="82">
        <v>14788000</v>
      </c>
      <c r="I2329" s="97">
        <v>0</v>
      </c>
      <c r="J2329" s="97">
        <v>0</v>
      </c>
      <c r="K2329" s="97">
        <v>0</v>
      </c>
      <c r="M2329" s="7">
        <f t="shared" si="393"/>
        <v>0</v>
      </c>
      <c r="N2329" s="7">
        <f t="shared" si="400"/>
        <v>0</v>
      </c>
      <c r="O2329" s="7">
        <f t="shared" si="399"/>
        <v>-11000</v>
      </c>
      <c r="P2329" s="99">
        <f t="shared" si="394"/>
        <v>-7.4329346577471449E-4</v>
      </c>
      <c r="Q2329" s="99">
        <f t="shared" si="401"/>
        <v>-6.2944251332834364E-2</v>
      </c>
      <c r="S2329" s="7">
        <f t="shared" si="395"/>
        <v>16266800.000000002</v>
      </c>
      <c r="V2329" s="7">
        <f t="shared" si="396"/>
        <v>0</v>
      </c>
      <c r="W2329" s="7">
        <f t="shared" si="397"/>
        <v>0</v>
      </c>
      <c r="X2329" s="7">
        <f t="shared" si="398"/>
        <v>0</v>
      </c>
    </row>
    <row r="2330" spans="1:24">
      <c r="A2330">
        <v>2329</v>
      </c>
      <c r="B2330" s="96" t="s">
        <v>1268</v>
      </c>
      <c r="C2330" s="95">
        <v>43155</v>
      </c>
      <c r="D2330" s="82">
        <v>14794000</v>
      </c>
      <c r="E2330" s="82">
        <v>14785000</v>
      </c>
      <c r="F2330" s="82">
        <v>15250000</v>
      </c>
      <c r="G2330" s="82">
        <v>15100000</v>
      </c>
      <c r="I2330" s="97">
        <v>0</v>
      </c>
      <c r="J2330" s="97">
        <v>0</v>
      </c>
      <c r="K2330" s="97">
        <v>0</v>
      </c>
      <c r="M2330" s="7">
        <f t="shared" si="393"/>
        <v>0</v>
      </c>
      <c r="N2330" s="7">
        <f t="shared" si="400"/>
        <v>0</v>
      </c>
      <c r="O2330" s="7">
        <f t="shared" si="399"/>
        <v>312000</v>
      </c>
      <c r="P2330" s="99">
        <f t="shared" si="394"/>
        <v>2.1098187719772787E-2</v>
      </c>
      <c r="Q2330" s="99">
        <f t="shared" si="401"/>
        <v>-2.4384850662317475E-2</v>
      </c>
      <c r="S2330" s="7">
        <f t="shared" si="395"/>
        <v>16610000.000000002</v>
      </c>
      <c r="V2330" s="7">
        <f t="shared" si="396"/>
        <v>0</v>
      </c>
      <c r="W2330" s="7">
        <f t="shared" si="397"/>
        <v>0</v>
      </c>
      <c r="X2330" s="7">
        <f t="shared" si="398"/>
        <v>0</v>
      </c>
    </row>
    <row r="2331" spans="1:24">
      <c r="A2331">
        <v>2330</v>
      </c>
      <c r="B2331" s="96" t="s">
        <v>1267</v>
      </c>
      <c r="C2331" s="95">
        <v>43156</v>
      </c>
      <c r="D2331" s="82">
        <v>15090000</v>
      </c>
      <c r="E2331" s="82">
        <v>15090000</v>
      </c>
      <c r="F2331" s="82">
        <v>15300000</v>
      </c>
      <c r="G2331" s="82">
        <v>15200000</v>
      </c>
      <c r="I2331" s="98">
        <v>0</v>
      </c>
      <c r="J2331" s="98">
        <v>0</v>
      </c>
      <c r="K2331" s="98">
        <v>0</v>
      </c>
      <c r="M2331" s="7">
        <f t="shared" si="393"/>
        <v>0</v>
      </c>
      <c r="N2331" s="7">
        <f t="shared" si="400"/>
        <v>0</v>
      </c>
      <c r="O2331" s="7">
        <f t="shared" si="399"/>
        <v>100000</v>
      </c>
      <c r="P2331" s="99">
        <f t="shared" si="394"/>
        <v>6.6225165562913907E-3</v>
      </c>
      <c r="Q2331" s="99">
        <f t="shared" si="401"/>
        <v>5.7862502874124217E-3</v>
      </c>
      <c r="S2331" s="7">
        <f t="shared" si="395"/>
        <v>16720000.000000002</v>
      </c>
      <c r="V2331" s="7">
        <f t="shared" si="396"/>
        <v>0</v>
      </c>
      <c r="W2331" s="7">
        <f t="shared" si="397"/>
        <v>0</v>
      </c>
      <c r="X2331" s="7">
        <f t="shared" si="398"/>
        <v>0</v>
      </c>
    </row>
    <row r="2332" spans="1:24">
      <c r="A2332">
        <v>2331</v>
      </c>
      <c r="B2332" s="96" t="s">
        <v>1266</v>
      </c>
      <c r="C2332" s="95">
        <v>43157</v>
      </c>
      <c r="D2332" s="82">
        <v>15400000</v>
      </c>
      <c r="E2332" s="82">
        <v>15300000</v>
      </c>
      <c r="F2332" s="82">
        <v>15400000</v>
      </c>
      <c r="G2332" s="82">
        <v>15370000</v>
      </c>
      <c r="I2332" s="82">
        <f>G2332*1.1</f>
        <v>16907000</v>
      </c>
      <c r="J2332" s="82">
        <f>G2332/3</f>
        <v>5123333.333333333</v>
      </c>
      <c r="K2332" s="7">
        <f>G2600</f>
        <v>0</v>
      </c>
      <c r="L2332" s="7">
        <f>K2332-I2332</f>
        <v>-16907000</v>
      </c>
      <c r="M2332" s="7">
        <f t="shared" si="393"/>
        <v>640416.66666666663</v>
      </c>
      <c r="N2332" s="7">
        <f t="shared" si="400"/>
        <v>-16266583.333333334</v>
      </c>
      <c r="O2332" s="7">
        <f t="shared" si="399"/>
        <v>170000</v>
      </c>
      <c r="P2332" s="99">
        <f t="shared" si="394"/>
        <v>1.118421052631579E-2</v>
      </c>
      <c r="Q2332" s="99">
        <f t="shared" si="401"/>
        <v>2.2730058669906572E-2</v>
      </c>
      <c r="R2332">
        <v>1</v>
      </c>
      <c r="S2332" s="7">
        <f t="shared" si="395"/>
        <v>16907000</v>
      </c>
      <c r="V2332" s="7">
        <f t="shared" si="396"/>
        <v>-16907000</v>
      </c>
      <c r="W2332" s="7">
        <f t="shared" si="397"/>
        <v>0</v>
      </c>
      <c r="X2332" s="7">
        <f t="shared" si="398"/>
        <v>-16907000</v>
      </c>
    </row>
    <row r="2333" spans="1:24">
      <c r="A2333">
        <v>2332</v>
      </c>
      <c r="B2333" s="96" t="s">
        <v>1265</v>
      </c>
      <c r="C2333" s="95">
        <v>43158</v>
      </c>
      <c r="D2333" s="82">
        <v>15420000</v>
      </c>
      <c r="E2333" s="82">
        <v>15350000</v>
      </c>
      <c r="F2333" s="82">
        <v>15425500</v>
      </c>
      <c r="G2333" s="82">
        <v>15416000</v>
      </c>
      <c r="I2333" s="97">
        <v>0</v>
      </c>
      <c r="J2333" s="97">
        <v>0</v>
      </c>
      <c r="K2333" s="97">
        <v>0</v>
      </c>
      <c r="M2333" s="7">
        <f t="shared" si="393"/>
        <v>0</v>
      </c>
      <c r="N2333" s="7">
        <f t="shared" si="400"/>
        <v>0</v>
      </c>
      <c r="O2333" s="7">
        <f t="shared" si="399"/>
        <v>46000</v>
      </c>
      <c r="P2333" s="99">
        <f t="shared" si="394"/>
        <v>2.9928432010409888E-3</v>
      </c>
      <c r="Q2333" s="99">
        <f t="shared" si="401"/>
        <v>4.1483655234910335E-2</v>
      </c>
      <c r="S2333" s="7">
        <f t="shared" si="395"/>
        <v>16957600</v>
      </c>
      <c r="V2333" s="7">
        <f t="shared" si="396"/>
        <v>0</v>
      </c>
      <c r="W2333" s="7">
        <f t="shared" si="397"/>
        <v>0</v>
      </c>
      <c r="X2333" s="7">
        <f t="shared" si="398"/>
        <v>0</v>
      </c>
    </row>
    <row r="2334" spans="1:24">
      <c r="A2334">
        <v>2333</v>
      </c>
      <c r="B2334" s="96" t="s">
        <v>1264</v>
      </c>
      <c r="C2334" s="95">
        <v>43159</v>
      </c>
      <c r="D2334" s="82">
        <v>15421000</v>
      </c>
      <c r="E2334" s="82">
        <v>15419500</v>
      </c>
      <c r="F2334" s="82">
        <v>15550000</v>
      </c>
      <c r="G2334" s="82">
        <v>15550000</v>
      </c>
      <c r="I2334" s="97">
        <v>0</v>
      </c>
      <c r="J2334" s="97">
        <v>0</v>
      </c>
      <c r="K2334" s="97">
        <v>0</v>
      </c>
      <c r="M2334" s="7">
        <f t="shared" si="393"/>
        <v>0</v>
      </c>
      <c r="N2334" s="7">
        <f t="shared" si="400"/>
        <v>0</v>
      </c>
      <c r="O2334" s="7">
        <f t="shared" si="399"/>
        <v>134000</v>
      </c>
      <c r="P2334" s="99">
        <f t="shared" si="394"/>
        <v>8.6922677737415674E-3</v>
      </c>
      <c r="Q2334" s="99">
        <f t="shared" si="401"/>
        <v>4.1154464537646242E-2</v>
      </c>
      <c r="S2334" s="7">
        <f t="shared" si="395"/>
        <v>17105000</v>
      </c>
      <c r="V2334" s="7">
        <f t="shared" si="396"/>
        <v>0</v>
      </c>
      <c r="W2334" s="7">
        <f t="shared" si="397"/>
        <v>0</v>
      </c>
      <c r="X2334" s="7">
        <f t="shared" si="398"/>
        <v>0</v>
      </c>
    </row>
    <row r="2335" spans="1:24">
      <c r="A2335">
        <v>2334</v>
      </c>
      <c r="B2335" s="96" t="s">
        <v>1263</v>
      </c>
      <c r="C2335" s="95">
        <v>43160</v>
      </c>
      <c r="D2335" s="82">
        <v>15530500</v>
      </c>
      <c r="E2335" s="82">
        <v>15472000</v>
      </c>
      <c r="F2335" s="82">
        <v>15537500</v>
      </c>
      <c r="G2335" s="82">
        <v>15503000</v>
      </c>
      <c r="I2335" s="97">
        <v>0</v>
      </c>
      <c r="J2335" s="97">
        <v>0</v>
      </c>
      <c r="K2335" s="97">
        <v>0</v>
      </c>
      <c r="M2335" s="7">
        <f t="shared" si="393"/>
        <v>0</v>
      </c>
      <c r="N2335" s="7">
        <f t="shared" si="400"/>
        <v>0</v>
      </c>
      <c r="O2335" s="7">
        <f t="shared" si="399"/>
        <v>-47000</v>
      </c>
      <c r="P2335" s="99">
        <f t="shared" si="394"/>
        <v>-3.022508038585209E-3</v>
      </c>
      <c r="Q2335" s="99">
        <f t="shared" si="401"/>
        <v>5.0590025777162526E-2</v>
      </c>
      <c r="S2335" s="7">
        <f t="shared" si="395"/>
        <v>17053300</v>
      </c>
      <c r="V2335" s="7">
        <f t="shared" si="396"/>
        <v>0</v>
      </c>
      <c r="W2335" s="7">
        <f t="shared" si="397"/>
        <v>0</v>
      </c>
      <c r="X2335" s="7">
        <f t="shared" si="398"/>
        <v>0</v>
      </c>
    </row>
    <row r="2336" spans="1:24">
      <c r="A2336">
        <v>2335</v>
      </c>
      <c r="B2336" s="96" t="s">
        <v>1262</v>
      </c>
      <c r="C2336" s="95">
        <v>43161</v>
      </c>
      <c r="D2336" s="82">
        <v>15536000</v>
      </c>
      <c r="E2336" s="82">
        <v>15496000</v>
      </c>
      <c r="F2336" s="82">
        <v>15552000</v>
      </c>
      <c r="G2336" s="82">
        <v>15535000</v>
      </c>
      <c r="I2336" s="98">
        <v>0</v>
      </c>
      <c r="J2336" s="98">
        <v>0</v>
      </c>
      <c r="K2336" s="98">
        <v>0</v>
      </c>
      <c r="M2336" s="7">
        <f t="shared" si="393"/>
        <v>0</v>
      </c>
      <c r="N2336" s="7">
        <f t="shared" si="400"/>
        <v>0</v>
      </c>
      <c r="O2336" s="7">
        <f t="shared" si="399"/>
        <v>32000</v>
      </c>
      <c r="P2336" s="99">
        <f t="shared" si="394"/>
        <v>2.0641166225891763E-3</v>
      </c>
      <c r="Q2336" s="99">
        <f t="shared" si="401"/>
        <v>2.6469330018804527E-2</v>
      </c>
      <c r="S2336" s="7">
        <f t="shared" si="395"/>
        <v>17088500</v>
      </c>
      <c r="V2336" s="7">
        <f t="shared" si="396"/>
        <v>0</v>
      </c>
      <c r="W2336" s="7">
        <f t="shared" si="397"/>
        <v>0</v>
      </c>
      <c r="X2336" s="7">
        <f t="shared" si="398"/>
        <v>0</v>
      </c>
    </row>
    <row r="2337" spans="1:24">
      <c r="A2337">
        <v>2336</v>
      </c>
      <c r="B2337" s="96" t="s">
        <v>1261</v>
      </c>
      <c r="C2337" s="95">
        <v>43162</v>
      </c>
      <c r="D2337" s="82">
        <v>15531000</v>
      </c>
      <c r="E2337" s="82">
        <v>15531000</v>
      </c>
      <c r="F2337" s="82">
        <v>15750000</v>
      </c>
      <c r="G2337" s="82">
        <v>15730000</v>
      </c>
      <c r="I2337" s="82">
        <f>G2337*1.1</f>
        <v>17303000</v>
      </c>
      <c r="J2337" s="82">
        <f>G2337/3</f>
        <v>5243333.333333333</v>
      </c>
      <c r="K2337" s="7">
        <f>G2605</f>
        <v>0</v>
      </c>
      <c r="L2337" s="7">
        <f>K2337-I2337</f>
        <v>-17303000</v>
      </c>
      <c r="M2337" s="7">
        <f t="shared" si="393"/>
        <v>655416.66666666663</v>
      </c>
      <c r="N2337" s="7">
        <f t="shared" si="400"/>
        <v>-16647583.333333334</v>
      </c>
      <c r="O2337" s="7">
        <f t="shared" si="399"/>
        <v>195000</v>
      </c>
      <c r="P2337" s="99">
        <f t="shared" si="394"/>
        <v>1.2552301255230125E-2</v>
      </c>
      <c r="Q2337" s="99">
        <f t="shared" si="401"/>
        <v>2.1910930085102313E-2</v>
      </c>
      <c r="R2337">
        <v>1</v>
      </c>
      <c r="S2337" s="7">
        <f t="shared" si="395"/>
        <v>17303000</v>
      </c>
      <c r="V2337" s="7">
        <f t="shared" si="396"/>
        <v>-17303000</v>
      </c>
      <c r="W2337" s="7">
        <f t="shared" si="397"/>
        <v>0</v>
      </c>
      <c r="X2337" s="7">
        <f t="shared" si="398"/>
        <v>-17303000</v>
      </c>
    </row>
    <row r="2338" spans="1:24">
      <c r="A2338">
        <v>2337</v>
      </c>
      <c r="B2338" s="96" t="s">
        <v>1260</v>
      </c>
      <c r="C2338" s="95">
        <v>43163</v>
      </c>
      <c r="D2338" s="82">
        <v>15700000</v>
      </c>
      <c r="E2338" s="82">
        <v>15700000</v>
      </c>
      <c r="F2338" s="82">
        <v>15920000</v>
      </c>
      <c r="G2338" s="82">
        <v>15910000</v>
      </c>
      <c r="I2338" s="97">
        <v>0</v>
      </c>
      <c r="J2338" s="97">
        <v>0</v>
      </c>
      <c r="K2338" s="97">
        <v>0</v>
      </c>
      <c r="M2338" s="7">
        <f t="shared" si="393"/>
        <v>0</v>
      </c>
      <c r="N2338" s="7">
        <f t="shared" si="400"/>
        <v>0</v>
      </c>
      <c r="O2338" s="7">
        <f t="shared" si="399"/>
        <v>180000</v>
      </c>
      <c r="P2338" s="99">
        <f t="shared" si="394"/>
        <v>1.1443102352193261E-2</v>
      </c>
      <c r="Q2338" s="99">
        <f t="shared" si="401"/>
        <v>2.327902081401665E-2</v>
      </c>
      <c r="S2338" s="7">
        <f t="shared" si="395"/>
        <v>17501000</v>
      </c>
      <c r="V2338" s="7">
        <f t="shared" si="396"/>
        <v>0</v>
      </c>
      <c r="W2338" s="7">
        <f t="shared" si="397"/>
        <v>0</v>
      </c>
      <c r="X2338" s="7">
        <f t="shared" si="398"/>
        <v>0</v>
      </c>
    </row>
    <row r="2339" spans="1:24">
      <c r="A2339">
        <v>2338</v>
      </c>
      <c r="B2339" s="96" t="s">
        <v>1259</v>
      </c>
      <c r="C2339" s="95">
        <v>43164</v>
      </c>
      <c r="D2339" s="82">
        <v>15916000</v>
      </c>
      <c r="E2339" s="82">
        <v>15860000</v>
      </c>
      <c r="F2339" s="82">
        <v>15924000</v>
      </c>
      <c r="G2339" s="82">
        <v>15917000</v>
      </c>
      <c r="I2339" s="97">
        <v>0</v>
      </c>
      <c r="J2339" s="97">
        <v>0</v>
      </c>
      <c r="K2339" s="97">
        <v>0</v>
      </c>
      <c r="M2339" s="7">
        <f t="shared" si="393"/>
        <v>0</v>
      </c>
      <c r="N2339" s="7">
        <f t="shared" si="400"/>
        <v>0</v>
      </c>
      <c r="O2339" s="7">
        <f t="shared" si="399"/>
        <v>7000</v>
      </c>
      <c r="P2339" s="99">
        <f t="shared" si="394"/>
        <v>4.3997485857950972E-4</v>
      </c>
      <c r="Q2339" s="99">
        <f t="shared" si="401"/>
        <v>3.1729279965168916E-2</v>
      </c>
      <c r="S2339" s="7">
        <f t="shared" si="395"/>
        <v>17508700</v>
      </c>
      <c r="V2339" s="7">
        <f t="shared" si="396"/>
        <v>0</v>
      </c>
      <c r="W2339" s="7">
        <f t="shared" si="397"/>
        <v>0</v>
      </c>
      <c r="X2339" s="7">
        <f t="shared" si="398"/>
        <v>0</v>
      </c>
    </row>
    <row r="2340" spans="1:24">
      <c r="A2340">
        <v>2339</v>
      </c>
      <c r="B2340" s="96" t="s">
        <v>1258</v>
      </c>
      <c r="C2340" s="95">
        <v>43165</v>
      </c>
      <c r="D2340" s="82">
        <v>15949000</v>
      </c>
      <c r="E2340" s="82">
        <v>15800000</v>
      </c>
      <c r="F2340" s="82">
        <v>15949000</v>
      </c>
      <c r="G2340" s="82">
        <v>15888000</v>
      </c>
      <c r="I2340" s="97">
        <v>0</v>
      </c>
      <c r="J2340" s="97">
        <v>0</v>
      </c>
      <c r="K2340" s="97">
        <v>0</v>
      </c>
      <c r="M2340" s="7">
        <f t="shared" si="393"/>
        <v>0</v>
      </c>
      <c r="N2340" s="7">
        <f t="shared" si="400"/>
        <v>0</v>
      </c>
      <c r="O2340" s="7">
        <f t="shared" si="399"/>
        <v>-29000</v>
      </c>
      <c r="P2340" s="99">
        <f t="shared" si="394"/>
        <v>-1.8219513727461205E-3</v>
      </c>
      <c r="Q2340" s="99">
        <f t="shared" si="401"/>
        <v>2.3476987050006864E-2</v>
      </c>
      <c r="S2340" s="7">
        <f t="shared" si="395"/>
        <v>17476800</v>
      </c>
      <c r="V2340" s="7">
        <f t="shared" si="396"/>
        <v>0</v>
      </c>
      <c r="W2340" s="7">
        <f t="shared" si="397"/>
        <v>0</v>
      </c>
      <c r="X2340" s="7">
        <f t="shared" si="398"/>
        <v>0</v>
      </c>
    </row>
    <row r="2341" spans="1:24">
      <c r="A2341">
        <v>2340</v>
      </c>
      <c r="B2341" s="96" t="s">
        <v>1257</v>
      </c>
      <c r="C2341" s="95">
        <v>43166</v>
      </c>
      <c r="D2341" s="82">
        <v>15860000</v>
      </c>
      <c r="E2341" s="82">
        <v>15846000</v>
      </c>
      <c r="F2341" s="82">
        <v>15900000</v>
      </c>
      <c r="G2341" s="82">
        <v>15861000</v>
      </c>
      <c r="I2341" s="98">
        <v>0</v>
      </c>
      <c r="J2341" s="98">
        <v>0</v>
      </c>
      <c r="K2341" s="98">
        <v>0</v>
      </c>
      <c r="M2341" s="7">
        <f t="shared" si="393"/>
        <v>0</v>
      </c>
      <c r="N2341" s="7">
        <f t="shared" si="400"/>
        <v>0</v>
      </c>
      <c r="O2341" s="7">
        <f t="shared" si="399"/>
        <v>-27000</v>
      </c>
      <c r="P2341" s="99">
        <f t="shared" si="394"/>
        <v>-1.6993957703927492E-3</v>
      </c>
      <c r="Q2341" s="99">
        <f t="shared" si="401"/>
        <v>2.4677543715845948E-2</v>
      </c>
      <c r="S2341" s="7">
        <f t="shared" si="395"/>
        <v>17447100</v>
      </c>
      <c r="V2341" s="7">
        <f t="shared" si="396"/>
        <v>0</v>
      </c>
      <c r="W2341" s="7">
        <f t="shared" si="397"/>
        <v>0</v>
      </c>
      <c r="X2341" s="7">
        <f t="shared" si="398"/>
        <v>0</v>
      </c>
    </row>
    <row r="2342" spans="1:24">
      <c r="A2342">
        <v>2341</v>
      </c>
      <c r="B2342" s="96" t="s">
        <v>1256</v>
      </c>
      <c r="C2342" s="95">
        <v>43167</v>
      </c>
      <c r="D2342" s="82">
        <v>15871000</v>
      </c>
      <c r="E2342" s="82">
        <v>15817000</v>
      </c>
      <c r="F2342" s="82">
        <v>15880000</v>
      </c>
      <c r="G2342" s="82">
        <v>15831000</v>
      </c>
      <c r="I2342" s="82">
        <f>G2342*1.1</f>
        <v>17414100</v>
      </c>
      <c r="J2342" s="82">
        <f>G2342/3</f>
        <v>5277000</v>
      </c>
      <c r="K2342" s="7">
        <f>G2610</f>
        <v>0</v>
      </c>
      <c r="L2342" s="7">
        <f>K2342-I2342</f>
        <v>-17414100</v>
      </c>
      <c r="M2342" s="7">
        <f t="shared" si="393"/>
        <v>659625</v>
      </c>
      <c r="N2342" s="7">
        <f t="shared" si="400"/>
        <v>-16754475</v>
      </c>
      <c r="O2342" s="7">
        <f t="shared" si="399"/>
        <v>-30000</v>
      </c>
      <c r="P2342" s="99">
        <f t="shared" si="394"/>
        <v>-1.8914318138831096E-3</v>
      </c>
      <c r="Q2342" s="99">
        <f t="shared" si="401"/>
        <v>2.0914031322864027E-2</v>
      </c>
      <c r="R2342">
        <v>1</v>
      </c>
      <c r="S2342" s="7">
        <f t="shared" si="395"/>
        <v>17414100</v>
      </c>
      <c r="V2342" s="7">
        <f t="shared" si="396"/>
        <v>-17414100</v>
      </c>
      <c r="W2342" s="7">
        <f t="shared" si="397"/>
        <v>0</v>
      </c>
      <c r="X2342" s="7">
        <f t="shared" si="398"/>
        <v>-17414100</v>
      </c>
    </row>
    <row r="2343" spans="1:24">
      <c r="A2343">
        <v>2342</v>
      </c>
      <c r="B2343" s="96" t="s">
        <v>1255</v>
      </c>
      <c r="C2343" s="95">
        <v>43168</v>
      </c>
      <c r="D2343" s="82">
        <v>15813000</v>
      </c>
      <c r="E2343" s="82">
        <v>15787000</v>
      </c>
      <c r="F2343" s="82">
        <v>15852000</v>
      </c>
      <c r="G2343" s="82">
        <v>15837000</v>
      </c>
      <c r="I2343" s="97">
        <v>0</v>
      </c>
      <c r="J2343" s="97">
        <v>0</v>
      </c>
      <c r="K2343" s="97">
        <v>0</v>
      </c>
      <c r="M2343" s="7">
        <f t="shared" si="393"/>
        <v>0</v>
      </c>
      <c r="N2343" s="7">
        <f t="shared" si="400"/>
        <v>0</v>
      </c>
      <c r="O2343" s="7">
        <f t="shared" si="399"/>
        <v>6000</v>
      </c>
      <c r="P2343" s="99">
        <f t="shared" si="394"/>
        <v>3.7900322152738296E-4</v>
      </c>
      <c r="Q2343" s="99">
        <f t="shared" si="401"/>
        <v>6.4702982537507923E-3</v>
      </c>
      <c r="S2343" s="7">
        <f t="shared" si="395"/>
        <v>17420700</v>
      </c>
      <c r="V2343" s="7">
        <f t="shared" si="396"/>
        <v>0</v>
      </c>
      <c r="W2343" s="7">
        <f t="shared" si="397"/>
        <v>0</v>
      </c>
      <c r="X2343" s="7">
        <f t="shared" si="398"/>
        <v>0</v>
      </c>
    </row>
    <row r="2344" spans="1:24">
      <c r="A2344">
        <v>2343</v>
      </c>
      <c r="B2344" s="96" t="s">
        <v>1254</v>
      </c>
      <c r="C2344" s="95">
        <v>43169</v>
      </c>
      <c r="D2344" s="82">
        <v>15843000</v>
      </c>
      <c r="E2344" s="82">
        <v>15750000</v>
      </c>
      <c r="F2344" s="82">
        <v>15880000</v>
      </c>
      <c r="G2344" s="82">
        <v>15750000</v>
      </c>
      <c r="I2344" s="97">
        <v>0</v>
      </c>
      <c r="J2344" s="97">
        <v>0</v>
      </c>
      <c r="K2344" s="97">
        <v>0</v>
      </c>
      <c r="M2344" s="7">
        <f t="shared" si="393"/>
        <v>0</v>
      </c>
      <c r="N2344" s="7">
        <f t="shared" si="400"/>
        <v>0</v>
      </c>
      <c r="O2344" s="7">
        <f t="shared" si="399"/>
        <v>-87000</v>
      </c>
      <c r="P2344" s="99">
        <f t="shared" si="394"/>
        <v>-5.4934646713392689E-3</v>
      </c>
      <c r="Q2344" s="99">
        <f t="shared" si="401"/>
        <v>-4.5938008769150877E-3</v>
      </c>
      <c r="S2344" s="7">
        <f t="shared" si="395"/>
        <v>17325000</v>
      </c>
      <c r="V2344" s="7">
        <f t="shared" si="396"/>
        <v>0</v>
      </c>
      <c r="W2344" s="7">
        <f t="shared" si="397"/>
        <v>0</v>
      </c>
      <c r="X2344" s="7">
        <f t="shared" si="398"/>
        <v>0</v>
      </c>
    </row>
    <row r="2345" spans="1:24">
      <c r="A2345">
        <v>2344</v>
      </c>
      <c r="B2345" s="96" t="s">
        <v>1253</v>
      </c>
      <c r="C2345" s="95">
        <v>43170</v>
      </c>
      <c r="D2345" s="82">
        <v>15760000</v>
      </c>
      <c r="E2345" s="82">
        <v>15760000</v>
      </c>
      <c r="F2345" s="82">
        <v>15835000</v>
      </c>
      <c r="G2345" s="82">
        <v>15820000</v>
      </c>
      <c r="I2345" s="97">
        <v>0</v>
      </c>
      <c r="J2345" s="97">
        <v>0</v>
      </c>
      <c r="K2345" s="97">
        <v>0</v>
      </c>
      <c r="M2345" s="7">
        <f t="shared" si="393"/>
        <v>0</v>
      </c>
      <c r="N2345" s="7">
        <f t="shared" si="400"/>
        <v>0</v>
      </c>
      <c r="O2345" s="7">
        <f t="shared" si="399"/>
        <v>70000</v>
      </c>
      <c r="P2345" s="99">
        <f t="shared" si="394"/>
        <v>4.4444444444444444E-3</v>
      </c>
      <c r="Q2345" s="99">
        <f t="shared" si="401"/>
        <v>-1.0527240406833865E-2</v>
      </c>
      <c r="S2345" s="7">
        <f t="shared" si="395"/>
        <v>17402000</v>
      </c>
      <c r="V2345" s="7">
        <f t="shared" si="396"/>
        <v>0</v>
      </c>
      <c r="W2345" s="7">
        <f t="shared" si="397"/>
        <v>0</v>
      </c>
      <c r="X2345" s="7">
        <f t="shared" si="398"/>
        <v>0</v>
      </c>
    </row>
    <row r="2346" spans="1:24">
      <c r="A2346">
        <v>2345</v>
      </c>
      <c r="B2346" s="96" t="s">
        <v>1252</v>
      </c>
      <c r="C2346" s="95">
        <v>43171</v>
      </c>
      <c r="D2346" s="82">
        <v>15823000</v>
      </c>
      <c r="E2346" s="82">
        <v>15819000</v>
      </c>
      <c r="F2346" s="82">
        <v>16005000</v>
      </c>
      <c r="G2346" s="82">
        <v>16000000</v>
      </c>
      <c r="I2346" s="98">
        <v>0</v>
      </c>
      <c r="J2346" s="98">
        <v>0</v>
      </c>
      <c r="K2346" s="98">
        <v>0</v>
      </c>
      <c r="M2346" s="7">
        <f t="shared" si="393"/>
        <v>0</v>
      </c>
      <c r="N2346" s="7">
        <f t="shared" si="400"/>
        <v>0</v>
      </c>
      <c r="O2346" s="7">
        <f t="shared" si="399"/>
        <v>180000</v>
      </c>
      <c r="P2346" s="99">
        <f t="shared" si="394"/>
        <v>1.1378002528445006E-2</v>
      </c>
      <c r="Q2346" s="99">
        <f t="shared" si="401"/>
        <v>-4.2608445896433001E-3</v>
      </c>
      <c r="S2346" s="7">
        <f t="shared" si="395"/>
        <v>17600000</v>
      </c>
      <c r="V2346" s="7">
        <f t="shared" si="396"/>
        <v>0</v>
      </c>
      <c r="W2346" s="7">
        <f t="shared" si="397"/>
        <v>0</v>
      </c>
      <c r="X2346" s="7">
        <f t="shared" si="398"/>
        <v>0</v>
      </c>
    </row>
    <row r="2347" spans="1:24">
      <c r="A2347">
        <v>2346</v>
      </c>
      <c r="B2347" s="96" t="s">
        <v>1251</v>
      </c>
      <c r="C2347" s="95">
        <v>43172</v>
      </c>
      <c r="D2347" s="82">
        <v>15993000</v>
      </c>
      <c r="E2347" s="82">
        <v>15979000</v>
      </c>
      <c r="F2347" s="82">
        <v>16148000</v>
      </c>
      <c r="G2347" s="82">
        <v>16144000</v>
      </c>
      <c r="I2347" s="82">
        <f>G2347*1.1</f>
        <v>17758400</v>
      </c>
      <c r="J2347" s="82">
        <f>G2347/3</f>
        <v>5381333.333333333</v>
      </c>
      <c r="K2347" s="7">
        <f>G2615</f>
        <v>0</v>
      </c>
      <c r="L2347" s="7">
        <f>K2347-I2347</f>
        <v>-17758400</v>
      </c>
      <c r="M2347" s="7">
        <f t="shared" si="393"/>
        <v>672666.66666666651</v>
      </c>
      <c r="N2347" s="7">
        <f t="shared" si="400"/>
        <v>-17085733.333333332</v>
      </c>
      <c r="O2347" s="7">
        <f t="shared" si="399"/>
        <v>144000</v>
      </c>
      <c r="P2347" s="99">
        <f t="shared" si="394"/>
        <v>8.9999999999999993E-3</v>
      </c>
      <c r="Q2347" s="99">
        <f t="shared" si="401"/>
        <v>8.8165537091944544E-3</v>
      </c>
      <c r="R2347">
        <v>1</v>
      </c>
      <c r="S2347" s="7">
        <f t="shared" si="395"/>
        <v>17758400</v>
      </c>
      <c r="V2347" s="7">
        <f t="shared" si="396"/>
        <v>-17758400</v>
      </c>
      <c r="W2347" s="7">
        <f t="shared" si="397"/>
        <v>0</v>
      </c>
      <c r="X2347" s="7">
        <f t="shared" si="398"/>
        <v>-17758400</v>
      </c>
    </row>
    <row r="2348" spans="1:24">
      <c r="A2348">
        <v>2347</v>
      </c>
      <c r="B2348" s="96" t="s">
        <v>1250</v>
      </c>
      <c r="C2348" s="95">
        <v>43173</v>
      </c>
      <c r="D2348" s="82">
        <v>16143000</v>
      </c>
      <c r="E2348" s="82">
        <v>16137000</v>
      </c>
      <c r="F2348" s="82">
        <v>16495000</v>
      </c>
      <c r="G2348" s="82">
        <v>16402000</v>
      </c>
      <c r="I2348" s="97">
        <v>0</v>
      </c>
      <c r="J2348" s="97">
        <v>0</v>
      </c>
      <c r="K2348" s="97">
        <v>0</v>
      </c>
      <c r="M2348" s="7">
        <f t="shared" si="393"/>
        <v>0</v>
      </c>
      <c r="N2348" s="7">
        <f t="shared" si="400"/>
        <v>0</v>
      </c>
      <c r="O2348" s="7">
        <f t="shared" si="399"/>
        <v>258000</v>
      </c>
      <c r="P2348" s="99">
        <f t="shared" si="394"/>
        <v>1.5981169474727452E-2</v>
      </c>
      <c r="Q2348" s="99">
        <f t="shared" si="401"/>
        <v>1.9707985523077565E-2</v>
      </c>
      <c r="S2348" s="7">
        <f t="shared" si="395"/>
        <v>18042200</v>
      </c>
      <c r="V2348" s="7">
        <f t="shared" si="396"/>
        <v>0</v>
      </c>
      <c r="W2348" s="7">
        <f t="shared" si="397"/>
        <v>0</v>
      </c>
      <c r="X2348" s="7">
        <f t="shared" si="398"/>
        <v>0</v>
      </c>
    </row>
    <row r="2349" spans="1:24">
      <c r="A2349">
        <v>2348</v>
      </c>
      <c r="B2349" s="96" t="s">
        <v>1249</v>
      </c>
      <c r="C2349" s="95">
        <v>43174</v>
      </c>
      <c r="D2349" s="82">
        <v>16395000</v>
      </c>
      <c r="E2349" s="82">
        <v>16290000</v>
      </c>
      <c r="F2349" s="82">
        <v>16395000</v>
      </c>
      <c r="G2349" s="82">
        <v>16300000</v>
      </c>
      <c r="I2349" s="97">
        <v>0</v>
      </c>
      <c r="J2349" s="97">
        <v>0</v>
      </c>
      <c r="K2349" s="97">
        <v>0</v>
      </c>
      <c r="M2349" s="7">
        <f t="shared" si="393"/>
        <v>0</v>
      </c>
      <c r="N2349" s="7">
        <f t="shared" si="400"/>
        <v>0</v>
      </c>
      <c r="O2349" s="7">
        <f t="shared" si="399"/>
        <v>-102000</v>
      </c>
      <c r="P2349" s="99">
        <f t="shared" si="394"/>
        <v>-6.2187538105109132E-3</v>
      </c>
      <c r="Q2349" s="99">
        <f t="shared" si="401"/>
        <v>3.5310151776277637E-2</v>
      </c>
      <c r="S2349" s="7">
        <f t="shared" si="395"/>
        <v>17930000</v>
      </c>
      <c r="V2349" s="7">
        <f t="shared" si="396"/>
        <v>0</v>
      </c>
      <c r="W2349" s="7">
        <f t="shared" si="397"/>
        <v>0</v>
      </c>
      <c r="X2349" s="7">
        <f t="shared" si="398"/>
        <v>0</v>
      </c>
    </row>
    <row r="2350" spans="1:24">
      <c r="A2350">
        <v>2349</v>
      </c>
      <c r="B2350" s="96" t="s">
        <v>1248</v>
      </c>
      <c r="C2350" s="95">
        <v>43176</v>
      </c>
      <c r="D2350" s="82">
        <v>16315000</v>
      </c>
      <c r="E2350" s="82">
        <v>16000000</v>
      </c>
      <c r="F2350" s="82">
        <v>16315000</v>
      </c>
      <c r="G2350" s="82">
        <v>16000000</v>
      </c>
      <c r="I2350" s="97">
        <v>0</v>
      </c>
      <c r="J2350" s="97">
        <v>0</v>
      </c>
      <c r="K2350" s="97">
        <v>0</v>
      </c>
      <c r="M2350" s="7">
        <f t="shared" si="393"/>
        <v>0</v>
      </c>
      <c r="N2350" s="7">
        <f t="shared" si="400"/>
        <v>0</v>
      </c>
      <c r="O2350" s="7">
        <f t="shared" si="399"/>
        <v>-300000</v>
      </c>
      <c r="P2350" s="99">
        <f t="shared" si="394"/>
        <v>-1.8404907975460124E-2</v>
      </c>
      <c r="Q2350" s="99">
        <f t="shared" si="401"/>
        <v>3.4584862637105987E-2</v>
      </c>
      <c r="S2350" s="7">
        <f t="shared" si="395"/>
        <v>17600000</v>
      </c>
      <c r="V2350" s="7">
        <f t="shared" si="396"/>
        <v>0</v>
      </c>
      <c r="W2350" s="7">
        <f t="shared" si="397"/>
        <v>0</v>
      </c>
      <c r="X2350" s="7">
        <f t="shared" si="398"/>
        <v>0</v>
      </c>
    </row>
    <row r="2351" spans="1:24">
      <c r="A2351">
        <v>2350</v>
      </c>
      <c r="B2351" s="96" t="s">
        <v>1247</v>
      </c>
      <c r="C2351" s="95">
        <v>43177</v>
      </c>
      <c r="D2351" s="82">
        <v>16020000</v>
      </c>
      <c r="E2351" s="82">
        <v>16020000</v>
      </c>
      <c r="F2351" s="82">
        <v>16200000</v>
      </c>
      <c r="G2351" s="82">
        <v>16060000</v>
      </c>
      <c r="I2351" s="98">
        <v>0</v>
      </c>
      <c r="J2351" s="98">
        <v>0</v>
      </c>
      <c r="K2351" s="98">
        <v>0</v>
      </c>
      <c r="M2351" s="7">
        <f t="shared" si="393"/>
        <v>0</v>
      </c>
      <c r="N2351" s="7">
        <f t="shared" si="400"/>
        <v>0</v>
      </c>
      <c r="O2351" s="7">
        <f t="shared" si="399"/>
        <v>60000</v>
      </c>
      <c r="P2351" s="99">
        <f t="shared" si="394"/>
        <v>3.7499999999999999E-3</v>
      </c>
      <c r="Q2351" s="99">
        <f t="shared" si="401"/>
        <v>1.1735510217201421E-2</v>
      </c>
      <c r="S2351" s="7">
        <f t="shared" si="395"/>
        <v>17666000</v>
      </c>
      <c r="V2351" s="7">
        <f t="shared" si="396"/>
        <v>0</v>
      </c>
      <c r="W2351" s="7">
        <f t="shared" si="397"/>
        <v>0</v>
      </c>
      <c r="X2351" s="7">
        <f t="shared" si="398"/>
        <v>0</v>
      </c>
    </row>
    <row r="2352" spans="1:24">
      <c r="A2352">
        <v>2351</v>
      </c>
      <c r="B2352" s="96" t="s">
        <v>1246</v>
      </c>
      <c r="C2352" s="95">
        <v>43178</v>
      </c>
      <c r="D2352" s="82">
        <v>16120000</v>
      </c>
      <c r="E2352" s="82">
        <v>16105000</v>
      </c>
      <c r="F2352" s="82">
        <v>16190000</v>
      </c>
      <c r="G2352" s="82">
        <v>16166000</v>
      </c>
      <c r="I2352" s="82">
        <f>G2352*1.1</f>
        <v>17782600</v>
      </c>
      <c r="J2352" s="82">
        <f>G2352/3</f>
        <v>5388666.666666667</v>
      </c>
      <c r="K2352" s="7">
        <f>G2620</f>
        <v>0</v>
      </c>
      <c r="L2352" s="7">
        <f>K2352-I2352</f>
        <v>-17782600</v>
      </c>
      <c r="M2352" s="7">
        <f t="shared" si="393"/>
        <v>673583.33333333349</v>
      </c>
      <c r="N2352" s="7">
        <f t="shared" si="400"/>
        <v>-17109016.666666668</v>
      </c>
      <c r="O2352" s="7">
        <f t="shared" si="399"/>
        <v>106000</v>
      </c>
      <c r="P2352" s="99">
        <f t="shared" si="394"/>
        <v>6.6002490660024907E-3</v>
      </c>
      <c r="Q2352" s="99">
        <f t="shared" si="401"/>
        <v>4.1075076887564128E-3</v>
      </c>
      <c r="R2352">
        <v>1</v>
      </c>
      <c r="S2352" s="7">
        <f t="shared" si="395"/>
        <v>17782600</v>
      </c>
      <c r="V2352" s="7">
        <f t="shared" si="396"/>
        <v>-17782600</v>
      </c>
      <c r="W2352" s="7">
        <f t="shared" si="397"/>
        <v>0</v>
      </c>
      <c r="X2352" s="7">
        <f t="shared" si="398"/>
        <v>-17782600</v>
      </c>
    </row>
    <row r="2353" spans="1:24">
      <c r="A2353">
        <v>2352</v>
      </c>
      <c r="B2353" s="96" t="s">
        <v>1245</v>
      </c>
      <c r="C2353" s="95">
        <v>43179</v>
      </c>
      <c r="D2353" s="82">
        <v>16160000</v>
      </c>
      <c r="E2353" s="82">
        <v>16132000</v>
      </c>
      <c r="F2353" s="82">
        <v>16162000</v>
      </c>
      <c r="G2353" s="82">
        <v>16143000</v>
      </c>
      <c r="I2353" s="97">
        <v>0</v>
      </c>
      <c r="J2353" s="97">
        <v>0</v>
      </c>
      <c r="K2353" s="97">
        <v>0</v>
      </c>
      <c r="M2353" s="7">
        <f t="shared" si="393"/>
        <v>0</v>
      </c>
      <c r="N2353" s="7">
        <f t="shared" si="400"/>
        <v>0</v>
      </c>
      <c r="O2353" s="7">
        <f t="shared" si="399"/>
        <v>-23000</v>
      </c>
      <c r="P2353" s="99">
        <f t="shared" si="394"/>
        <v>-1.422739082024001E-3</v>
      </c>
      <c r="Q2353" s="99">
        <f t="shared" si="401"/>
        <v>1.7077567547589059E-3</v>
      </c>
      <c r="S2353" s="7">
        <f t="shared" si="395"/>
        <v>17757300</v>
      </c>
      <c r="V2353" s="7">
        <f t="shared" si="396"/>
        <v>0</v>
      </c>
      <c r="W2353" s="7">
        <f t="shared" si="397"/>
        <v>0</v>
      </c>
      <c r="X2353" s="7">
        <f t="shared" si="398"/>
        <v>0</v>
      </c>
    </row>
    <row r="2354" spans="1:24">
      <c r="A2354">
        <v>2353</v>
      </c>
      <c r="B2354" s="96" t="s">
        <v>1244</v>
      </c>
      <c r="C2354" s="95">
        <v>43181</v>
      </c>
      <c r="D2354" s="82">
        <v>16153000</v>
      </c>
      <c r="E2354" s="82">
        <v>16153000</v>
      </c>
      <c r="F2354" s="82">
        <v>16211000</v>
      </c>
      <c r="G2354" s="82">
        <v>16211000</v>
      </c>
      <c r="I2354" s="97">
        <v>0</v>
      </c>
      <c r="J2354" s="97">
        <v>0</v>
      </c>
      <c r="K2354" s="97">
        <v>0</v>
      </c>
      <c r="M2354" s="7">
        <f t="shared" si="393"/>
        <v>0</v>
      </c>
      <c r="N2354" s="7">
        <f t="shared" si="400"/>
        <v>0</v>
      </c>
      <c r="O2354" s="7">
        <f t="shared" si="399"/>
        <v>68000</v>
      </c>
      <c r="P2354" s="99">
        <f t="shared" si="394"/>
        <v>4.2123521030787339E-3</v>
      </c>
      <c r="Q2354" s="99">
        <f t="shared" si="401"/>
        <v>-1.5696151801992547E-2</v>
      </c>
      <c r="S2354" s="7">
        <f t="shared" si="395"/>
        <v>17832100</v>
      </c>
      <c r="V2354" s="7">
        <f t="shared" si="396"/>
        <v>0</v>
      </c>
      <c r="W2354" s="7">
        <f t="shared" si="397"/>
        <v>0</v>
      </c>
      <c r="X2354" s="7">
        <f t="shared" si="398"/>
        <v>0</v>
      </c>
    </row>
    <row r="2355" spans="1:24">
      <c r="A2355">
        <v>2354</v>
      </c>
      <c r="B2355" s="96" t="s">
        <v>1243</v>
      </c>
      <c r="C2355" s="95">
        <v>43184</v>
      </c>
      <c r="D2355" s="82">
        <v>16361000</v>
      </c>
      <c r="E2355" s="82">
        <v>16361000</v>
      </c>
      <c r="F2355" s="82">
        <v>16361000</v>
      </c>
      <c r="G2355" s="82">
        <v>16361000</v>
      </c>
      <c r="I2355" s="97">
        <v>0</v>
      </c>
      <c r="J2355" s="97">
        <v>0</v>
      </c>
      <c r="K2355" s="97">
        <v>0</v>
      </c>
      <c r="M2355" s="7">
        <f t="shared" si="393"/>
        <v>0</v>
      </c>
      <c r="N2355" s="7">
        <f t="shared" si="400"/>
        <v>0</v>
      </c>
      <c r="O2355" s="7">
        <f t="shared" si="399"/>
        <v>150000</v>
      </c>
      <c r="P2355" s="99">
        <f t="shared" si="394"/>
        <v>9.2529763740669922E-3</v>
      </c>
      <c r="Q2355" s="99">
        <f t="shared" si="401"/>
        <v>-5.265045888402901E-3</v>
      </c>
      <c r="S2355" s="7">
        <f t="shared" si="395"/>
        <v>17997100</v>
      </c>
      <c r="V2355" s="7">
        <f t="shared" si="396"/>
        <v>0</v>
      </c>
      <c r="W2355" s="7">
        <f t="shared" si="397"/>
        <v>0</v>
      </c>
      <c r="X2355" s="7">
        <f t="shared" si="398"/>
        <v>0</v>
      </c>
    </row>
    <row r="2356" spans="1:24">
      <c r="A2356">
        <v>2355</v>
      </c>
      <c r="B2356" s="96" t="s">
        <v>1242</v>
      </c>
      <c r="C2356" s="95">
        <v>43185</v>
      </c>
      <c r="D2356" s="82">
        <v>16600000</v>
      </c>
      <c r="E2356" s="82">
        <v>16600000</v>
      </c>
      <c r="F2356" s="82">
        <v>17100000</v>
      </c>
      <c r="G2356" s="82">
        <v>17100000</v>
      </c>
      <c r="I2356" s="98">
        <v>0</v>
      </c>
      <c r="J2356" s="98">
        <v>0</v>
      </c>
      <c r="K2356" s="98">
        <v>0</v>
      </c>
      <c r="M2356" s="7">
        <f t="shared" si="393"/>
        <v>0</v>
      </c>
      <c r="N2356" s="7">
        <f t="shared" si="400"/>
        <v>0</v>
      </c>
      <c r="O2356" s="7">
        <f t="shared" si="399"/>
        <v>739000</v>
      </c>
      <c r="P2356" s="99">
        <f t="shared" si="394"/>
        <v>4.5168388240327609E-2</v>
      </c>
      <c r="Q2356" s="99">
        <f t="shared" si="401"/>
        <v>2.2392838461124213E-2</v>
      </c>
      <c r="S2356" s="7">
        <f t="shared" si="395"/>
        <v>18810000</v>
      </c>
      <c r="V2356" s="7">
        <f t="shared" si="396"/>
        <v>0</v>
      </c>
      <c r="W2356" s="7">
        <f t="shared" si="397"/>
        <v>0</v>
      </c>
      <c r="X2356" s="7">
        <f t="shared" si="398"/>
        <v>0</v>
      </c>
    </row>
    <row r="2357" spans="1:24">
      <c r="A2357">
        <v>2356</v>
      </c>
      <c r="B2357" s="96" t="s">
        <v>1241</v>
      </c>
      <c r="C2357" s="95">
        <v>43186</v>
      </c>
      <c r="D2357" s="82">
        <v>17025000</v>
      </c>
      <c r="E2357" s="82">
        <v>16930000</v>
      </c>
      <c r="F2357" s="82">
        <v>17150000</v>
      </c>
      <c r="G2357" s="82">
        <v>17125000</v>
      </c>
      <c r="I2357" s="82">
        <f>G2357*1.1</f>
        <v>18837500</v>
      </c>
      <c r="J2357" s="82">
        <f>G2357/3</f>
        <v>5708333.333333333</v>
      </c>
      <c r="K2357" s="7">
        <f>G2625</f>
        <v>0</v>
      </c>
      <c r="L2357" s="7">
        <f>K2357-I2357</f>
        <v>-18837500</v>
      </c>
      <c r="M2357" s="7">
        <f t="shared" si="393"/>
        <v>713541.66666666651</v>
      </c>
      <c r="N2357" s="7">
        <f t="shared" si="400"/>
        <v>-18123958.333333332</v>
      </c>
      <c r="O2357" s="7">
        <f t="shared" si="399"/>
        <v>25000</v>
      </c>
      <c r="P2357" s="99">
        <f t="shared" si="394"/>
        <v>1.4619883040935672E-3</v>
      </c>
      <c r="Q2357" s="99">
        <f t="shared" si="401"/>
        <v>6.3811226701451826E-2</v>
      </c>
      <c r="R2357">
        <v>1</v>
      </c>
      <c r="S2357" s="7">
        <f t="shared" si="395"/>
        <v>18837500</v>
      </c>
      <c r="V2357" s="7">
        <f t="shared" si="396"/>
        <v>-18837500</v>
      </c>
      <c r="W2357" s="7">
        <f t="shared" si="397"/>
        <v>0</v>
      </c>
      <c r="X2357" s="7">
        <f t="shared" si="398"/>
        <v>-18837500</v>
      </c>
    </row>
    <row r="2358" spans="1:24">
      <c r="A2358">
        <v>2357</v>
      </c>
      <c r="B2358" s="96" t="s">
        <v>1240</v>
      </c>
      <c r="C2358" s="95">
        <v>43187</v>
      </c>
      <c r="D2358" s="82">
        <v>17100000</v>
      </c>
      <c r="E2358" s="82">
        <v>17000000</v>
      </c>
      <c r="F2358" s="82">
        <v>17100000</v>
      </c>
      <c r="G2358" s="82">
        <v>17050000</v>
      </c>
      <c r="I2358" s="97">
        <v>0</v>
      </c>
      <c r="J2358" s="97">
        <v>0</v>
      </c>
      <c r="K2358" s="97">
        <v>0</v>
      </c>
      <c r="M2358" s="7">
        <f t="shared" si="393"/>
        <v>0</v>
      </c>
      <c r="N2358" s="7">
        <f t="shared" si="400"/>
        <v>0</v>
      </c>
      <c r="O2358" s="7">
        <f t="shared" si="399"/>
        <v>-75000</v>
      </c>
      <c r="P2358" s="99">
        <f t="shared" si="394"/>
        <v>-4.3795620437956208E-3</v>
      </c>
      <c r="Q2358" s="99">
        <f t="shared" si="401"/>
        <v>5.8672965939542902E-2</v>
      </c>
      <c r="S2358" s="7">
        <f t="shared" si="395"/>
        <v>18755000</v>
      </c>
      <c r="V2358" s="7">
        <f t="shared" si="396"/>
        <v>0</v>
      </c>
      <c r="W2358" s="7">
        <f t="shared" si="397"/>
        <v>0</v>
      </c>
      <c r="X2358" s="7">
        <f t="shared" si="398"/>
        <v>0</v>
      </c>
    </row>
    <row r="2359" spans="1:24">
      <c r="A2359">
        <v>2358</v>
      </c>
      <c r="B2359" s="96" t="s">
        <v>1239</v>
      </c>
      <c r="C2359" s="95">
        <v>43188</v>
      </c>
      <c r="D2359" s="82">
        <v>17075000</v>
      </c>
      <c r="E2359" s="82">
        <v>17075000</v>
      </c>
      <c r="F2359" s="82">
        <v>17250000</v>
      </c>
      <c r="G2359" s="82">
        <v>17250000</v>
      </c>
      <c r="I2359" s="97">
        <v>0</v>
      </c>
      <c r="J2359" s="97">
        <v>0</v>
      </c>
      <c r="K2359" s="97">
        <v>0</v>
      </c>
      <c r="M2359" s="7">
        <f t="shared" si="393"/>
        <v>0</v>
      </c>
      <c r="N2359" s="7">
        <f t="shared" si="400"/>
        <v>0</v>
      </c>
      <c r="O2359" s="7">
        <f t="shared" si="399"/>
        <v>200000</v>
      </c>
      <c r="P2359" s="99">
        <f t="shared" si="394"/>
        <v>1.1730205278592375E-2</v>
      </c>
      <c r="Q2359" s="99">
        <f t="shared" si="401"/>
        <v>5.5716142977771277E-2</v>
      </c>
      <c r="S2359" s="7">
        <f t="shared" si="395"/>
        <v>18975000</v>
      </c>
      <c r="V2359" s="7">
        <f t="shared" si="396"/>
        <v>0</v>
      </c>
      <c r="W2359" s="7">
        <f t="shared" si="397"/>
        <v>0</v>
      </c>
      <c r="X2359" s="7">
        <f t="shared" si="398"/>
        <v>0</v>
      </c>
    </row>
    <row r="2360" spans="1:24">
      <c r="A2360">
        <v>2359</v>
      </c>
      <c r="B2360" s="96" t="s">
        <v>1238</v>
      </c>
      <c r="C2360" s="95">
        <v>43193</v>
      </c>
      <c r="D2360" s="82">
        <v>17200000</v>
      </c>
      <c r="E2360" s="82">
        <v>17150000</v>
      </c>
      <c r="F2360" s="82">
        <v>17310000</v>
      </c>
      <c r="G2360" s="82">
        <v>17290000</v>
      </c>
      <c r="I2360" s="97">
        <v>0</v>
      </c>
      <c r="J2360" s="97">
        <v>0</v>
      </c>
      <c r="K2360" s="97">
        <v>0</v>
      </c>
      <c r="M2360" s="7">
        <f t="shared" si="393"/>
        <v>0</v>
      </c>
      <c r="N2360" s="7">
        <f t="shared" si="400"/>
        <v>0</v>
      </c>
      <c r="O2360" s="7">
        <f t="shared" si="399"/>
        <v>40000</v>
      </c>
      <c r="P2360" s="99">
        <f t="shared" si="394"/>
        <v>2.3188405797101449E-3</v>
      </c>
      <c r="Q2360" s="99">
        <f t="shared" si="401"/>
        <v>6.3233996153284927E-2</v>
      </c>
      <c r="S2360" s="7">
        <f t="shared" si="395"/>
        <v>19019000</v>
      </c>
      <c r="V2360" s="7">
        <f t="shared" si="396"/>
        <v>0</v>
      </c>
      <c r="W2360" s="7">
        <f t="shared" si="397"/>
        <v>0</v>
      </c>
      <c r="X2360" s="7">
        <f t="shared" si="398"/>
        <v>0</v>
      </c>
    </row>
    <row r="2361" spans="1:24">
      <c r="A2361">
        <v>2360</v>
      </c>
      <c r="B2361" s="96" t="s">
        <v>1237</v>
      </c>
      <c r="C2361" s="95">
        <v>43194</v>
      </c>
      <c r="D2361" s="82">
        <v>17310000</v>
      </c>
      <c r="E2361" s="82">
        <v>17290000</v>
      </c>
      <c r="F2361" s="82">
        <v>17460000</v>
      </c>
      <c r="G2361" s="82">
        <v>17360000</v>
      </c>
      <c r="I2361" s="98">
        <v>0</v>
      </c>
      <c r="J2361" s="98">
        <v>0</v>
      </c>
      <c r="K2361" s="98">
        <v>0</v>
      </c>
      <c r="M2361" s="7">
        <f t="shared" si="393"/>
        <v>0</v>
      </c>
      <c r="N2361" s="7">
        <f t="shared" si="400"/>
        <v>0</v>
      </c>
      <c r="O2361" s="7">
        <f t="shared" si="399"/>
        <v>70000</v>
      </c>
      <c r="P2361" s="99">
        <f t="shared" si="394"/>
        <v>4.048582995951417E-3</v>
      </c>
      <c r="Q2361" s="99">
        <f t="shared" si="401"/>
        <v>5.6299860358928075E-2</v>
      </c>
      <c r="S2361" s="7">
        <f t="shared" si="395"/>
        <v>19096000</v>
      </c>
      <c r="V2361" s="7">
        <f t="shared" si="396"/>
        <v>0</v>
      </c>
      <c r="W2361" s="7">
        <f t="shared" si="397"/>
        <v>0</v>
      </c>
      <c r="X2361" s="7">
        <f t="shared" si="398"/>
        <v>0</v>
      </c>
    </row>
    <row r="2362" spans="1:24">
      <c r="A2362">
        <v>2361</v>
      </c>
      <c r="B2362" s="96" t="s">
        <v>1236</v>
      </c>
      <c r="C2362" s="95">
        <v>43195</v>
      </c>
      <c r="D2362" s="82">
        <v>17390000</v>
      </c>
      <c r="E2362" s="82">
        <v>17390000</v>
      </c>
      <c r="F2362" s="82">
        <v>17490000</v>
      </c>
      <c r="G2362" s="82">
        <v>17490000</v>
      </c>
      <c r="I2362" s="82">
        <f>G2362*1.1</f>
        <v>19239000</v>
      </c>
      <c r="J2362" s="82">
        <f>G2362/3</f>
        <v>5830000</v>
      </c>
      <c r="K2362" s="7">
        <f>G2630</f>
        <v>0</v>
      </c>
      <c r="L2362" s="7">
        <f>K2362-I2362</f>
        <v>-19239000</v>
      </c>
      <c r="M2362" s="7">
        <f t="shared" si="393"/>
        <v>728750</v>
      </c>
      <c r="N2362" s="7">
        <f t="shared" si="400"/>
        <v>-18510250</v>
      </c>
      <c r="O2362" s="7">
        <f t="shared" si="399"/>
        <v>130000</v>
      </c>
      <c r="P2362" s="99">
        <f t="shared" si="394"/>
        <v>7.4884792626728107E-3</v>
      </c>
      <c r="Q2362" s="99">
        <f t="shared" si="401"/>
        <v>1.5180055114551885E-2</v>
      </c>
      <c r="R2362">
        <v>1</v>
      </c>
      <c r="S2362" s="7">
        <f t="shared" si="395"/>
        <v>19239000</v>
      </c>
      <c r="V2362" s="7">
        <f t="shared" si="396"/>
        <v>-19239000</v>
      </c>
      <c r="W2362" s="7">
        <f t="shared" si="397"/>
        <v>0</v>
      </c>
      <c r="X2362" s="7">
        <f t="shared" si="398"/>
        <v>-19239000</v>
      </c>
    </row>
    <row r="2363" spans="1:24">
      <c r="A2363">
        <v>2362</v>
      </c>
      <c r="B2363" s="96" t="s">
        <v>1235</v>
      </c>
      <c r="C2363" s="95">
        <v>43197</v>
      </c>
      <c r="D2363" s="82">
        <v>17560000</v>
      </c>
      <c r="E2363" s="82">
        <v>17550000</v>
      </c>
      <c r="F2363" s="82">
        <v>17910000</v>
      </c>
      <c r="G2363" s="82">
        <v>17830000</v>
      </c>
      <c r="I2363" s="97">
        <v>0</v>
      </c>
      <c r="J2363" s="97">
        <v>0</v>
      </c>
      <c r="K2363" s="97">
        <v>0</v>
      </c>
      <c r="M2363" s="7">
        <f t="shared" si="393"/>
        <v>0</v>
      </c>
      <c r="N2363" s="7">
        <f t="shared" si="400"/>
        <v>0</v>
      </c>
      <c r="O2363" s="7">
        <f t="shared" si="399"/>
        <v>340000</v>
      </c>
      <c r="P2363" s="99">
        <f t="shared" si="394"/>
        <v>1.9439679817038306E-2</v>
      </c>
      <c r="Q2363" s="99">
        <f t="shared" si="401"/>
        <v>2.1206546073131126E-2</v>
      </c>
      <c r="S2363" s="7">
        <f t="shared" si="395"/>
        <v>19613000</v>
      </c>
      <c r="V2363" s="7">
        <f t="shared" si="396"/>
        <v>0</v>
      </c>
      <c r="W2363" s="7">
        <f t="shared" si="397"/>
        <v>0</v>
      </c>
      <c r="X2363" s="7">
        <f t="shared" si="398"/>
        <v>0</v>
      </c>
    </row>
    <row r="2364" spans="1:24">
      <c r="A2364">
        <v>2363</v>
      </c>
      <c r="B2364" s="96" t="s">
        <v>1234</v>
      </c>
      <c r="C2364" s="95">
        <v>43198</v>
      </c>
      <c r="D2364" s="82">
        <v>18050000</v>
      </c>
      <c r="E2364" s="82">
        <v>18050000</v>
      </c>
      <c r="F2364" s="82">
        <v>19560000</v>
      </c>
      <c r="G2364" s="82">
        <v>19300000</v>
      </c>
      <c r="I2364" s="97">
        <v>0</v>
      </c>
      <c r="J2364" s="97">
        <v>0</v>
      </c>
      <c r="K2364" s="97">
        <v>0</v>
      </c>
      <c r="M2364" s="7">
        <f t="shared" si="393"/>
        <v>0</v>
      </c>
      <c r="N2364" s="7">
        <f t="shared" si="400"/>
        <v>0</v>
      </c>
      <c r="O2364" s="7">
        <f t="shared" si="399"/>
        <v>1470000</v>
      </c>
      <c r="P2364" s="99">
        <f t="shared" si="394"/>
        <v>8.2445316881660125E-2</v>
      </c>
      <c r="Q2364" s="99">
        <f t="shared" si="401"/>
        <v>4.5025787933965056E-2</v>
      </c>
      <c r="S2364" s="7">
        <f t="shared" si="395"/>
        <v>21230000</v>
      </c>
      <c r="V2364" s="7">
        <f t="shared" si="396"/>
        <v>0</v>
      </c>
      <c r="W2364" s="7">
        <f t="shared" si="397"/>
        <v>0</v>
      </c>
      <c r="X2364" s="7">
        <f t="shared" si="398"/>
        <v>0</v>
      </c>
    </row>
    <row r="2365" spans="1:24">
      <c r="A2365">
        <v>2364</v>
      </c>
      <c r="B2365" s="96" t="s">
        <v>1233</v>
      </c>
      <c r="C2365" s="95">
        <v>43199</v>
      </c>
      <c r="D2365" s="82">
        <v>19400000</v>
      </c>
      <c r="E2365" s="82">
        <v>19360000</v>
      </c>
      <c r="F2365" s="82">
        <v>20000000</v>
      </c>
      <c r="G2365" s="82">
        <v>19550000</v>
      </c>
      <c r="I2365" s="97">
        <v>0</v>
      </c>
      <c r="J2365" s="97">
        <v>0</v>
      </c>
      <c r="K2365" s="97">
        <v>0</v>
      </c>
      <c r="M2365" s="7">
        <f t="shared" si="393"/>
        <v>0</v>
      </c>
      <c r="N2365" s="7">
        <f t="shared" si="400"/>
        <v>0</v>
      </c>
      <c r="O2365" s="7">
        <f t="shared" si="399"/>
        <v>250000</v>
      </c>
      <c r="P2365" s="99">
        <f t="shared" si="394"/>
        <v>1.2953367875647668E-2</v>
      </c>
      <c r="Q2365" s="99">
        <f t="shared" si="401"/>
        <v>0.1157408995370328</v>
      </c>
      <c r="S2365" s="7">
        <f t="shared" si="395"/>
        <v>21505000</v>
      </c>
      <c r="V2365" s="7">
        <f t="shared" si="396"/>
        <v>0</v>
      </c>
      <c r="W2365" s="7">
        <f t="shared" si="397"/>
        <v>0</v>
      </c>
      <c r="X2365" s="7">
        <f t="shared" si="398"/>
        <v>0</v>
      </c>
    </row>
    <row r="2366" spans="1:24">
      <c r="A2366">
        <v>2365</v>
      </c>
      <c r="B2366" s="96" t="s">
        <v>1232</v>
      </c>
      <c r="C2366" s="95">
        <v>43200</v>
      </c>
      <c r="D2366" s="82">
        <v>18500000</v>
      </c>
      <c r="E2366" s="82">
        <v>17450000</v>
      </c>
      <c r="F2366" s="82">
        <v>18510000</v>
      </c>
      <c r="G2366" s="82">
        <v>17700000</v>
      </c>
      <c r="I2366" s="98">
        <v>0</v>
      </c>
      <c r="J2366" s="98">
        <v>0</v>
      </c>
      <c r="K2366" s="98">
        <v>0</v>
      </c>
      <c r="M2366" s="7">
        <f t="shared" si="393"/>
        <v>0</v>
      </c>
      <c r="N2366" s="7">
        <f t="shared" si="400"/>
        <v>0</v>
      </c>
      <c r="O2366" s="7">
        <f t="shared" si="399"/>
        <v>-1850000</v>
      </c>
      <c r="P2366" s="99">
        <f t="shared" si="394"/>
        <v>-9.4629156010230184E-2</v>
      </c>
      <c r="Q2366" s="99">
        <f t="shared" si="401"/>
        <v>0.12637542683297032</v>
      </c>
      <c r="S2366" s="7">
        <f t="shared" si="395"/>
        <v>19470000</v>
      </c>
      <c r="V2366" s="7">
        <f t="shared" si="396"/>
        <v>0</v>
      </c>
      <c r="W2366" s="7">
        <f t="shared" si="397"/>
        <v>0</v>
      </c>
      <c r="X2366" s="7">
        <f t="shared" si="398"/>
        <v>0</v>
      </c>
    </row>
    <row r="2367" spans="1:24">
      <c r="A2367">
        <v>2366</v>
      </c>
      <c r="B2367" s="96" t="s">
        <v>1231</v>
      </c>
      <c r="C2367" s="95">
        <v>43201</v>
      </c>
      <c r="D2367" s="82">
        <v>17410000</v>
      </c>
      <c r="E2367" s="82">
        <v>17210000</v>
      </c>
      <c r="F2367" s="82">
        <v>17910000</v>
      </c>
      <c r="G2367" s="82">
        <v>17910000</v>
      </c>
      <c r="I2367" s="82">
        <f>G2367*1.1</f>
        <v>19701000</v>
      </c>
      <c r="J2367" s="82">
        <f>G2367/3</f>
        <v>5970000</v>
      </c>
      <c r="K2367" s="7">
        <f>G2635</f>
        <v>0</v>
      </c>
      <c r="L2367" s="7">
        <f>K2367-I2367</f>
        <v>-19701000</v>
      </c>
      <c r="M2367" s="7">
        <f t="shared" si="393"/>
        <v>746250</v>
      </c>
      <c r="N2367" s="7">
        <f t="shared" si="400"/>
        <v>-18954750</v>
      </c>
      <c r="O2367" s="7">
        <f t="shared" si="399"/>
        <v>210000</v>
      </c>
      <c r="P2367" s="99">
        <f>O2367/G2366</f>
        <v>1.1864406779661017E-2</v>
      </c>
      <c r="Q2367" s="99">
        <f t="shared" si="401"/>
        <v>2.7697687826788733E-2</v>
      </c>
      <c r="R2367">
        <v>1</v>
      </c>
      <c r="S2367" s="7">
        <f t="shared" si="395"/>
        <v>19701000</v>
      </c>
      <c r="V2367" s="7">
        <f t="shared" si="396"/>
        <v>-19701000</v>
      </c>
      <c r="W2367" s="7">
        <f t="shared" si="397"/>
        <v>0</v>
      </c>
      <c r="X2367" s="7">
        <f t="shared" si="398"/>
        <v>-19701000</v>
      </c>
    </row>
    <row r="2368" spans="1:24">
      <c r="A2368">
        <v>2367</v>
      </c>
      <c r="B2368" s="96" t="s">
        <v>1230</v>
      </c>
      <c r="C2368" s="95">
        <v>43202</v>
      </c>
      <c r="D2368" s="82">
        <v>17930000</v>
      </c>
      <c r="E2368" s="82">
        <v>17760000</v>
      </c>
      <c r="F2368" s="82">
        <v>17930000</v>
      </c>
      <c r="G2368" s="82">
        <v>17850000</v>
      </c>
      <c r="I2368" s="97">
        <v>0</v>
      </c>
      <c r="J2368" s="97">
        <v>0</v>
      </c>
      <c r="K2368" s="97">
        <v>0</v>
      </c>
      <c r="M2368" s="7">
        <f t="shared" si="393"/>
        <v>0</v>
      </c>
      <c r="N2368" s="7">
        <f t="shared" si="400"/>
        <v>0</v>
      </c>
      <c r="O2368" s="7">
        <f t="shared" si="399"/>
        <v>-60000</v>
      </c>
      <c r="P2368" s="99">
        <f t="shared" si="394"/>
        <v>-3.3500837520938024E-3</v>
      </c>
      <c r="Q2368" s="99">
        <f t="shared" si="401"/>
        <v>3.2073615343776944E-2</v>
      </c>
      <c r="S2368" s="7">
        <f t="shared" si="395"/>
        <v>19635000</v>
      </c>
      <c r="V2368" s="7">
        <f t="shared" si="396"/>
        <v>0</v>
      </c>
      <c r="W2368" s="7">
        <f t="shared" si="397"/>
        <v>0</v>
      </c>
      <c r="X2368" s="7">
        <f t="shared" si="398"/>
        <v>0</v>
      </c>
    </row>
    <row r="2369" spans="1:24">
      <c r="A2369">
        <v>2368</v>
      </c>
      <c r="B2369" s="96" t="s">
        <v>1229</v>
      </c>
      <c r="C2369" s="95">
        <v>43205</v>
      </c>
      <c r="D2369" s="82">
        <v>17800000</v>
      </c>
      <c r="E2369" s="82">
        <v>17780000</v>
      </c>
      <c r="F2369" s="82">
        <v>17860000</v>
      </c>
      <c r="G2369" s="82">
        <v>17810000</v>
      </c>
      <c r="I2369" s="97">
        <v>0</v>
      </c>
      <c r="J2369" s="97">
        <v>0</v>
      </c>
      <c r="K2369" s="97">
        <v>0</v>
      </c>
      <c r="M2369" s="7">
        <f t="shared" si="393"/>
        <v>0</v>
      </c>
      <c r="N2369" s="7">
        <f t="shared" si="400"/>
        <v>0</v>
      </c>
      <c r="O2369" s="7">
        <f t="shared" si="399"/>
        <v>-40000</v>
      </c>
      <c r="P2369" s="99">
        <f t="shared" si="394"/>
        <v>-2.2408963585434172E-3</v>
      </c>
      <c r="Q2369" s="99">
        <f t="shared" si="401"/>
        <v>9.2838517746448284E-3</v>
      </c>
      <c r="S2369" s="7">
        <f t="shared" si="395"/>
        <v>19591000</v>
      </c>
      <c r="V2369" s="7">
        <f t="shared" si="396"/>
        <v>0</v>
      </c>
      <c r="W2369" s="7">
        <f t="shared" si="397"/>
        <v>0</v>
      </c>
      <c r="X2369" s="7">
        <f t="shared" si="398"/>
        <v>0</v>
      </c>
    </row>
    <row r="2370" spans="1:24">
      <c r="A2370">
        <v>2369</v>
      </c>
      <c r="B2370" s="96" t="s">
        <v>1228</v>
      </c>
      <c r="C2370" s="95">
        <v>43206</v>
      </c>
      <c r="D2370" s="82">
        <v>17830000</v>
      </c>
      <c r="E2370" s="82">
        <v>17830000</v>
      </c>
      <c r="F2370" s="82">
        <v>18560000</v>
      </c>
      <c r="G2370" s="82">
        <v>18560000</v>
      </c>
      <c r="I2370" s="97">
        <v>0</v>
      </c>
      <c r="J2370" s="97">
        <v>0</v>
      </c>
      <c r="K2370" s="97">
        <v>0</v>
      </c>
      <c r="M2370" s="7">
        <f t="shared" ref="M2370:M2391" si="402">J2370*$AI$6/200</f>
        <v>0</v>
      </c>
      <c r="N2370" s="7">
        <f t="shared" si="400"/>
        <v>0</v>
      </c>
      <c r="O2370" s="7">
        <f t="shared" si="399"/>
        <v>750000</v>
      </c>
      <c r="P2370" s="99">
        <f t="shared" si="394"/>
        <v>4.211117349803481E-2</v>
      </c>
      <c r="Q2370" s="99">
        <f t="shared" si="401"/>
        <v>-7.5402361465558718E-2</v>
      </c>
      <c r="S2370" s="7">
        <f t="shared" si="395"/>
        <v>20416000</v>
      </c>
      <c r="V2370" s="7">
        <f t="shared" si="396"/>
        <v>0</v>
      </c>
      <c r="W2370" s="7">
        <f t="shared" si="397"/>
        <v>0</v>
      </c>
      <c r="X2370" s="7">
        <f t="shared" si="398"/>
        <v>0</v>
      </c>
    </row>
    <row r="2371" spans="1:24">
      <c r="A2371">
        <v>2370</v>
      </c>
      <c r="B2371" s="96" t="s">
        <v>1227</v>
      </c>
      <c r="C2371" s="95">
        <v>43207</v>
      </c>
      <c r="D2371" s="82">
        <v>18530000</v>
      </c>
      <c r="E2371" s="82">
        <v>17950000</v>
      </c>
      <c r="F2371" s="82">
        <v>18710000</v>
      </c>
      <c r="G2371" s="82">
        <v>17970000</v>
      </c>
      <c r="I2371" s="98">
        <v>0</v>
      </c>
      <c r="J2371" s="98">
        <v>0</v>
      </c>
      <c r="K2371" s="98">
        <v>0</v>
      </c>
      <c r="M2371" s="7">
        <f t="shared" si="402"/>
        <v>0</v>
      </c>
      <c r="N2371" s="7">
        <f t="shared" si="400"/>
        <v>0</v>
      </c>
      <c r="O2371" s="7">
        <f t="shared" si="399"/>
        <v>-590000</v>
      </c>
      <c r="P2371" s="99">
        <f t="shared" ref="P2371:P2391" si="403">O2371/G2370</f>
        <v>-3.1788793103448273E-2</v>
      </c>
      <c r="Q2371" s="99">
        <f t="shared" si="401"/>
        <v>-4.6244555843171595E-2</v>
      </c>
      <c r="S2371" s="7">
        <f t="shared" ref="S2371:S2391" si="404">G2371*1.1</f>
        <v>19767000</v>
      </c>
      <c r="V2371" s="7">
        <f t="shared" ref="V2371:V2391" si="405">(U2371-S2371)*R2371</f>
        <v>0</v>
      </c>
      <c r="W2371" s="7">
        <f t="shared" ref="W2371:W2391" si="406">(T2371*$AI$6/200)*R2371</f>
        <v>0</v>
      </c>
      <c r="X2371" s="7">
        <f t="shared" ref="X2371:X2391" si="407">V2371+W2371</f>
        <v>0</v>
      </c>
    </row>
    <row r="2372" spans="1:24">
      <c r="A2372">
        <v>2371</v>
      </c>
      <c r="B2372" s="96" t="s">
        <v>1226</v>
      </c>
      <c r="C2372" s="95">
        <v>43208</v>
      </c>
      <c r="D2372" s="82">
        <v>18060000</v>
      </c>
      <c r="E2372" s="82">
        <v>18050000</v>
      </c>
      <c r="F2372" s="82">
        <v>18400000</v>
      </c>
      <c r="G2372" s="82">
        <v>18400000</v>
      </c>
      <c r="I2372" s="82">
        <f>G2372*1.1</f>
        <v>20240000</v>
      </c>
      <c r="J2372" s="82">
        <f>G2372/3</f>
        <v>6133333.333333333</v>
      </c>
      <c r="K2372" s="7">
        <f>G2640</f>
        <v>0</v>
      </c>
      <c r="L2372" s="7">
        <f>K2372-I2372</f>
        <v>-20240000</v>
      </c>
      <c r="M2372" s="7">
        <f t="shared" si="402"/>
        <v>766666.66666666651</v>
      </c>
      <c r="N2372" s="7">
        <f t="shared" si="400"/>
        <v>-19473333.333333332</v>
      </c>
      <c r="O2372" s="7">
        <f t="shared" ref="O2372:O2391" si="408">G2372-G2371</f>
        <v>430000</v>
      </c>
      <c r="P2372" s="99">
        <f t="shared" si="403"/>
        <v>2.3928770172509738E-2</v>
      </c>
      <c r="Q2372" s="99">
        <f>SUM(P2367:P2371)</f>
        <v>1.6595807063610336E-2</v>
      </c>
      <c r="R2372">
        <v>1</v>
      </c>
      <c r="S2372" s="7">
        <f t="shared" si="404"/>
        <v>20240000</v>
      </c>
      <c r="V2372" s="7">
        <f t="shared" si="405"/>
        <v>-20240000</v>
      </c>
      <c r="W2372" s="7">
        <f t="shared" si="406"/>
        <v>0</v>
      </c>
      <c r="X2372" s="7">
        <f t="shared" si="407"/>
        <v>-20240000</v>
      </c>
    </row>
    <row r="2373" spans="1:24">
      <c r="A2373">
        <v>2372</v>
      </c>
      <c r="B2373" s="96" t="s">
        <v>1225</v>
      </c>
      <c r="C2373" s="95">
        <v>43209</v>
      </c>
      <c r="D2373" s="82">
        <v>18410000</v>
      </c>
      <c r="E2373" s="82">
        <v>18290000</v>
      </c>
      <c r="F2373" s="82">
        <v>18450000</v>
      </c>
      <c r="G2373" s="82">
        <v>18290000</v>
      </c>
      <c r="I2373" s="97">
        <v>0</v>
      </c>
      <c r="J2373" s="97">
        <v>0</v>
      </c>
      <c r="K2373" s="97">
        <v>0</v>
      </c>
      <c r="M2373" s="7">
        <f t="shared" si="402"/>
        <v>0</v>
      </c>
      <c r="N2373" s="7">
        <f t="shared" si="400"/>
        <v>0</v>
      </c>
      <c r="O2373" s="7">
        <f t="shared" si="408"/>
        <v>-110000</v>
      </c>
      <c r="P2373" s="99">
        <f t="shared" si="403"/>
        <v>-5.9782608695652176E-3</v>
      </c>
      <c r="Q2373" s="99">
        <f t="shared" si="401"/>
        <v>2.8660170456459057E-2</v>
      </c>
      <c r="S2373" s="7">
        <f t="shared" si="404"/>
        <v>20119000</v>
      </c>
      <c r="V2373" s="7">
        <f t="shared" si="405"/>
        <v>0</v>
      </c>
      <c r="W2373" s="7">
        <f t="shared" si="406"/>
        <v>0</v>
      </c>
      <c r="X2373" s="7">
        <f t="shared" si="407"/>
        <v>0</v>
      </c>
    </row>
    <row r="2374" spans="1:24">
      <c r="A2374">
        <v>2373</v>
      </c>
      <c r="B2374" s="96" t="s">
        <v>1224</v>
      </c>
      <c r="C2374" s="95">
        <v>43211</v>
      </c>
      <c r="D2374" s="82">
        <v>18250000</v>
      </c>
      <c r="E2374" s="82">
        <v>18250000</v>
      </c>
      <c r="F2374" s="82">
        <v>18400000</v>
      </c>
      <c r="G2374" s="82">
        <v>18350000</v>
      </c>
      <c r="I2374" s="97">
        <v>0</v>
      </c>
      <c r="J2374" s="97">
        <v>0</v>
      </c>
      <c r="K2374" s="97">
        <v>0</v>
      </c>
      <c r="M2374" s="7">
        <f t="shared" si="402"/>
        <v>0</v>
      </c>
      <c r="N2374" s="7">
        <f t="shared" si="400"/>
        <v>0</v>
      </c>
      <c r="O2374" s="7">
        <f t="shared" si="408"/>
        <v>60000</v>
      </c>
      <c r="P2374" s="99">
        <f t="shared" si="403"/>
        <v>3.2804811372334607E-3</v>
      </c>
      <c r="Q2374" s="99">
        <f t="shared" si="401"/>
        <v>2.603199333898764E-2</v>
      </c>
      <c r="S2374" s="7">
        <f t="shared" si="404"/>
        <v>20185000</v>
      </c>
      <c r="V2374" s="7">
        <f t="shared" si="405"/>
        <v>0</v>
      </c>
      <c r="W2374" s="7">
        <f t="shared" si="406"/>
        <v>0</v>
      </c>
      <c r="X2374" s="7">
        <f t="shared" si="407"/>
        <v>0</v>
      </c>
    </row>
    <row r="2375" spans="1:24">
      <c r="A2375">
        <v>2374</v>
      </c>
      <c r="B2375" s="96" t="s">
        <v>1223</v>
      </c>
      <c r="C2375" s="95">
        <v>43212</v>
      </c>
      <c r="D2375" s="82">
        <v>18300000</v>
      </c>
      <c r="E2375" s="82">
        <v>18200000</v>
      </c>
      <c r="F2375" s="82">
        <v>18350000</v>
      </c>
      <c r="G2375" s="82">
        <v>18200000</v>
      </c>
      <c r="I2375" s="97">
        <v>0</v>
      </c>
      <c r="J2375" s="97">
        <v>0</v>
      </c>
      <c r="K2375" s="97">
        <v>0</v>
      </c>
      <c r="M2375" s="7">
        <f t="shared" si="402"/>
        <v>0</v>
      </c>
      <c r="N2375" s="7">
        <f t="shared" si="400"/>
        <v>0</v>
      </c>
      <c r="O2375" s="7">
        <f t="shared" si="408"/>
        <v>-150000</v>
      </c>
      <c r="P2375" s="99">
        <f t="shared" si="403"/>
        <v>-8.1743869209809257E-3</v>
      </c>
      <c r="Q2375" s="99">
        <f t="shared" si="401"/>
        <v>3.1553370834764519E-2</v>
      </c>
      <c r="S2375" s="7">
        <f t="shared" si="404"/>
        <v>20020000</v>
      </c>
      <c r="V2375" s="7">
        <f t="shared" si="405"/>
        <v>0</v>
      </c>
      <c r="W2375" s="7">
        <f t="shared" si="406"/>
        <v>0</v>
      </c>
      <c r="X2375" s="7">
        <f t="shared" si="407"/>
        <v>0</v>
      </c>
    </row>
    <row r="2376" spans="1:24">
      <c r="A2376">
        <v>2375</v>
      </c>
      <c r="B2376" s="96" t="s">
        <v>1222</v>
      </c>
      <c r="C2376" s="95">
        <v>43213</v>
      </c>
      <c r="D2376" s="82">
        <v>18190000</v>
      </c>
      <c r="E2376" s="82">
        <v>17700000</v>
      </c>
      <c r="F2376" s="82">
        <v>18190000</v>
      </c>
      <c r="G2376" s="82">
        <v>17700000</v>
      </c>
      <c r="I2376" s="98">
        <v>0</v>
      </c>
      <c r="J2376" s="98">
        <v>0</v>
      </c>
      <c r="K2376" s="98">
        <v>0</v>
      </c>
      <c r="M2376" s="7">
        <f t="shared" si="402"/>
        <v>0</v>
      </c>
      <c r="N2376" s="7">
        <f t="shared" ref="N2376:N2391" si="409">L2376+M2376</f>
        <v>0</v>
      </c>
      <c r="O2376" s="7">
        <f t="shared" si="408"/>
        <v>-500000</v>
      </c>
      <c r="P2376" s="99">
        <f t="shared" si="403"/>
        <v>-2.7472527472527472E-2</v>
      </c>
      <c r="Q2376" s="99">
        <f t="shared" ref="Q2376:Q2391" si="410">SUM(P2371:P2375)</f>
        <v>-1.873218958425122E-2</v>
      </c>
      <c r="S2376" s="7">
        <f t="shared" si="404"/>
        <v>19470000</v>
      </c>
      <c r="V2376" s="7">
        <f t="shared" si="405"/>
        <v>0</v>
      </c>
      <c r="W2376" s="7">
        <f t="shared" si="406"/>
        <v>0</v>
      </c>
      <c r="X2376" s="7">
        <f t="shared" si="407"/>
        <v>0</v>
      </c>
    </row>
    <row r="2377" spans="1:24">
      <c r="A2377">
        <v>2376</v>
      </c>
      <c r="B2377" s="96" t="s">
        <v>1221</v>
      </c>
      <c r="C2377" s="95">
        <v>43214</v>
      </c>
      <c r="D2377" s="82">
        <v>17850000</v>
      </c>
      <c r="E2377" s="82">
        <v>17600000</v>
      </c>
      <c r="F2377" s="82">
        <v>17850000</v>
      </c>
      <c r="G2377" s="82">
        <v>17600000</v>
      </c>
      <c r="I2377" s="82">
        <f>G2377*1.1</f>
        <v>19360000</v>
      </c>
      <c r="J2377" s="82">
        <f>G2377/3</f>
        <v>5866666.666666667</v>
      </c>
      <c r="K2377" s="7">
        <f>G2645</f>
        <v>0</v>
      </c>
      <c r="L2377" s="7">
        <f>K2377-I2377</f>
        <v>-19360000</v>
      </c>
      <c r="M2377" s="7">
        <f t="shared" si="402"/>
        <v>733333.33333333349</v>
      </c>
      <c r="N2377" s="7">
        <f t="shared" si="409"/>
        <v>-18626666.666666668</v>
      </c>
      <c r="O2377" s="7">
        <f t="shared" si="408"/>
        <v>-100000</v>
      </c>
      <c r="P2377" s="99">
        <f t="shared" si="403"/>
        <v>-5.6497175141242938E-3</v>
      </c>
      <c r="Q2377" s="99">
        <f t="shared" si="410"/>
        <v>-1.4415923953330415E-2</v>
      </c>
      <c r="R2377">
        <v>1</v>
      </c>
      <c r="S2377" s="7">
        <f t="shared" si="404"/>
        <v>19360000</v>
      </c>
      <c r="V2377" s="7">
        <f t="shared" si="405"/>
        <v>-19360000</v>
      </c>
      <c r="W2377" s="7">
        <f t="shared" si="406"/>
        <v>0</v>
      </c>
      <c r="X2377" s="7">
        <f t="shared" si="407"/>
        <v>-19360000</v>
      </c>
    </row>
    <row r="2378" spans="1:24">
      <c r="A2378">
        <v>2377</v>
      </c>
      <c r="B2378" s="96" t="s">
        <v>1220</v>
      </c>
      <c r="C2378" s="95">
        <v>43215</v>
      </c>
      <c r="D2378" s="82">
        <v>17700000</v>
      </c>
      <c r="E2378" s="82">
        <v>17470000</v>
      </c>
      <c r="F2378" s="82">
        <v>17750000</v>
      </c>
      <c r="G2378" s="82">
        <v>17470000</v>
      </c>
      <c r="I2378" s="97">
        <v>0</v>
      </c>
      <c r="J2378" s="97">
        <v>0</v>
      </c>
      <c r="K2378" s="97">
        <v>0</v>
      </c>
      <c r="M2378" s="7">
        <f t="shared" si="402"/>
        <v>0</v>
      </c>
      <c r="N2378" s="7">
        <f t="shared" si="409"/>
        <v>0</v>
      </c>
      <c r="O2378" s="7">
        <f t="shared" si="408"/>
        <v>-130000</v>
      </c>
      <c r="P2378" s="99">
        <f t="shared" si="403"/>
        <v>-7.3863636363636362E-3</v>
      </c>
      <c r="Q2378" s="99">
        <f t="shared" si="410"/>
        <v>-4.3994411639964454E-2</v>
      </c>
      <c r="S2378" s="7">
        <f t="shared" si="404"/>
        <v>19217000</v>
      </c>
      <c r="V2378" s="7">
        <f t="shared" si="405"/>
        <v>0</v>
      </c>
      <c r="W2378" s="7">
        <f t="shared" si="406"/>
        <v>0</v>
      </c>
      <c r="X2378" s="7">
        <f t="shared" si="407"/>
        <v>0</v>
      </c>
    </row>
    <row r="2379" spans="1:24">
      <c r="A2379">
        <v>2378</v>
      </c>
      <c r="B2379" s="96" t="s">
        <v>1219</v>
      </c>
      <c r="C2379" s="95">
        <v>43216</v>
      </c>
      <c r="D2379" s="82">
        <v>17600000</v>
      </c>
      <c r="E2379" s="82">
        <v>17600000</v>
      </c>
      <c r="F2379" s="82">
        <v>17670000</v>
      </c>
      <c r="G2379" s="82">
        <v>17670000</v>
      </c>
      <c r="I2379" s="97">
        <v>0</v>
      </c>
      <c r="J2379" s="97">
        <v>0</v>
      </c>
      <c r="K2379" s="97">
        <v>0</v>
      </c>
      <c r="M2379" s="7">
        <f t="shared" si="402"/>
        <v>0</v>
      </c>
      <c r="N2379" s="7">
        <f t="shared" si="409"/>
        <v>0</v>
      </c>
      <c r="O2379" s="7">
        <f t="shared" si="408"/>
        <v>200000</v>
      </c>
      <c r="P2379" s="99">
        <f t="shared" si="403"/>
        <v>1.1448196908986834E-2</v>
      </c>
      <c r="Q2379" s="99">
        <f t="shared" si="410"/>
        <v>-4.5402514406762864E-2</v>
      </c>
      <c r="S2379" s="7">
        <f t="shared" si="404"/>
        <v>19437000</v>
      </c>
      <c r="V2379" s="7">
        <f t="shared" si="405"/>
        <v>0</v>
      </c>
      <c r="W2379" s="7">
        <f t="shared" si="406"/>
        <v>0</v>
      </c>
      <c r="X2379" s="7">
        <f t="shared" si="407"/>
        <v>0</v>
      </c>
    </row>
    <row r="2380" spans="1:24">
      <c r="A2380">
        <v>2379</v>
      </c>
      <c r="B2380" s="96" t="s">
        <v>1218</v>
      </c>
      <c r="C2380" s="95">
        <v>43218</v>
      </c>
      <c r="D2380" s="82">
        <v>17700000</v>
      </c>
      <c r="E2380" s="82">
        <v>17700000</v>
      </c>
      <c r="F2380" s="82">
        <v>18020000</v>
      </c>
      <c r="G2380" s="82">
        <v>18000000</v>
      </c>
      <c r="I2380" s="97">
        <v>0</v>
      </c>
      <c r="J2380" s="97">
        <v>0</v>
      </c>
      <c r="K2380" s="97">
        <v>0</v>
      </c>
      <c r="M2380" s="7">
        <f t="shared" si="402"/>
        <v>0</v>
      </c>
      <c r="N2380" s="7">
        <f t="shared" si="409"/>
        <v>0</v>
      </c>
      <c r="O2380" s="7">
        <f t="shared" si="408"/>
        <v>330000</v>
      </c>
      <c r="P2380" s="99">
        <f t="shared" si="403"/>
        <v>1.8675721561969439E-2</v>
      </c>
      <c r="Q2380" s="99">
        <f t="shared" si="410"/>
        <v>-3.7234798635009489E-2</v>
      </c>
      <c r="S2380" s="7">
        <f t="shared" si="404"/>
        <v>19800000</v>
      </c>
      <c r="V2380" s="7">
        <f t="shared" si="405"/>
        <v>0</v>
      </c>
      <c r="W2380" s="7">
        <f t="shared" si="406"/>
        <v>0</v>
      </c>
      <c r="X2380" s="7">
        <f t="shared" si="407"/>
        <v>0</v>
      </c>
    </row>
    <row r="2381" spans="1:24">
      <c r="A2381">
        <v>2380</v>
      </c>
      <c r="B2381" s="96" t="s">
        <v>1217</v>
      </c>
      <c r="C2381" s="95">
        <v>43219</v>
      </c>
      <c r="D2381" s="82">
        <v>18050000</v>
      </c>
      <c r="E2381" s="82">
        <v>17950000</v>
      </c>
      <c r="F2381" s="82">
        <v>18450000</v>
      </c>
      <c r="G2381" s="82">
        <v>18450000</v>
      </c>
      <c r="I2381" s="98">
        <v>0</v>
      </c>
      <c r="J2381" s="98">
        <v>0</v>
      </c>
      <c r="K2381" s="98">
        <v>0</v>
      </c>
      <c r="M2381" s="7">
        <f t="shared" si="402"/>
        <v>0</v>
      </c>
      <c r="N2381" s="7">
        <f t="shared" si="409"/>
        <v>0</v>
      </c>
      <c r="O2381" s="7">
        <f t="shared" si="408"/>
        <v>450000</v>
      </c>
      <c r="P2381" s="99">
        <f t="shared" si="403"/>
        <v>2.5000000000000001E-2</v>
      </c>
      <c r="Q2381" s="99">
        <f t="shared" si="410"/>
        <v>-1.0384690152059131E-2</v>
      </c>
      <c r="S2381" s="7">
        <f t="shared" si="404"/>
        <v>20295000</v>
      </c>
      <c r="V2381" s="7">
        <f t="shared" si="405"/>
        <v>0</v>
      </c>
      <c r="W2381" s="7">
        <f t="shared" si="406"/>
        <v>0</v>
      </c>
      <c r="X2381" s="7">
        <f t="shared" si="407"/>
        <v>0</v>
      </c>
    </row>
    <row r="2382" spans="1:24">
      <c r="A2382">
        <v>2381</v>
      </c>
      <c r="B2382" s="96" t="s">
        <v>1216</v>
      </c>
      <c r="C2382" s="95">
        <v>43220</v>
      </c>
      <c r="D2382" s="82">
        <v>18490000</v>
      </c>
      <c r="E2382" s="82">
        <v>18490000</v>
      </c>
      <c r="F2382" s="82">
        <v>18700000</v>
      </c>
      <c r="G2382" s="82">
        <v>18550000</v>
      </c>
      <c r="I2382" s="82">
        <f>G2382*1.1</f>
        <v>20405000</v>
      </c>
      <c r="J2382" s="82">
        <f>G2382/3</f>
        <v>6183333.333333333</v>
      </c>
      <c r="K2382" s="7">
        <f>G2650</f>
        <v>0</v>
      </c>
      <c r="L2382" s="7">
        <f>K2382-I2382</f>
        <v>-20405000</v>
      </c>
      <c r="M2382" s="7">
        <f t="shared" si="402"/>
        <v>772916.66666666651</v>
      </c>
      <c r="N2382" s="7">
        <f t="shared" si="409"/>
        <v>-19632083.333333332</v>
      </c>
      <c r="O2382" s="7">
        <f t="shared" si="408"/>
        <v>100000</v>
      </c>
      <c r="P2382" s="99">
        <f>O2382/G2381</f>
        <v>5.4200542005420054E-3</v>
      </c>
      <c r="Q2382" s="99">
        <f t="shared" si="410"/>
        <v>4.2087837320468349E-2</v>
      </c>
      <c r="R2382">
        <v>1</v>
      </c>
      <c r="S2382" s="7">
        <f t="shared" si="404"/>
        <v>20405000</v>
      </c>
      <c r="V2382" s="7">
        <f t="shared" si="405"/>
        <v>-20405000</v>
      </c>
      <c r="W2382" s="7">
        <f t="shared" si="406"/>
        <v>0</v>
      </c>
      <c r="X2382" s="7">
        <f t="shared" si="407"/>
        <v>-20405000</v>
      </c>
    </row>
    <row r="2383" spans="1:24">
      <c r="A2383">
        <v>2382</v>
      </c>
      <c r="B2383" s="96" t="s">
        <v>1215</v>
      </c>
      <c r="C2383" s="95">
        <v>43221</v>
      </c>
      <c r="D2383" s="82">
        <v>18800000</v>
      </c>
      <c r="E2383" s="82">
        <v>18350000</v>
      </c>
      <c r="F2383" s="82">
        <v>19250000</v>
      </c>
      <c r="G2383" s="82">
        <v>19000000</v>
      </c>
      <c r="I2383" s="97">
        <v>0</v>
      </c>
      <c r="J2383" s="97">
        <v>0</v>
      </c>
      <c r="K2383" s="97">
        <v>0</v>
      </c>
      <c r="M2383" s="7">
        <f t="shared" si="402"/>
        <v>0</v>
      </c>
      <c r="N2383" s="7">
        <f t="shared" si="409"/>
        <v>0</v>
      </c>
      <c r="O2383" s="7">
        <f t="shared" si="408"/>
        <v>450000</v>
      </c>
      <c r="P2383" s="99">
        <f t="shared" si="403"/>
        <v>2.4258760107816711E-2</v>
      </c>
      <c r="Q2383" s="99">
        <f t="shared" si="410"/>
        <v>5.3157609035134647E-2</v>
      </c>
      <c r="S2383" s="7">
        <f t="shared" si="404"/>
        <v>20900000</v>
      </c>
      <c r="V2383" s="7">
        <f t="shared" si="405"/>
        <v>0</v>
      </c>
      <c r="W2383" s="7">
        <f t="shared" si="406"/>
        <v>0</v>
      </c>
      <c r="X2383" s="7">
        <f t="shared" si="407"/>
        <v>0</v>
      </c>
    </row>
    <row r="2384" spans="1:24">
      <c r="A2384">
        <v>2383</v>
      </c>
      <c r="B2384" s="96" t="s">
        <v>1214</v>
      </c>
      <c r="C2384" s="95">
        <v>43223</v>
      </c>
      <c r="D2384" s="82">
        <v>19230000</v>
      </c>
      <c r="E2384" s="82">
        <v>19230000</v>
      </c>
      <c r="F2384" s="82">
        <v>19800000</v>
      </c>
      <c r="G2384" s="82">
        <v>19600000</v>
      </c>
      <c r="I2384" s="97">
        <v>0</v>
      </c>
      <c r="J2384" s="97">
        <v>0</v>
      </c>
      <c r="K2384" s="97">
        <v>0</v>
      </c>
      <c r="M2384" s="7">
        <f t="shared" si="402"/>
        <v>0</v>
      </c>
      <c r="N2384" s="7">
        <f t="shared" si="409"/>
        <v>0</v>
      </c>
      <c r="O2384" s="7">
        <f t="shared" si="408"/>
        <v>600000</v>
      </c>
      <c r="P2384" s="99">
        <f t="shared" si="403"/>
        <v>3.1578947368421054E-2</v>
      </c>
      <c r="Q2384" s="99">
        <f t="shared" si="410"/>
        <v>8.4802732779314993E-2</v>
      </c>
      <c r="S2384" s="7">
        <f t="shared" si="404"/>
        <v>21560000</v>
      </c>
      <c r="V2384" s="7">
        <f t="shared" si="405"/>
        <v>0</v>
      </c>
      <c r="W2384" s="7">
        <f t="shared" si="406"/>
        <v>0</v>
      </c>
      <c r="X2384" s="7">
        <f t="shared" si="407"/>
        <v>0</v>
      </c>
    </row>
    <row r="2385" spans="1:24">
      <c r="A2385">
        <v>2384</v>
      </c>
      <c r="B2385" s="96" t="s">
        <v>1213</v>
      </c>
      <c r="C2385" s="95">
        <v>43225</v>
      </c>
      <c r="D2385" s="82">
        <v>19820000</v>
      </c>
      <c r="E2385" s="82">
        <v>19820000</v>
      </c>
      <c r="F2385" s="82">
        <v>21220000</v>
      </c>
      <c r="G2385" s="82">
        <v>20475000</v>
      </c>
      <c r="I2385" s="97">
        <v>0</v>
      </c>
      <c r="J2385" s="97">
        <v>0</v>
      </c>
      <c r="K2385" s="97">
        <v>0</v>
      </c>
      <c r="M2385" s="7">
        <f t="shared" si="402"/>
        <v>0</v>
      </c>
      <c r="N2385" s="7">
        <f t="shared" si="409"/>
        <v>0</v>
      </c>
      <c r="O2385" s="7">
        <f t="shared" si="408"/>
        <v>875000</v>
      </c>
      <c r="P2385" s="99">
        <f t="shared" si="403"/>
        <v>4.4642857142857144E-2</v>
      </c>
      <c r="Q2385" s="99">
        <f t="shared" si="410"/>
        <v>0.10493348323874922</v>
      </c>
      <c r="S2385" s="7">
        <f t="shared" si="404"/>
        <v>22522500</v>
      </c>
      <c r="V2385" s="7">
        <f t="shared" si="405"/>
        <v>0</v>
      </c>
      <c r="W2385" s="7">
        <f t="shared" si="406"/>
        <v>0</v>
      </c>
      <c r="X2385" s="7">
        <f t="shared" si="407"/>
        <v>0</v>
      </c>
    </row>
    <row r="2386" spans="1:24">
      <c r="A2386">
        <v>2385</v>
      </c>
      <c r="B2386" s="96" t="s">
        <v>1212</v>
      </c>
      <c r="C2386" s="95">
        <v>43226</v>
      </c>
      <c r="D2386" s="82">
        <v>20470000</v>
      </c>
      <c r="E2386" s="82">
        <v>19945000</v>
      </c>
      <c r="F2386" s="82">
        <v>21045000</v>
      </c>
      <c r="G2386" s="82">
        <v>20370000</v>
      </c>
      <c r="I2386" s="98">
        <v>0</v>
      </c>
      <c r="J2386" s="98">
        <v>0</v>
      </c>
      <c r="K2386" s="98">
        <v>0</v>
      </c>
      <c r="M2386" s="7">
        <f t="shared" si="402"/>
        <v>0</v>
      </c>
      <c r="N2386" s="7">
        <f t="shared" si="409"/>
        <v>0</v>
      </c>
      <c r="O2386" s="7">
        <f t="shared" si="408"/>
        <v>-105000</v>
      </c>
      <c r="P2386" s="99">
        <f t="shared" si="403"/>
        <v>-5.1282051282051282E-3</v>
      </c>
      <c r="Q2386" s="99">
        <f t="shared" si="410"/>
        <v>0.13090061881963691</v>
      </c>
      <c r="S2386" s="7">
        <f t="shared" si="404"/>
        <v>22407000</v>
      </c>
      <c r="V2386" s="7">
        <f t="shared" si="405"/>
        <v>0</v>
      </c>
      <c r="W2386" s="7">
        <f t="shared" si="406"/>
        <v>0</v>
      </c>
      <c r="X2386" s="7">
        <f t="shared" si="407"/>
        <v>0</v>
      </c>
    </row>
    <row r="2387" spans="1:24">
      <c r="A2387">
        <v>2386</v>
      </c>
      <c r="B2387" s="96" t="s">
        <v>1211</v>
      </c>
      <c r="C2387" s="95">
        <v>43227</v>
      </c>
      <c r="D2387" s="82">
        <v>20245000</v>
      </c>
      <c r="E2387" s="82">
        <v>18780000</v>
      </c>
      <c r="F2387" s="82">
        <v>20245000</v>
      </c>
      <c r="G2387" s="82">
        <v>18980000</v>
      </c>
      <c r="I2387" s="82">
        <f>G2387*1.1</f>
        <v>20878000</v>
      </c>
      <c r="J2387" s="82">
        <f>G2387/3</f>
        <v>6326666.666666667</v>
      </c>
      <c r="K2387" s="7">
        <f>G2655</f>
        <v>0</v>
      </c>
      <c r="L2387" s="7">
        <f>K2387-I2387</f>
        <v>-20878000</v>
      </c>
      <c r="M2387" s="7">
        <f t="shared" si="402"/>
        <v>790833.33333333349</v>
      </c>
      <c r="N2387" s="7">
        <f t="shared" si="409"/>
        <v>-20087166.666666668</v>
      </c>
      <c r="O2387" s="7">
        <f t="shared" si="408"/>
        <v>-1390000</v>
      </c>
      <c r="P2387" s="99">
        <f t="shared" si="403"/>
        <v>-6.823760432007854E-2</v>
      </c>
      <c r="Q2387" s="99">
        <f>SUM(P2382:P2386)</f>
        <v>0.10077241369143179</v>
      </c>
      <c r="R2387">
        <v>1</v>
      </c>
      <c r="S2387" s="7">
        <f t="shared" si="404"/>
        <v>20878000</v>
      </c>
      <c r="V2387" s="7">
        <f t="shared" si="405"/>
        <v>-20878000</v>
      </c>
      <c r="W2387" s="7">
        <f t="shared" si="406"/>
        <v>0</v>
      </c>
      <c r="X2387" s="7">
        <f t="shared" si="407"/>
        <v>-20878000</v>
      </c>
    </row>
    <row r="2388" spans="1:24">
      <c r="A2388">
        <v>2387</v>
      </c>
      <c r="B2388" s="96" t="s">
        <v>1210</v>
      </c>
      <c r="C2388" s="95">
        <v>43228</v>
      </c>
      <c r="D2388" s="82">
        <v>19400000</v>
      </c>
      <c r="E2388" s="82">
        <v>19400000</v>
      </c>
      <c r="F2388" s="82">
        <v>20600000</v>
      </c>
      <c r="G2388" s="82">
        <v>20020000</v>
      </c>
      <c r="I2388" s="97">
        <v>0</v>
      </c>
      <c r="J2388" s="97">
        <v>0</v>
      </c>
      <c r="K2388" s="97">
        <v>0</v>
      </c>
      <c r="M2388" s="7">
        <f t="shared" si="402"/>
        <v>0</v>
      </c>
      <c r="N2388" s="7">
        <f t="shared" si="409"/>
        <v>0</v>
      </c>
      <c r="O2388" s="7">
        <f t="shared" si="408"/>
        <v>1040000</v>
      </c>
      <c r="P2388" s="99">
        <f t="shared" si="403"/>
        <v>5.4794520547945202E-2</v>
      </c>
      <c r="Q2388" s="99">
        <f t="shared" si="410"/>
        <v>2.7114755170811244E-2</v>
      </c>
      <c r="S2388" s="7">
        <f t="shared" si="404"/>
        <v>22022000</v>
      </c>
      <c r="V2388" s="7">
        <f t="shared" si="405"/>
        <v>0</v>
      </c>
      <c r="W2388" s="7">
        <f t="shared" si="406"/>
        <v>0</v>
      </c>
      <c r="X2388" s="7">
        <f t="shared" si="407"/>
        <v>0</v>
      </c>
    </row>
    <row r="2389" spans="1:24">
      <c r="A2389">
        <v>2388</v>
      </c>
      <c r="B2389" s="96" t="s">
        <v>1209</v>
      </c>
      <c r="C2389" s="95">
        <v>43229</v>
      </c>
      <c r="D2389" s="82">
        <v>20105000</v>
      </c>
      <c r="E2389" s="82">
        <v>19890000</v>
      </c>
      <c r="F2389" s="82">
        <v>20690000</v>
      </c>
      <c r="G2389" s="82">
        <v>20190000</v>
      </c>
      <c r="I2389" s="97">
        <v>0</v>
      </c>
      <c r="J2389" s="97">
        <v>0</v>
      </c>
      <c r="K2389" s="97">
        <v>0</v>
      </c>
      <c r="M2389" s="7">
        <f t="shared" si="402"/>
        <v>0</v>
      </c>
      <c r="N2389" s="7">
        <f t="shared" si="409"/>
        <v>0</v>
      </c>
      <c r="O2389" s="7">
        <f t="shared" si="408"/>
        <v>170000</v>
      </c>
      <c r="P2389" s="99">
        <f t="shared" si="403"/>
        <v>8.4915084915084919E-3</v>
      </c>
      <c r="Q2389" s="99">
        <f t="shared" si="410"/>
        <v>5.7650515610939729E-2</v>
      </c>
      <c r="S2389" s="7">
        <f t="shared" si="404"/>
        <v>22209000</v>
      </c>
      <c r="V2389" s="7">
        <f t="shared" si="405"/>
        <v>0</v>
      </c>
      <c r="W2389" s="7">
        <f t="shared" si="406"/>
        <v>0</v>
      </c>
      <c r="X2389" s="7">
        <f t="shared" si="407"/>
        <v>0</v>
      </c>
    </row>
    <row r="2390" spans="1:24">
      <c r="A2390">
        <v>2389</v>
      </c>
      <c r="B2390" s="96" t="s">
        <v>1208</v>
      </c>
      <c r="C2390" s="95">
        <v>43230</v>
      </c>
      <c r="D2390" s="82">
        <v>20260000</v>
      </c>
      <c r="E2390" s="82">
        <v>20260000</v>
      </c>
      <c r="F2390" s="82">
        <v>21030000</v>
      </c>
      <c r="G2390" s="82">
        <v>21030000</v>
      </c>
      <c r="I2390" s="97">
        <v>0</v>
      </c>
      <c r="J2390" s="97">
        <v>0</v>
      </c>
      <c r="K2390" s="97">
        <v>0</v>
      </c>
      <c r="M2390" s="7">
        <f t="shared" si="402"/>
        <v>0</v>
      </c>
      <c r="N2390" s="7">
        <f t="shared" si="409"/>
        <v>0</v>
      </c>
      <c r="O2390" s="7">
        <f t="shared" si="408"/>
        <v>840000</v>
      </c>
      <c r="P2390" s="99">
        <f t="shared" si="403"/>
        <v>4.1604754829123326E-2</v>
      </c>
      <c r="Q2390" s="99">
        <f t="shared" si="410"/>
        <v>3.4563076734027171E-2</v>
      </c>
      <c r="S2390" s="7">
        <f t="shared" si="404"/>
        <v>23133000.000000004</v>
      </c>
      <c r="V2390" s="7">
        <f t="shared" si="405"/>
        <v>0</v>
      </c>
      <c r="W2390" s="7">
        <f t="shared" si="406"/>
        <v>0</v>
      </c>
      <c r="X2390" s="7">
        <f t="shared" si="407"/>
        <v>0</v>
      </c>
    </row>
    <row r="2391" spans="1:24">
      <c r="A2391">
        <v>2390</v>
      </c>
      <c r="B2391" s="96" t="s">
        <v>1207</v>
      </c>
      <c r="C2391" s="95">
        <v>43232</v>
      </c>
      <c r="D2391" s="82">
        <v>21155000</v>
      </c>
      <c r="E2391" s="82">
        <v>20080000</v>
      </c>
      <c r="F2391" s="82">
        <v>21180000</v>
      </c>
      <c r="G2391" s="82">
        <v>20580000</v>
      </c>
      <c r="I2391" s="98">
        <v>0</v>
      </c>
      <c r="J2391" s="98">
        <v>0</v>
      </c>
      <c r="K2391" s="98">
        <v>0</v>
      </c>
      <c r="M2391" s="7">
        <f t="shared" si="402"/>
        <v>0</v>
      </c>
      <c r="N2391" s="7">
        <f t="shared" si="409"/>
        <v>0</v>
      </c>
      <c r="O2391" s="7">
        <f t="shared" si="408"/>
        <v>-450000</v>
      </c>
      <c r="P2391" s="99">
        <f t="shared" si="403"/>
        <v>-2.1398002853067047E-2</v>
      </c>
      <c r="Q2391" s="99">
        <f t="shared" si="410"/>
        <v>3.1524974420293353E-2</v>
      </c>
      <c r="S2391" s="7">
        <f t="shared" si="404"/>
        <v>22638000</v>
      </c>
      <c r="V2391" s="7">
        <f t="shared" si="405"/>
        <v>0</v>
      </c>
      <c r="W2391" s="7">
        <f t="shared" si="406"/>
        <v>0</v>
      </c>
      <c r="X2391" s="7">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4451</v>
      </c>
      <c r="B1" t="s">
        <v>4454</v>
      </c>
      <c r="C1" t="s">
        <v>4455</v>
      </c>
    </row>
    <row r="2" spans="1:3">
      <c r="A2" t="s">
        <v>4452</v>
      </c>
      <c r="B2" t="s">
        <v>4456</v>
      </c>
      <c r="C2" t="s">
        <v>4457</v>
      </c>
    </row>
    <row r="3" spans="1:3">
      <c r="A3" t="s">
        <v>4453</v>
      </c>
      <c r="B3" t="s">
        <v>4455</v>
      </c>
      <c r="C3" t="s">
        <v>4458</v>
      </c>
    </row>
    <row r="5" spans="1:3">
      <c r="A5" t="s">
        <v>4647</v>
      </c>
      <c r="B5" t="s">
        <v>4661</v>
      </c>
    </row>
    <row r="6" spans="1:3">
      <c r="A6" t="s">
        <v>4657</v>
      </c>
      <c r="B6" t="s">
        <v>4662</v>
      </c>
    </row>
    <row r="8" spans="1:3" ht="9.75" customHeight="1"/>
    <row r="9" spans="1:3" hidden="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C25" sqref="C25"/>
    </sheetView>
  </sheetViews>
  <sheetFormatPr defaultRowHeight="15"/>
  <cols>
    <col min="1" max="1" width="24.7109375" bestFit="1" customWidth="1"/>
    <col min="2" max="2" width="14.28515625" bestFit="1" customWidth="1"/>
    <col min="3" max="3" width="16.5703125" customWidth="1"/>
    <col min="4" max="4" width="16.5703125" bestFit="1" customWidth="1"/>
    <col min="5" max="5" width="25" bestFit="1" customWidth="1"/>
    <col min="6" max="6" width="24.7109375" customWidth="1"/>
    <col min="7" max="7" width="15" customWidth="1"/>
    <col min="8" max="8" width="19.7109375" bestFit="1" customWidth="1"/>
    <col min="9" max="9" width="25" bestFit="1" customWidth="1"/>
    <col min="10" max="10" width="24.7109375" bestFit="1" customWidth="1"/>
    <col min="11" max="11" width="15.5703125" bestFit="1" customWidth="1"/>
    <col min="12" max="12" width="16.5703125" bestFit="1" customWidth="1"/>
    <col min="13" max="13" width="25" bestFit="1" customWidth="1"/>
    <col min="14" max="14" width="9.5703125" bestFit="1" customWidth="1"/>
    <col min="15" max="15" width="18.85546875" bestFit="1" customWidth="1"/>
    <col min="16" max="16" width="15.42578125" bestFit="1" customWidth="1"/>
  </cols>
  <sheetData>
    <row r="1" spans="1:16" ht="15.75">
      <c r="A1" s="136" t="s">
        <v>4786</v>
      </c>
      <c r="B1" s="136" t="s">
        <v>4787</v>
      </c>
      <c r="C1" s="136" t="s">
        <v>6926</v>
      </c>
      <c r="D1" s="136" t="s">
        <v>6927</v>
      </c>
      <c r="E1" s="136" t="s">
        <v>6974</v>
      </c>
      <c r="F1" s="271" t="s">
        <v>6600</v>
      </c>
      <c r="G1" s="136" t="s">
        <v>6599</v>
      </c>
      <c r="H1" s="271" t="s">
        <v>6882</v>
      </c>
      <c r="I1" s="136" t="s">
        <v>6883</v>
      </c>
      <c r="J1" s="271" t="s">
        <v>6601</v>
      </c>
      <c r="K1" s="136" t="s">
        <v>6602</v>
      </c>
      <c r="L1" s="136" t="s">
        <v>6144</v>
      </c>
      <c r="M1" s="136" t="s">
        <v>6743</v>
      </c>
      <c r="N1" s="136" t="s">
        <v>4221</v>
      </c>
      <c r="O1" s="136" t="s">
        <v>4870</v>
      </c>
      <c r="P1" s="261" t="s">
        <v>4617</v>
      </c>
    </row>
    <row r="2" spans="1:16" ht="15.75">
      <c r="A2" s="262" t="s">
        <v>6630</v>
      </c>
      <c r="B2" s="263">
        <v>485045415</v>
      </c>
      <c r="C2" s="263"/>
      <c r="D2" s="263">
        <v>14</v>
      </c>
      <c r="E2" s="265">
        <f t="shared" ref="E2:E9" si="0">B2*D2/$P$2</f>
        <v>0.29019811153846153</v>
      </c>
      <c r="F2" s="263">
        <v>40</v>
      </c>
      <c r="G2" s="263">
        <f t="shared" ref="G2:G16" si="1">B2*F2/$P$2</f>
        <v>0.82913746153846157</v>
      </c>
      <c r="H2" s="263">
        <v>14</v>
      </c>
      <c r="I2" s="263">
        <f>B2*H2/$P$2</f>
        <v>0.29019811153846153</v>
      </c>
      <c r="J2" s="262">
        <v>22.8</v>
      </c>
      <c r="K2" s="262">
        <f t="shared" ref="K2:K16" si="2">B2*J2/$P$2</f>
        <v>0.47260835307692306</v>
      </c>
      <c r="L2" s="262">
        <v>7</v>
      </c>
      <c r="M2" s="262">
        <f t="shared" ref="M2:M16" si="3">B2*L2/$P$2</f>
        <v>0.14509905576923077</v>
      </c>
      <c r="N2" s="262">
        <v>2386</v>
      </c>
      <c r="O2" s="262">
        <f t="shared" ref="O2:O16" si="4">B2*N2/$P$2</f>
        <v>49.458049580769227</v>
      </c>
      <c r="P2" s="263">
        <v>23400000000</v>
      </c>
    </row>
    <row r="3" spans="1:16" ht="15.75">
      <c r="A3" s="264" t="s">
        <v>5705</v>
      </c>
      <c r="B3" s="263">
        <v>2755813481</v>
      </c>
      <c r="C3" s="263">
        <f>'سهام بنیادی'!F27</f>
        <v>160</v>
      </c>
      <c r="D3" s="263">
        <f>'سهام بنیادی'!G27</f>
        <v>120</v>
      </c>
      <c r="E3" s="265">
        <f t="shared" si="0"/>
        <v>14.132376825641026</v>
      </c>
      <c r="F3" s="265">
        <f>'سهام بنیادی'!D27</f>
        <v>230</v>
      </c>
      <c r="G3" s="263">
        <f>B3*F3/$P$2</f>
        <v>27.087055582478634</v>
      </c>
      <c r="H3" s="263">
        <f>'سهام بنیادی'!E27</f>
        <v>159</v>
      </c>
      <c r="I3" s="263">
        <f>B3*H3/$P$2</f>
        <v>18.725399293974359</v>
      </c>
      <c r="J3" s="268">
        <f>'سهام بنیادی'!B27</f>
        <v>144</v>
      </c>
      <c r="K3" s="262">
        <f t="shared" si="2"/>
        <v>16.958852190769232</v>
      </c>
      <c r="L3" s="264">
        <f>'سهام بنیادی'!C27</f>
        <v>100</v>
      </c>
      <c r="M3" s="262">
        <f t="shared" si="3"/>
        <v>11.776980688034188</v>
      </c>
      <c r="N3" s="264">
        <f>'سهام بنیادی'!H27</f>
        <v>1390</v>
      </c>
      <c r="O3" s="262">
        <f t="shared" si="4"/>
        <v>163.70003156367522</v>
      </c>
    </row>
    <row r="4" spans="1:16" ht="15.75">
      <c r="A4" s="262" t="s">
        <v>6626</v>
      </c>
      <c r="B4" s="263">
        <v>1024799277</v>
      </c>
      <c r="C4" s="263">
        <f>'سهام بنیادی'!F29</f>
        <v>300</v>
      </c>
      <c r="D4" s="263">
        <f>'سهام بنیادی'!G29</f>
        <v>150</v>
      </c>
      <c r="E4" s="265">
        <f t="shared" si="0"/>
        <v>6.5692261346153842</v>
      </c>
      <c r="F4" s="263">
        <f>'سهام بنیادی'!D29</f>
        <v>369</v>
      </c>
      <c r="G4" s="263">
        <f t="shared" si="1"/>
        <v>16.160296291153845</v>
      </c>
      <c r="H4" s="263">
        <f>'سهام بنیادی'!E29</f>
        <v>170</v>
      </c>
      <c r="I4" s="263">
        <f t="shared" ref="I4:I16" si="5">B4*H4/$P$2</f>
        <v>7.4451229525641027</v>
      </c>
      <c r="J4" s="270">
        <f>'سهام بنیادی'!B29</f>
        <v>130.6</v>
      </c>
      <c r="K4" s="262">
        <f>B4*J4/$P$2</f>
        <v>5.7196062212051277</v>
      </c>
      <c r="L4" s="262">
        <f>'سهام بنیادی'!C29</f>
        <v>40</v>
      </c>
      <c r="M4" s="262">
        <f t="shared" si="3"/>
        <v>1.751793635897436</v>
      </c>
      <c r="N4" s="262">
        <f>'سهام بنیادی'!H29</f>
        <v>1142</v>
      </c>
      <c r="O4" s="262">
        <f t="shared" si="4"/>
        <v>50.013708304871798</v>
      </c>
    </row>
    <row r="5" spans="1:16" ht="15.75">
      <c r="A5" s="264" t="s">
        <v>6627</v>
      </c>
      <c r="B5" s="265">
        <v>1494654314</v>
      </c>
      <c r="C5" s="265">
        <f>'سهام بنیادی'!F38</f>
        <v>200</v>
      </c>
      <c r="D5" s="265">
        <f>'سهام بنیادی'!G38</f>
        <v>160</v>
      </c>
      <c r="E5" s="265">
        <f t="shared" si="0"/>
        <v>10.219858557264958</v>
      </c>
      <c r="F5" s="265">
        <f>'سهام بنیادی'!D38</f>
        <v>140</v>
      </c>
      <c r="G5" s="263">
        <f t="shared" si="1"/>
        <v>8.9423762376068368</v>
      </c>
      <c r="H5" s="263">
        <f>'سهام بنیادی'!E38</f>
        <v>100</v>
      </c>
      <c r="I5" s="263">
        <f t="shared" si="5"/>
        <v>6.3874115982905986</v>
      </c>
      <c r="J5" s="268">
        <f>'سهام بنیادی'!B38</f>
        <v>79.5</v>
      </c>
      <c r="K5" s="262">
        <f t="shared" si="2"/>
        <v>5.0779922206410255</v>
      </c>
      <c r="L5" s="264">
        <f>'سهام بنیادی'!C38</f>
        <v>55.7</v>
      </c>
      <c r="M5" s="262">
        <f t="shared" si="3"/>
        <v>3.5577882602478632</v>
      </c>
      <c r="N5" s="264">
        <f>'سهام بنیادی'!H38</f>
        <v>1364</v>
      </c>
      <c r="O5" s="262">
        <f t="shared" si="4"/>
        <v>87.124294200683764</v>
      </c>
    </row>
    <row r="6" spans="1:16" ht="15.75">
      <c r="A6" s="262" t="s">
        <v>6628</v>
      </c>
      <c r="B6" s="263">
        <v>213196988</v>
      </c>
      <c r="C6" s="263">
        <v>200</v>
      </c>
      <c r="D6" s="263">
        <v>0</v>
      </c>
      <c r="E6" s="265">
        <f t="shared" si="0"/>
        <v>0</v>
      </c>
      <c r="F6" s="263">
        <v>200</v>
      </c>
      <c r="G6" s="263">
        <f t="shared" si="1"/>
        <v>1.8221964786324787</v>
      </c>
      <c r="H6" s="263">
        <v>0</v>
      </c>
      <c r="I6" s="263">
        <f t="shared" si="5"/>
        <v>0</v>
      </c>
      <c r="J6" s="270">
        <v>167</v>
      </c>
      <c r="K6" s="262">
        <f t="shared" si="2"/>
        <v>1.5215340596581197</v>
      </c>
      <c r="L6" s="262">
        <v>85</v>
      </c>
      <c r="M6" s="262">
        <f t="shared" si="3"/>
        <v>0.77443350341880346</v>
      </c>
      <c r="N6" s="262">
        <v>1650</v>
      </c>
      <c r="O6" s="262">
        <f t="shared" si="4"/>
        <v>15.033120948717949</v>
      </c>
    </row>
    <row r="7" spans="1:16" ht="15.75">
      <c r="A7" s="264" t="s">
        <v>4192</v>
      </c>
      <c r="B7" s="265">
        <v>192564664</v>
      </c>
      <c r="C7" s="265">
        <f>'سهام بنیادی'!D37</f>
        <v>340</v>
      </c>
      <c r="D7" s="265">
        <f>'سهام بنیادی'!E37</f>
        <v>280</v>
      </c>
      <c r="E7" s="265">
        <f>B7*D7/$P$2</f>
        <v>2.3041925606837608</v>
      </c>
      <c r="F7" s="265">
        <f>'سهام بنیادی'!B37</f>
        <v>224</v>
      </c>
      <c r="G7" s="263">
        <f t="shared" si="1"/>
        <v>1.8433540485470086</v>
      </c>
      <c r="H7" s="263">
        <f>'سهام بنیادی'!C37</f>
        <v>193</v>
      </c>
      <c r="I7" s="263">
        <f>B7*H7/$P$2</f>
        <v>1.588247015042735</v>
      </c>
      <c r="J7" s="268">
        <v>230</v>
      </c>
      <c r="K7" s="262">
        <f t="shared" si="2"/>
        <v>1.8927296034188035</v>
      </c>
      <c r="L7" s="264">
        <v>200</v>
      </c>
      <c r="M7" s="262">
        <f t="shared" si="3"/>
        <v>1.645851829059829</v>
      </c>
      <c r="N7" s="264">
        <f>'سهام بنیادی'!H37</f>
        <v>1425</v>
      </c>
      <c r="O7" s="262">
        <f t="shared" si="4"/>
        <v>11.726694282051282</v>
      </c>
    </row>
    <row r="8" spans="1:16" ht="15.75">
      <c r="A8" s="262" t="s">
        <v>6171</v>
      </c>
      <c r="B8" s="263">
        <v>2971621588</v>
      </c>
      <c r="C8" s="263">
        <f>'سهام بنیادی'!F26</f>
        <v>120</v>
      </c>
      <c r="D8" s="263">
        <f>'سهام بنیادی'!G26</f>
        <v>90</v>
      </c>
      <c r="E8" s="265">
        <f t="shared" si="0"/>
        <v>11.429313799999999</v>
      </c>
      <c r="F8" s="263">
        <f>'سهام بنیادی'!D26</f>
        <v>175</v>
      </c>
      <c r="G8" s="263">
        <f>B8*F8*1.85/($P$2*2.97)</f>
        <v>13.843024103067714</v>
      </c>
      <c r="H8" s="263">
        <f>'سهام بنیادی'!E26</f>
        <v>127</v>
      </c>
      <c r="I8" s="263">
        <f>B8*H8*1.85/($P$2*2.97)</f>
        <v>10.046080349083427</v>
      </c>
      <c r="J8" s="270">
        <f>'سهام بنیادی'!B26</f>
        <v>95</v>
      </c>
      <c r="K8" s="262">
        <f t="shared" si="2"/>
        <v>12.064275677777777</v>
      </c>
      <c r="L8" s="262">
        <f>'سهام بنیادی'!C26</f>
        <v>65</v>
      </c>
      <c r="M8" s="262">
        <f t="shared" si="3"/>
        <v>8.2545044111111103</v>
      </c>
      <c r="N8" s="262">
        <f>'سهام بنیادی'!H26</f>
        <v>1229</v>
      </c>
      <c r="O8" s="262">
        <f t="shared" si="4"/>
        <v>156.07362955777776</v>
      </c>
    </row>
    <row r="9" spans="1:16" ht="15.75">
      <c r="A9" s="264" t="s">
        <v>4477</v>
      </c>
      <c r="B9" s="265">
        <v>2671386745</v>
      </c>
      <c r="C9" s="265">
        <f>'سهام بنیادی'!F28</f>
        <v>110</v>
      </c>
      <c r="D9" s="265">
        <f>'سهام بنیادی'!G28</f>
        <v>65</v>
      </c>
      <c r="E9" s="265">
        <f t="shared" si="0"/>
        <v>7.4205187361111111</v>
      </c>
      <c r="F9" s="265">
        <f>'سهام بنیادی'!D28</f>
        <v>126</v>
      </c>
      <c r="G9" s="263">
        <f t="shared" si="1"/>
        <v>14.384390165384616</v>
      </c>
      <c r="H9" s="263">
        <f>'سهام بنیادی'!E28</f>
        <v>70</v>
      </c>
      <c r="I9" s="263">
        <f t="shared" si="5"/>
        <v>7.9913278696581198</v>
      </c>
      <c r="J9" s="268">
        <f>'سهام بنیادی'!B28</f>
        <v>65</v>
      </c>
      <c r="K9" s="262">
        <f t="shared" si="2"/>
        <v>7.4205187361111111</v>
      </c>
      <c r="L9" s="264">
        <f>'سهام بنیادی'!C28</f>
        <v>14</v>
      </c>
      <c r="M9" s="262">
        <f t="shared" si="3"/>
        <v>1.5982655739316238</v>
      </c>
      <c r="N9" s="264">
        <f>'سهام بنیادی'!H28</f>
        <v>620</v>
      </c>
      <c r="O9" s="262">
        <f t="shared" si="4"/>
        <v>70.780332559829063</v>
      </c>
    </row>
    <row r="10" spans="1:16" ht="18.75">
      <c r="A10" s="264" t="s">
        <v>4792</v>
      </c>
      <c r="B10" s="265">
        <v>86946858</v>
      </c>
      <c r="C10" s="265">
        <f>'سهام بنیادی'!D3</f>
        <v>4000</v>
      </c>
      <c r="D10" s="265">
        <f>'سهام بنیادی'!E3</f>
        <v>2350</v>
      </c>
      <c r="E10" s="265">
        <f>B10*D10/$P$2</f>
        <v>8.7318425769230767</v>
      </c>
      <c r="F10" s="265">
        <f>'سهام بنیادی'!B3</f>
        <v>2100</v>
      </c>
      <c r="G10" s="263">
        <f t="shared" si="1"/>
        <v>7.8029231538461534</v>
      </c>
      <c r="H10" s="263">
        <f>'سهام بنیادی'!C3</f>
        <v>1350</v>
      </c>
      <c r="I10" s="263">
        <f t="shared" si="5"/>
        <v>5.0161648846153843</v>
      </c>
      <c r="J10" s="268">
        <v>930</v>
      </c>
      <c r="K10" s="262">
        <f t="shared" si="2"/>
        <v>3.4555802538461537</v>
      </c>
      <c r="L10" s="275">
        <v>650</v>
      </c>
      <c r="M10" s="262">
        <f t="shared" si="3"/>
        <v>2.4151905</v>
      </c>
      <c r="N10" s="264">
        <f>'سهام بنیادی'!H3</f>
        <v>19300</v>
      </c>
      <c r="O10" s="262">
        <f t="shared" si="4"/>
        <v>71.712579461538468</v>
      </c>
    </row>
    <row r="11" spans="1:16" ht="15.75">
      <c r="A11" s="264" t="s">
        <v>5753</v>
      </c>
      <c r="B11" s="265">
        <v>299554087</v>
      </c>
      <c r="C11" s="265">
        <f>'سهام بنیادی'!D35</f>
        <v>570</v>
      </c>
      <c r="D11" s="265">
        <f>'سهام بنیادی'!E35</f>
        <v>510</v>
      </c>
      <c r="E11" s="265">
        <f t="shared" ref="E11:E16" si="6">B11*D11/$P$2</f>
        <v>6.5287429217948718</v>
      </c>
      <c r="F11" s="265">
        <f>'سهام بنیادی'!B35</f>
        <v>391</v>
      </c>
      <c r="G11" s="263">
        <f t="shared" si="1"/>
        <v>5.0053695733760684</v>
      </c>
      <c r="H11" s="263">
        <f>'سهام بنیادی'!C35</f>
        <v>353</v>
      </c>
      <c r="I11" s="263">
        <f t="shared" si="5"/>
        <v>4.5189142184188036</v>
      </c>
      <c r="J11" s="268">
        <f>'سهام بنیادی'!B35</f>
        <v>391</v>
      </c>
      <c r="K11" s="262">
        <f t="shared" si="2"/>
        <v>5.0053695733760684</v>
      </c>
      <c r="L11" s="264">
        <f>'سهام بنیادی'!C35</f>
        <v>353</v>
      </c>
      <c r="M11" s="262">
        <f t="shared" si="3"/>
        <v>4.5189142184188036</v>
      </c>
      <c r="N11" s="264">
        <f>'سهام بنیادی'!H35</f>
        <v>3500</v>
      </c>
      <c r="O11" s="262">
        <f t="shared" si="4"/>
        <v>44.805098482905983</v>
      </c>
    </row>
    <row r="12" spans="1:16" ht="15.75">
      <c r="A12" s="264" t="s">
        <v>5680</v>
      </c>
      <c r="B12" s="265">
        <v>38247354</v>
      </c>
      <c r="C12" s="265">
        <v>1000</v>
      </c>
      <c r="D12" s="265">
        <v>700</v>
      </c>
      <c r="E12" s="265">
        <f t="shared" si="6"/>
        <v>1.1441516153846154</v>
      </c>
      <c r="F12" s="265">
        <v>1000</v>
      </c>
      <c r="G12" s="263">
        <f t="shared" si="1"/>
        <v>1.6345023076923078</v>
      </c>
      <c r="H12" s="263">
        <v>600</v>
      </c>
      <c r="I12" s="263">
        <f t="shared" si="5"/>
        <v>0.98070138461538459</v>
      </c>
      <c r="J12" s="264">
        <v>727</v>
      </c>
      <c r="K12" s="262">
        <f t="shared" si="2"/>
        <v>1.1882831776923077</v>
      </c>
      <c r="L12" s="264">
        <v>650</v>
      </c>
      <c r="M12" s="262">
        <f t="shared" si="3"/>
        <v>1.0624264999999999</v>
      </c>
      <c r="N12" s="264">
        <f>'سهام بنیادی'!H14</f>
        <v>3920</v>
      </c>
      <c r="O12" s="262">
        <f t="shared" si="4"/>
        <v>6.4072490461538463</v>
      </c>
    </row>
    <row r="13" spans="1:16" ht="15.75">
      <c r="A13" s="262" t="s">
        <v>6629</v>
      </c>
      <c r="B13" s="263">
        <v>81430514</v>
      </c>
      <c r="C13" s="263">
        <f>'سهام بنیادی'!F10</f>
        <v>500</v>
      </c>
      <c r="D13" s="263">
        <f>'سهام بنیادی'!G10</f>
        <v>450</v>
      </c>
      <c r="E13" s="265">
        <f t="shared" si="6"/>
        <v>1.5659714230769231</v>
      </c>
      <c r="F13" s="263">
        <v>250</v>
      </c>
      <c r="G13" s="263">
        <f t="shared" si="1"/>
        <v>0.86998412393162394</v>
      </c>
      <c r="H13" s="263">
        <v>350</v>
      </c>
      <c r="I13" s="263">
        <f t="shared" si="5"/>
        <v>1.2179777735042736</v>
      </c>
      <c r="J13" s="262">
        <v>197</v>
      </c>
      <c r="K13" s="262">
        <f t="shared" si="2"/>
        <v>0.68554748965811962</v>
      </c>
      <c r="L13" s="262">
        <v>180</v>
      </c>
      <c r="M13" s="262">
        <f t="shared" si="3"/>
        <v>0.62638856923076924</v>
      </c>
      <c r="N13" s="262">
        <f>'سهام بنیادی'!H10</f>
        <v>2664</v>
      </c>
      <c r="O13" s="262">
        <f t="shared" si="4"/>
        <v>9.270550824615384</v>
      </c>
    </row>
    <row r="14" spans="1:16" ht="15.75">
      <c r="A14" s="264" t="s">
        <v>4329</v>
      </c>
      <c r="B14" s="265">
        <v>463462782</v>
      </c>
      <c r="C14" s="265">
        <f>'سهام بنیادی'!F2</f>
        <v>35</v>
      </c>
      <c r="D14" s="265">
        <f>'سهام بنیادی'!G2</f>
        <v>30</v>
      </c>
      <c r="E14" s="265">
        <f t="shared" si="6"/>
        <v>0.59418305384615389</v>
      </c>
      <c r="F14" s="265">
        <f>'سهام بنیادی'!D2</f>
        <v>33.700000000000003</v>
      </c>
      <c r="G14" s="263">
        <f t="shared" si="1"/>
        <v>0.66746563048717955</v>
      </c>
      <c r="H14" s="263">
        <f>'سهام بنیادی'!E2</f>
        <v>27</v>
      </c>
      <c r="I14" s="263">
        <f t="shared" si="5"/>
        <v>0.53476474846153843</v>
      </c>
      <c r="J14" s="264">
        <f>'سهام بنیادی'!B2</f>
        <v>25.67</v>
      </c>
      <c r="K14" s="262">
        <f t="shared" si="2"/>
        <v>0.50842263307435898</v>
      </c>
      <c r="L14" s="264">
        <f>'سهام بنیادی'!C2</f>
        <v>25.2</v>
      </c>
      <c r="M14" s="262">
        <f t="shared" si="3"/>
        <v>0.49911376523076922</v>
      </c>
      <c r="N14" s="264">
        <f>'سهام بنیادی'!H2</f>
        <v>218</v>
      </c>
      <c r="O14" s="262">
        <f t="shared" si="4"/>
        <v>4.3177301912820516</v>
      </c>
    </row>
    <row r="15" spans="1:16" ht="15.75">
      <c r="A15" s="262" t="s">
        <v>5706</v>
      </c>
      <c r="B15" s="263">
        <v>125228976</v>
      </c>
      <c r="C15" s="263">
        <f>'سهام بنیادی'!F25</f>
        <v>630</v>
      </c>
      <c r="D15" s="263">
        <f>'سهام بنیادی'!G25</f>
        <v>600</v>
      </c>
      <c r="E15" s="265">
        <f t="shared" si="6"/>
        <v>3.2109993846153846</v>
      </c>
      <c r="F15" s="263">
        <f>'سهام بنیادی'!D25</f>
        <v>431</v>
      </c>
      <c r="G15" s="263">
        <f t="shared" si="1"/>
        <v>2.3065678912820511</v>
      </c>
      <c r="H15" s="263">
        <f>'سهام بنیادی'!E25</f>
        <v>400</v>
      </c>
      <c r="I15" s="263">
        <f t="shared" si="5"/>
        <v>2.1406662564102565</v>
      </c>
      <c r="J15" s="262">
        <f>'سهام بنیادی'!B25</f>
        <v>173</v>
      </c>
      <c r="K15" s="262">
        <f t="shared" si="2"/>
        <v>0.9258381558974359</v>
      </c>
      <c r="L15" s="262">
        <f>'سهام بنیادی'!C25</f>
        <v>170</v>
      </c>
      <c r="M15" s="262">
        <f t="shared" si="3"/>
        <v>0.90978315897435902</v>
      </c>
      <c r="N15" s="262">
        <f>'سهام بنیادی'!H25</f>
        <v>4375</v>
      </c>
      <c r="O15" s="262">
        <f t="shared" si="4"/>
        <v>23.413537179487179</v>
      </c>
      <c r="P15" t="s">
        <v>25</v>
      </c>
    </row>
    <row r="16" spans="1:16" ht="15.75">
      <c r="A16" s="264" t="s">
        <v>6975</v>
      </c>
      <c r="B16" s="265">
        <v>1</v>
      </c>
      <c r="C16" s="265">
        <v>500000000000</v>
      </c>
      <c r="D16" s="265">
        <v>300000000000</v>
      </c>
      <c r="E16" s="265">
        <f t="shared" si="6"/>
        <v>12.820512820512821</v>
      </c>
      <c r="F16" s="265">
        <v>500000000000</v>
      </c>
      <c r="G16" s="263">
        <f t="shared" si="1"/>
        <v>21.367521367521366</v>
      </c>
      <c r="H16" s="263">
        <v>300000000000</v>
      </c>
      <c r="I16" s="263">
        <f t="shared" si="5"/>
        <v>12.820512820512821</v>
      </c>
      <c r="J16" s="265">
        <v>500000000000</v>
      </c>
      <c r="K16" s="262">
        <f t="shared" si="2"/>
        <v>21.367521367521366</v>
      </c>
      <c r="L16" s="265">
        <v>300000000000</v>
      </c>
      <c r="M16" s="262">
        <f t="shared" si="3"/>
        <v>12.820512820512821</v>
      </c>
      <c r="N16" s="264">
        <v>3000000000000</v>
      </c>
      <c r="O16" s="262">
        <f t="shared" si="4"/>
        <v>128.2051282051282</v>
      </c>
      <c r="P16" t="s">
        <v>25</v>
      </c>
    </row>
    <row r="17" spans="1:15" ht="15.75">
      <c r="A17" s="266"/>
      <c r="B17" s="260"/>
      <c r="C17" s="260"/>
      <c r="D17" s="260"/>
      <c r="E17" s="260"/>
      <c r="F17" s="260"/>
      <c r="G17" s="260"/>
      <c r="H17" s="260"/>
      <c r="I17" s="260"/>
      <c r="J17" s="266"/>
      <c r="K17" s="266"/>
      <c r="L17" s="266"/>
      <c r="M17" s="266"/>
      <c r="N17" s="266"/>
      <c r="O17" s="266"/>
    </row>
    <row r="18" spans="1:15" ht="21">
      <c r="A18" s="266"/>
      <c r="B18" s="266"/>
      <c r="C18" s="266"/>
      <c r="D18" s="266"/>
      <c r="E18" s="260">
        <f>SUM(E2:E16)</f>
        <v>86.962088522008543</v>
      </c>
      <c r="F18" s="266"/>
      <c r="G18" s="260">
        <f>SUM(G2:G17)</f>
        <v>124.56616441654636</v>
      </c>
      <c r="H18" s="260"/>
      <c r="I18" s="260">
        <f>SUM(I2:I16)</f>
        <v>79.703489276690263</v>
      </c>
      <c r="J18" s="266"/>
      <c r="K18" s="266">
        <f>SUM(K2:K17)</f>
        <v>84.264679713723936</v>
      </c>
      <c r="L18" s="266"/>
      <c r="M18" s="266">
        <f>SUM(M2:M17)</f>
        <v>52.3570464898376</v>
      </c>
      <c r="N18" s="267" t="s">
        <v>4405</v>
      </c>
      <c r="O18" s="267">
        <f>SUM(O2:O16)</f>
        <v>892.04173438948726</v>
      </c>
    </row>
    <row r="19" spans="1:15" ht="21">
      <c r="A19" s="266"/>
      <c r="B19" s="266"/>
      <c r="C19" s="266"/>
      <c r="D19" s="266"/>
      <c r="E19" s="266" t="s">
        <v>6</v>
      </c>
      <c r="F19" s="266"/>
      <c r="G19" s="266" t="s">
        <v>6</v>
      </c>
      <c r="H19" s="266"/>
      <c r="I19" s="266" t="s">
        <v>6</v>
      </c>
      <c r="J19" s="266"/>
      <c r="K19" s="266" t="s">
        <v>6</v>
      </c>
      <c r="L19" s="266"/>
      <c r="M19" s="266" t="s">
        <v>6</v>
      </c>
      <c r="N19" s="267" t="s">
        <v>4971</v>
      </c>
      <c r="O19" s="267">
        <v>390</v>
      </c>
    </row>
    <row r="20" spans="1:15" ht="21">
      <c r="A20" s="266"/>
      <c r="B20" s="266"/>
      <c r="C20" s="266"/>
      <c r="D20" s="266"/>
      <c r="E20" s="266"/>
      <c r="F20" s="266"/>
      <c r="G20" s="266"/>
      <c r="H20" s="266"/>
      <c r="I20" s="266"/>
      <c r="J20" s="266"/>
      <c r="K20" s="266"/>
      <c r="L20" s="266"/>
      <c r="M20" s="266"/>
      <c r="N20" s="267" t="s">
        <v>4972</v>
      </c>
      <c r="O20" s="267">
        <f>O19/O18</f>
        <v>0.43719927551026044</v>
      </c>
    </row>
    <row r="23" spans="1:15">
      <c r="E23" t="s">
        <v>25</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36" bestFit="1" customWidth="1"/>
    <col min="2" max="2" width="12.5703125" style="36" bestFit="1" customWidth="1"/>
    <col min="3" max="3" width="19.28515625" style="36" bestFit="1" customWidth="1"/>
    <col min="4" max="4" width="49" style="36" bestFit="1" customWidth="1"/>
    <col min="5" max="5" width="19.85546875" style="36" bestFit="1" customWidth="1"/>
    <col min="6" max="6" width="15" style="36" bestFit="1" customWidth="1"/>
    <col min="7" max="7" width="33.5703125" style="36" bestFit="1" customWidth="1"/>
    <col min="8" max="8" width="14.7109375" style="36" bestFit="1" customWidth="1"/>
    <col min="9" max="9" width="19.85546875" style="36" bestFit="1" customWidth="1"/>
    <col min="10" max="10" width="12.7109375" style="36" bestFit="1" customWidth="1"/>
    <col min="11" max="11" width="12" style="36" bestFit="1" customWidth="1"/>
    <col min="12" max="12" width="12.7109375" style="36" bestFit="1" customWidth="1"/>
    <col min="13" max="13" width="12" style="36" bestFit="1" customWidth="1"/>
    <col min="14" max="16384" width="9.140625" style="36"/>
  </cols>
  <sheetData>
    <row r="1" spans="1:29">
      <c r="A1" s="2" t="s">
        <v>5762</v>
      </c>
      <c r="B1" s="2" t="s">
        <v>4391</v>
      </c>
      <c r="C1" s="2" t="s">
        <v>6096</v>
      </c>
      <c r="D1" s="2" t="s">
        <v>5761</v>
      </c>
      <c r="E1" s="2" t="s">
        <v>4787</v>
      </c>
      <c r="F1" s="2" t="s">
        <v>5763</v>
      </c>
      <c r="G1" s="2" t="s">
        <v>5764</v>
      </c>
      <c r="H1" s="2"/>
      <c r="I1" s="2"/>
      <c r="J1" s="2"/>
      <c r="K1" s="2"/>
      <c r="L1" s="2" t="s">
        <v>6097</v>
      </c>
      <c r="M1" s="2">
        <v>10000000000</v>
      </c>
      <c r="N1" s="2"/>
      <c r="O1" s="2"/>
      <c r="P1" s="2"/>
      <c r="Q1" s="2"/>
      <c r="R1" s="2"/>
      <c r="S1" s="2"/>
      <c r="T1" s="2"/>
      <c r="U1" s="2"/>
      <c r="V1" s="2"/>
      <c r="W1" s="2"/>
      <c r="X1" s="2"/>
      <c r="Y1" s="2"/>
      <c r="Z1" s="2"/>
      <c r="AA1" s="2"/>
      <c r="AB1" s="2"/>
      <c r="AC1" s="2"/>
    </row>
    <row r="2" spans="1:29">
      <c r="A2" s="2" t="s">
        <v>5777</v>
      </c>
      <c r="B2" s="2">
        <v>52293239</v>
      </c>
      <c r="C2" s="2">
        <f t="shared" ref="C2:C33" si="0">D2+E2</f>
        <v>2605542578</v>
      </c>
      <c r="D2" s="2" t="s">
        <v>5778</v>
      </c>
      <c r="E2" s="2" t="s">
        <v>5779</v>
      </c>
      <c r="F2" s="2" t="s">
        <v>5780</v>
      </c>
      <c r="G2" s="2" t="s">
        <v>5781</v>
      </c>
      <c r="H2" s="2">
        <v>110</v>
      </c>
      <c r="I2" s="26">
        <f>C2*H2</f>
        <v>286609683580</v>
      </c>
      <c r="J2" s="2">
        <f>I2/$M$1</f>
        <v>28.660968358000002</v>
      </c>
      <c r="L2" s="2"/>
      <c r="M2" s="2"/>
      <c r="N2" s="2"/>
      <c r="O2" s="2"/>
      <c r="P2" s="2"/>
      <c r="Q2" s="2"/>
      <c r="R2" s="2"/>
      <c r="S2" s="2"/>
      <c r="T2" s="2"/>
      <c r="U2" s="2"/>
      <c r="V2" s="2"/>
      <c r="W2" s="2"/>
      <c r="X2" s="2"/>
      <c r="Y2" s="2"/>
      <c r="Z2" s="2"/>
      <c r="AA2" s="2"/>
      <c r="AB2" s="2"/>
      <c r="AC2" s="2"/>
    </row>
    <row r="3" spans="1:29">
      <c r="A3" s="2" t="s">
        <v>5766</v>
      </c>
      <c r="B3" s="226">
        <v>39356047</v>
      </c>
      <c r="C3" s="2">
        <f t="shared" si="0"/>
        <v>3355161798</v>
      </c>
      <c r="D3" s="2" t="s">
        <v>5767</v>
      </c>
      <c r="E3" s="2" t="s">
        <v>5768</v>
      </c>
      <c r="F3" s="2" t="s">
        <v>5770</v>
      </c>
      <c r="G3" s="2" t="s">
        <v>5771</v>
      </c>
      <c r="H3" s="26">
        <v>170</v>
      </c>
      <c r="I3" s="26">
        <f>C3*H3</f>
        <v>570377505660</v>
      </c>
      <c r="J3" s="2">
        <f>I3/$M$1</f>
        <v>57.037750566</v>
      </c>
      <c r="K3" s="2"/>
      <c r="L3" s="2"/>
      <c r="M3" s="2"/>
      <c r="N3" s="2"/>
      <c r="O3" s="2"/>
      <c r="P3" s="2"/>
      <c r="Q3" s="2"/>
      <c r="R3" s="2"/>
      <c r="S3" s="2"/>
      <c r="T3" s="2"/>
      <c r="U3" s="2"/>
      <c r="V3" s="2"/>
      <c r="W3" s="2"/>
      <c r="X3" s="2"/>
      <c r="Y3" s="2"/>
      <c r="Z3" s="2"/>
      <c r="AA3" s="2"/>
      <c r="AB3" s="2"/>
      <c r="AC3" s="2"/>
    </row>
    <row r="4" spans="1:29">
      <c r="A4" s="36" t="s">
        <v>5801</v>
      </c>
      <c r="B4" s="226">
        <v>27272507</v>
      </c>
      <c r="C4" s="2">
        <f t="shared" si="0"/>
        <v>2003857980</v>
      </c>
      <c r="D4" s="2" t="s">
        <v>5778</v>
      </c>
      <c r="E4" s="36" t="s">
        <v>5802</v>
      </c>
      <c r="F4" s="2" t="s">
        <v>5803</v>
      </c>
      <c r="G4" s="2" t="s">
        <v>5804</v>
      </c>
      <c r="H4" s="2">
        <v>120</v>
      </c>
      <c r="I4" s="26">
        <f t="shared" ref="I4:I18" si="1">C4*H4</f>
        <v>240462957600</v>
      </c>
      <c r="J4" s="2">
        <f t="shared" ref="J4:J33" si="2">I4/$M$1</f>
        <v>24.04629576</v>
      </c>
      <c r="K4" s="2"/>
      <c r="L4" s="2"/>
      <c r="M4" s="2"/>
      <c r="N4" s="2"/>
      <c r="O4" s="2"/>
      <c r="P4" s="2"/>
      <c r="Q4" s="2"/>
      <c r="R4" s="2"/>
      <c r="S4" s="2"/>
      <c r="T4" s="2"/>
      <c r="U4" s="2"/>
      <c r="V4" s="2"/>
      <c r="W4" s="2"/>
      <c r="X4" s="2"/>
      <c r="Y4" s="2"/>
      <c r="Z4" s="2"/>
      <c r="AA4" s="2"/>
      <c r="AB4" s="2"/>
      <c r="AC4" s="2"/>
    </row>
    <row r="5" spans="1:29">
      <c r="A5" s="2" t="s">
        <v>5805</v>
      </c>
      <c r="B5" s="226">
        <v>17936330</v>
      </c>
      <c r="C5" s="2">
        <f t="shared" si="0"/>
        <v>4161561525</v>
      </c>
      <c r="D5" s="2" t="s">
        <v>5778</v>
      </c>
      <c r="E5" s="2" t="s">
        <v>5806</v>
      </c>
      <c r="F5" s="2" t="s">
        <v>5807</v>
      </c>
      <c r="G5" s="2" t="s">
        <v>5808</v>
      </c>
      <c r="H5" s="2">
        <v>20</v>
      </c>
      <c r="I5" s="26">
        <f t="shared" si="1"/>
        <v>83231230500</v>
      </c>
      <c r="J5" s="2">
        <f t="shared" si="2"/>
        <v>8.3231230499999995</v>
      </c>
      <c r="K5" s="2"/>
      <c r="L5" s="2"/>
      <c r="M5" s="2"/>
      <c r="N5" s="2"/>
      <c r="O5" s="2"/>
      <c r="P5" s="2"/>
      <c r="Q5" s="2"/>
      <c r="R5" s="2"/>
      <c r="S5" s="2"/>
      <c r="T5" s="2"/>
      <c r="U5" s="2"/>
      <c r="V5" s="2"/>
      <c r="W5" s="2"/>
      <c r="X5" s="2"/>
      <c r="Y5" s="2"/>
      <c r="Z5" s="2"/>
      <c r="AA5" s="2"/>
      <c r="AB5" s="2"/>
      <c r="AC5" s="2"/>
    </row>
    <row r="6" spans="1:29">
      <c r="A6" s="2" t="s">
        <v>5787</v>
      </c>
      <c r="B6" s="226">
        <v>15219631</v>
      </c>
      <c r="C6" s="2">
        <f t="shared" si="0"/>
        <v>1037466348</v>
      </c>
      <c r="D6" s="2" t="s">
        <v>5788</v>
      </c>
      <c r="E6" s="2" t="s">
        <v>5789</v>
      </c>
      <c r="F6" s="36" t="s">
        <v>5790</v>
      </c>
      <c r="G6" s="2" t="s">
        <v>5791</v>
      </c>
      <c r="H6" s="2">
        <v>160</v>
      </c>
      <c r="I6" s="26">
        <f t="shared" si="1"/>
        <v>165994615680</v>
      </c>
      <c r="J6" s="2">
        <f t="shared" si="2"/>
        <v>16.599461567999999</v>
      </c>
      <c r="K6" s="2"/>
      <c r="L6" s="2"/>
      <c r="M6" s="2" t="s">
        <v>25</v>
      </c>
      <c r="N6" s="2"/>
      <c r="O6" s="2"/>
      <c r="P6" s="2"/>
      <c r="Q6" s="2"/>
      <c r="R6" s="2"/>
      <c r="S6" s="2"/>
      <c r="T6" s="2"/>
      <c r="U6" s="2"/>
      <c r="V6" s="2"/>
      <c r="W6" s="2"/>
      <c r="X6" s="2"/>
      <c r="Y6" s="2"/>
      <c r="Z6" s="2"/>
      <c r="AA6" s="2"/>
      <c r="AB6" s="2"/>
      <c r="AC6" s="2"/>
    </row>
    <row r="7" spans="1:29">
      <c r="A7" s="2" t="s">
        <v>5833</v>
      </c>
      <c r="B7" s="226">
        <v>12077909</v>
      </c>
      <c r="C7" s="2">
        <f t="shared" si="0"/>
        <v>499499998</v>
      </c>
      <c r="D7" s="2" t="s">
        <v>5778</v>
      </c>
      <c r="E7" s="2" t="s">
        <v>5834</v>
      </c>
      <c r="F7" s="2" t="s">
        <v>5835</v>
      </c>
      <c r="G7" s="2" t="s">
        <v>5836</v>
      </c>
      <c r="H7" s="2">
        <v>180</v>
      </c>
      <c r="I7" s="26">
        <f t="shared" si="1"/>
        <v>89909999640</v>
      </c>
      <c r="J7" s="2">
        <f t="shared" si="2"/>
        <v>8.9909999640000002</v>
      </c>
      <c r="K7" s="2"/>
      <c r="L7" s="2"/>
      <c r="M7" s="2"/>
      <c r="N7" s="2"/>
      <c r="O7" s="2"/>
      <c r="P7" s="2"/>
      <c r="Q7" s="2"/>
      <c r="R7" s="2"/>
      <c r="S7" s="2"/>
      <c r="T7" s="2"/>
      <c r="U7" s="2"/>
      <c r="V7" s="2"/>
      <c r="W7" s="2"/>
      <c r="X7" s="2"/>
      <c r="Y7" s="2"/>
      <c r="Z7" s="2"/>
      <c r="AA7" s="2"/>
      <c r="AB7" s="2"/>
      <c r="AC7" s="2"/>
    </row>
    <row r="8" spans="1:29">
      <c r="A8" s="2" t="s">
        <v>5865</v>
      </c>
      <c r="B8" s="226">
        <v>11039958</v>
      </c>
      <c r="C8" s="2">
        <f t="shared" si="0"/>
        <v>2802020000</v>
      </c>
      <c r="D8" s="2" t="s">
        <v>5778</v>
      </c>
      <c r="E8" s="2" t="s">
        <v>5866</v>
      </c>
      <c r="F8" s="2" t="s">
        <v>5867</v>
      </c>
      <c r="G8" s="2" t="s">
        <v>5868</v>
      </c>
      <c r="H8" s="2">
        <v>40</v>
      </c>
      <c r="I8" s="26">
        <f t="shared" si="1"/>
        <v>112080800000</v>
      </c>
      <c r="J8" s="2">
        <f t="shared" si="2"/>
        <v>11.208080000000001</v>
      </c>
      <c r="K8" s="2"/>
      <c r="L8" s="2"/>
      <c r="M8" s="2"/>
      <c r="N8" s="2"/>
      <c r="O8" s="2"/>
      <c r="P8" s="2"/>
      <c r="Q8" s="2"/>
      <c r="R8" s="2"/>
      <c r="S8" s="2"/>
      <c r="T8" s="2"/>
      <c r="U8" s="2"/>
      <c r="V8" s="2"/>
      <c r="W8" s="2"/>
      <c r="X8" s="2"/>
      <c r="Y8" s="2"/>
      <c r="Z8" s="2"/>
      <c r="AA8" s="2"/>
      <c r="AB8" s="2"/>
      <c r="AC8" s="2"/>
    </row>
    <row r="9" spans="1:29">
      <c r="A9" s="2" t="s">
        <v>5824</v>
      </c>
      <c r="B9" s="226">
        <v>6743250</v>
      </c>
      <c r="C9" s="2">
        <f t="shared" si="0"/>
        <v>337500000</v>
      </c>
      <c r="D9" s="2" t="s">
        <v>5778</v>
      </c>
      <c r="E9" s="2" t="s">
        <v>5825</v>
      </c>
      <c r="F9" s="2" t="s">
        <v>5826</v>
      </c>
      <c r="G9" s="2" t="s">
        <v>5827</v>
      </c>
      <c r="H9" s="2">
        <v>100</v>
      </c>
      <c r="I9" s="26">
        <f t="shared" si="1"/>
        <v>33750000000</v>
      </c>
      <c r="J9" s="2">
        <f t="shared" si="2"/>
        <v>3.375</v>
      </c>
      <c r="K9" s="2"/>
      <c r="L9" s="2"/>
      <c r="M9" s="2"/>
      <c r="N9" s="2"/>
      <c r="O9" s="2"/>
      <c r="P9" s="2"/>
      <c r="Q9" s="2"/>
      <c r="R9" s="2"/>
      <c r="S9" s="2"/>
      <c r="T9" s="2"/>
      <c r="U9" s="2"/>
      <c r="V9" s="2"/>
      <c r="W9" s="2"/>
      <c r="X9" s="2"/>
      <c r="Y9" s="2"/>
      <c r="Z9" s="2"/>
      <c r="AA9" s="2"/>
      <c r="AB9" s="2"/>
      <c r="AC9" s="2"/>
    </row>
    <row r="10" spans="1:29">
      <c r="A10" s="2" t="s">
        <v>5856</v>
      </c>
      <c r="B10" s="226">
        <v>6591899</v>
      </c>
      <c r="C10" s="2">
        <f t="shared" si="0"/>
        <v>978026662</v>
      </c>
      <c r="D10" s="2" t="s">
        <v>5778</v>
      </c>
      <c r="E10" s="2" t="s">
        <v>5857</v>
      </c>
      <c r="F10" s="2" t="s">
        <v>5858</v>
      </c>
      <c r="G10" s="2" t="s">
        <v>5859</v>
      </c>
      <c r="H10" s="2">
        <v>60</v>
      </c>
      <c r="I10" s="26">
        <f t="shared" si="1"/>
        <v>58681599720</v>
      </c>
      <c r="J10" s="2">
        <f t="shared" si="2"/>
        <v>5.8681599719999999</v>
      </c>
      <c r="K10" s="2"/>
      <c r="L10" s="2"/>
      <c r="M10" s="2"/>
      <c r="N10" s="2"/>
      <c r="O10" s="2"/>
      <c r="P10" s="2"/>
      <c r="Q10" s="2"/>
      <c r="R10" s="2"/>
      <c r="S10" s="2"/>
      <c r="T10" s="2"/>
      <c r="U10" s="2"/>
      <c r="V10" s="2"/>
      <c r="W10" s="2"/>
      <c r="X10" s="2"/>
      <c r="Y10" s="2"/>
      <c r="Z10" s="2"/>
      <c r="AA10" s="2"/>
      <c r="AB10" s="2"/>
      <c r="AC10" s="2"/>
    </row>
    <row r="11" spans="1:29">
      <c r="A11" s="2" t="s">
        <v>5772</v>
      </c>
      <c r="B11" s="226">
        <v>6515494</v>
      </c>
      <c r="C11" s="2">
        <f t="shared" si="0"/>
        <v>137024073</v>
      </c>
      <c r="D11" s="2" t="s">
        <v>5773</v>
      </c>
      <c r="E11" s="2" t="s">
        <v>5774</v>
      </c>
      <c r="F11" s="2" t="s">
        <v>5775</v>
      </c>
      <c r="G11" s="2" t="s">
        <v>5776</v>
      </c>
      <c r="H11" s="2">
        <v>200</v>
      </c>
      <c r="I11" s="26">
        <f t="shared" si="1"/>
        <v>27404814600</v>
      </c>
      <c r="J11" s="2">
        <f t="shared" si="2"/>
        <v>2.7404814599999998</v>
      </c>
      <c r="K11" s="2"/>
      <c r="M11" s="2"/>
      <c r="N11" s="2"/>
      <c r="O11" s="2"/>
      <c r="P11" s="2"/>
      <c r="Q11" s="2"/>
      <c r="R11" s="2"/>
      <c r="S11" s="2"/>
      <c r="T11" s="2"/>
      <c r="U11" s="2"/>
      <c r="V11" s="2"/>
      <c r="W11" s="2"/>
      <c r="X11" s="2"/>
      <c r="Y11" s="2"/>
      <c r="Z11" s="2"/>
      <c r="AA11" s="2"/>
      <c r="AB11" s="2"/>
      <c r="AC11" s="2"/>
    </row>
    <row r="12" spans="1:29">
      <c r="A12" s="2" t="s">
        <v>5782</v>
      </c>
      <c r="B12" s="226">
        <v>5962560</v>
      </c>
      <c r="C12" s="2">
        <f t="shared" si="0"/>
        <v>1242200000</v>
      </c>
      <c r="D12" s="2" t="s">
        <v>5783</v>
      </c>
      <c r="E12" s="2" t="s">
        <v>5784</v>
      </c>
      <c r="F12" s="2" t="s">
        <v>5785</v>
      </c>
      <c r="G12" s="2" t="s">
        <v>5786</v>
      </c>
      <c r="H12" s="2">
        <v>10</v>
      </c>
      <c r="I12" s="26">
        <f t="shared" si="1"/>
        <v>12422000000</v>
      </c>
      <c r="J12" s="2">
        <f t="shared" si="2"/>
        <v>1.2422</v>
      </c>
      <c r="K12" s="2"/>
      <c r="L12" s="2"/>
      <c r="M12" s="2"/>
      <c r="N12" s="2"/>
      <c r="O12" s="2"/>
      <c r="P12" s="2"/>
      <c r="Q12" s="2"/>
      <c r="R12" s="2"/>
      <c r="S12" s="2"/>
      <c r="T12" s="2"/>
      <c r="U12" s="2"/>
      <c r="V12" s="2"/>
      <c r="W12" s="2"/>
      <c r="X12" s="2"/>
      <c r="Y12" s="2"/>
      <c r="Z12" s="2"/>
      <c r="AA12" s="2"/>
      <c r="AB12" s="2"/>
      <c r="AC12" s="2"/>
    </row>
    <row r="13" spans="1:29">
      <c r="A13" s="2" t="s">
        <v>5899</v>
      </c>
      <c r="B13" s="226">
        <v>4690527</v>
      </c>
      <c r="C13" s="2">
        <f t="shared" si="0"/>
        <v>623740333</v>
      </c>
      <c r="D13" s="2" t="s">
        <v>5778</v>
      </c>
      <c r="E13" s="2" t="s">
        <v>5900</v>
      </c>
      <c r="F13" s="2" t="s">
        <v>5901</v>
      </c>
      <c r="G13" s="2" t="s">
        <v>5902</v>
      </c>
      <c r="H13" s="2">
        <v>50</v>
      </c>
      <c r="I13" s="26">
        <f t="shared" si="1"/>
        <v>31187016650</v>
      </c>
      <c r="J13" s="2">
        <f t="shared" si="2"/>
        <v>3.1187016650000001</v>
      </c>
      <c r="K13" s="2"/>
      <c r="L13" s="2"/>
      <c r="M13" s="2"/>
      <c r="N13" s="2"/>
      <c r="O13" s="2"/>
      <c r="P13" s="2"/>
      <c r="Q13" s="2"/>
      <c r="R13" s="2"/>
      <c r="S13" s="2"/>
      <c r="T13" s="2"/>
      <c r="U13" s="2"/>
      <c r="V13" s="2"/>
      <c r="W13" s="2"/>
      <c r="X13" s="2"/>
      <c r="Y13" s="2"/>
      <c r="Z13" s="2"/>
      <c r="AA13" s="2"/>
      <c r="AB13" s="2"/>
      <c r="AC13" s="2"/>
    </row>
    <row r="14" spans="1:29">
      <c r="A14" s="2" t="s">
        <v>5895</v>
      </c>
      <c r="B14" s="226">
        <v>4423541</v>
      </c>
      <c r="C14" s="2">
        <f t="shared" si="0"/>
        <v>118276522</v>
      </c>
      <c r="D14" s="2" t="s">
        <v>5778</v>
      </c>
      <c r="E14" s="2" t="s">
        <v>5896</v>
      </c>
      <c r="F14" s="2" t="s">
        <v>5897</v>
      </c>
      <c r="G14" s="2" t="s">
        <v>5898</v>
      </c>
      <c r="H14" s="2">
        <v>200</v>
      </c>
      <c r="I14" s="26">
        <f t="shared" si="1"/>
        <v>23655304400</v>
      </c>
      <c r="J14" s="2">
        <f t="shared" si="2"/>
        <v>2.3655304400000001</v>
      </c>
      <c r="K14" s="2"/>
      <c r="L14" s="2"/>
      <c r="M14" s="2"/>
      <c r="N14" s="2"/>
      <c r="O14" s="2"/>
      <c r="P14" s="2"/>
      <c r="Q14" s="2"/>
      <c r="R14" s="2"/>
      <c r="S14" s="2"/>
      <c r="T14" s="2"/>
      <c r="U14" s="2"/>
      <c r="V14" s="2"/>
      <c r="W14" s="2"/>
      <c r="X14" s="2"/>
      <c r="Y14" s="2"/>
      <c r="Z14" s="2"/>
      <c r="AA14" s="2"/>
      <c r="AB14" s="2"/>
      <c r="AC14" s="2"/>
    </row>
    <row r="15" spans="1:29">
      <c r="A15" s="2" t="s">
        <v>6089</v>
      </c>
      <c r="B15" s="226">
        <v>4228226</v>
      </c>
      <c r="C15" s="2">
        <f t="shared" si="0"/>
        <v>106322321</v>
      </c>
      <c r="D15" s="2" t="s">
        <v>5778</v>
      </c>
      <c r="E15" s="2" t="s">
        <v>6090</v>
      </c>
      <c r="F15" s="2" t="s">
        <v>5778</v>
      </c>
      <c r="G15" s="2" t="s">
        <v>6091</v>
      </c>
      <c r="H15" s="2">
        <v>300</v>
      </c>
      <c r="I15" s="26">
        <f t="shared" si="1"/>
        <v>31896696300</v>
      </c>
      <c r="J15" s="2">
        <f t="shared" si="2"/>
        <v>3.18966963</v>
      </c>
      <c r="K15" s="2"/>
      <c r="L15" s="2"/>
      <c r="M15" s="2"/>
      <c r="N15" s="2"/>
      <c r="O15" s="2"/>
      <c r="P15" s="2"/>
      <c r="Q15" s="2"/>
      <c r="R15" s="2"/>
      <c r="S15" s="2"/>
      <c r="T15" s="2"/>
      <c r="U15" s="2"/>
      <c r="V15" s="2"/>
      <c r="W15" s="2"/>
      <c r="X15" s="2"/>
      <c r="Y15" s="2"/>
      <c r="Z15" s="2"/>
      <c r="AA15" s="2"/>
      <c r="AB15" s="2"/>
      <c r="AC15" s="2"/>
    </row>
    <row r="16" spans="1:29">
      <c r="A16" s="2" t="s">
        <v>5908</v>
      </c>
      <c r="B16" s="226">
        <v>3555770</v>
      </c>
      <c r="C16" s="2">
        <f t="shared" si="0"/>
        <v>183381668</v>
      </c>
      <c r="D16" s="2" t="s">
        <v>5778</v>
      </c>
      <c r="E16" s="2" t="s">
        <v>5909</v>
      </c>
      <c r="F16" s="2" t="s">
        <v>5910</v>
      </c>
      <c r="G16" s="2" t="s">
        <v>5911</v>
      </c>
      <c r="H16" s="2">
        <v>200</v>
      </c>
      <c r="I16" s="26">
        <f t="shared" si="1"/>
        <v>36676333600</v>
      </c>
      <c r="J16" s="2">
        <f t="shared" si="2"/>
        <v>3.66763336</v>
      </c>
      <c r="K16" s="2"/>
      <c r="L16" s="2"/>
      <c r="M16" s="2"/>
      <c r="N16" s="2"/>
      <c r="O16" s="2"/>
      <c r="P16" s="2"/>
      <c r="Q16" s="2"/>
      <c r="R16" s="2"/>
      <c r="S16" s="2"/>
      <c r="T16" s="2"/>
      <c r="U16" s="2"/>
      <c r="V16" s="2"/>
      <c r="W16" s="2"/>
      <c r="X16" s="2"/>
      <c r="Y16" s="2"/>
      <c r="Z16" s="2"/>
      <c r="AA16" s="2"/>
      <c r="AB16" s="2"/>
      <c r="AC16" s="2"/>
    </row>
    <row r="17" spans="1:29">
      <c r="A17" s="2" t="s">
        <v>5881</v>
      </c>
      <c r="B17" s="226">
        <v>3392316</v>
      </c>
      <c r="C17" s="2">
        <f t="shared" si="0"/>
        <v>1015663732</v>
      </c>
      <c r="D17" s="2" t="s">
        <v>5778</v>
      </c>
      <c r="E17" s="2" t="s">
        <v>5882</v>
      </c>
      <c r="F17" s="2" t="s">
        <v>5883</v>
      </c>
      <c r="G17" s="2" t="s">
        <v>5884</v>
      </c>
      <c r="H17" s="2">
        <v>30</v>
      </c>
      <c r="I17" s="26">
        <f t="shared" si="1"/>
        <v>30469911960</v>
      </c>
      <c r="J17" s="2">
        <f t="shared" si="2"/>
        <v>3.046991196</v>
      </c>
      <c r="K17" s="2"/>
      <c r="L17" s="2"/>
      <c r="M17" s="2"/>
      <c r="N17" s="2"/>
      <c r="O17" s="2"/>
      <c r="P17" s="2"/>
      <c r="Q17" s="2"/>
      <c r="R17" s="2"/>
      <c r="S17" s="2"/>
      <c r="T17" s="2"/>
      <c r="U17" s="2"/>
      <c r="V17" s="2"/>
      <c r="W17" s="2"/>
      <c r="X17" s="2"/>
      <c r="Y17" s="2"/>
      <c r="Z17" s="2"/>
      <c r="AA17" s="2"/>
      <c r="AB17" s="2"/>
      <c r="AC17" s="2"/>
    </row>
    <row r="18" spans="1:29">
      <c r="A18" s="2" t="s">
        <v>5809</v>
      </c>
      <c r="B18" s="226">
        <v>3321096</v>
      </c>
      <c r="C18" s="2">
        <f t="shared" si="0"/>
        <v>254880755</v>
      </c>
      <c r="D18" s="2" t="s">
        <v>5778</v>
      </c>
      <c r="E18" s="2" t="s">
        <v>5810</v>
      </c>
      <c r="F18" s="2" t="s">
        <v>5811</v>
      </c>
      <c r="G18" s="2" t="s">
        <v>5812</v>
      </c>
      <c r="H18" s="2">
        <v>100</v>
      </c>
      <c r="I18" s="26">
        <f t="shared" si="1"/>
        <v>25488075500</v>
      </c>
      <c r="J18" s="2">
        <f t="shared" si="2"/>
        <v>2.5488075499999998</v>
      </c>
      <c r="K18" s="2"/>
      <c r="L18" s="2"/>
      <c r="M18" s="2"/>
      <c r="N18" s="2" t="s">
        <v>25</v>
      </c>
      <c r="O18" s="2"/>
      <c r="P18" s="2"/>
      <c r="Q18" s="2"/>
      <c r="R18" s="2"/>
      <c r="S18" s="2"/>
      <c r="T18" s="2"/>
      <c r="U18" s="2"/>
      <c r="V18" s="2"/>
      <c r="W18" s="2"/>
      <c r="X18" s="2"/>
      <c r="Y18" s="2"/>
      <c r="Z18" s="2"/>
      <c r="AA18" s="2"/>
      <c r="AB18" s="2"/>
      <c r="AC18" s="2"/>
    </row>
    <row r="19" spans="1:29">
      <c r="A19" s="2" t="s">
        <v>5852</v>
      </c>
      <c r="B19" s="226">
        <v>2708729</v>
      </c>
      <c r="C19" s="2">
        <f t="shared" si="0"/>
        <v>158220192</v>
      </c>
      <c r="D19" s="2" t="s">
        <v>5778</v>
      </c>
      <c r="E19" s="2" t="s">
        <v>5853</v>
      </c>
      <c r="F19" s="2" t="s">
        <v>5854</v>
      </c>
      <c r="G19" s="2" t="s">
        <v>5855</v>
      </c>
      <c r="H19" s="2">
        <v>150</v>
      </c>
      <c r="I19" s="26">
        <f t="shared" ref="I19:I33" si="3">C19*H19</f>
        <v>23733028800</v>
      </c>
      <c r="J19" s="2">
        <f t="shared" si="2"/>
        <v>2.3733028799999998</v>
      </c>
      <c r="K19" s="2"/>
      <c r="L19" s="2"/>
      <c r="M19" s="2"/>
      <c r="N19" s="2"/>
      <c r="O19" s="2"/>
      <c r="P19" s="2"/>
      <c r="Q19" s="2"/>
      <c r="R19" s="2"/>
      <c r="S19" s="2"/>
      <c r="T19" s="2"/>
      <c r="U19" s="2"/>
      <c r="V19" s="2"/>
      <c r="W19" s="2"/>
      <c r="X19" s="2"/>
      <c r="Y19" s="2"/>
      <c r="Z19" s="2"/>
      <c r="AA19" s="2"/>
      <c r="AB19" s="2"/>
      <c r="AC19" s="2"/>
    </row>
    <row r="20" spans="1:29">
      <c r="A20" s="2" t="s">
        <v>5797</v>
      </c>
      <c r="B20" s="226">
        <v>2623529</v>
      </c>
      <c r="C20" s="2">
        <f t="shared" si="0"/>
        <v>101805550</v>
      </c>
      <c r="D20" s="2" t="s">
        <v>5778</v>
      </c>
      <c r="E20" s="2" t="s">
        <v>5798</v>
      </c>
      <c r="F20" s="2" t="s">
        <v>5799</v>
      </c>
      <c r="G20" s="2" t="s">
        <v>5800</v>
      </c>
      <c r="H20" s="2">
        <v>250</v>
      </c>
      <c r="I20" s="26">
        <f t="shared" si="3"/>
        <v>25451387500</v>
      </c>
      <c r="J20" s="2">
        <f t="shared" si="2"/>
        <v>2.54513875</v>
      </c>
      <c r="K20" s="2"/>
      <c r="L20" s="2"/>
      <c r="M20" s="2"/>
      <c r="N20" s="2"/>
      <c r="O20" s="2"/>
      <c r="P20" s="2"/>
      <c r="Q20" s="2"/>
      <c r="R20" s="2"/>
      <c r="S20" s="2"/>
      <c r="T20" s="2"/>
      <c r="U20" s="2"/>
      <c r="V20" s="2"/>
      <c r="W20" s="2"/>
      <c r="X20" s="2"/>
      <c r="Y20" s="2"/>
      <c r="Z20" s="2"/>
      <c r="AA20" s="2"/>
      <c r="AB20" s="2"/>
      <c r="AC20" s="2"/>
    </row>
    <row r="21" spans="1:29">
      <c r="A21" s="2" t="s">
        <v>5792</v>
      </c>
      <c r="B21" s="226">
        <v>2224069</v>
      </c>
      <c r="C21" s="2">
        <f t="shared" si="0"/>
        <v>30270982</v>
      </c>
      <c r="D21" s="2" t="s">
        <v>5793</v>
      </c>
      <c r="E21" s="2" t="s">
        <v>5794</v>
      </c>
      <c r="F21" s="2" t="s">
        <v>5795</v>
      </c>
      <c r="G21" s="2" t="s">
        <v>5796</v>
      </c>
      <c r="H21" s="2">
        <v>300</v>
      </c>
      <c r="I21" s="26">
        <f t="shared" si="3"/>
        <v>9081294600</v>
      </c>
      <c r="J21" s="2">
        <f t="shared" si="2"/>
        <v>0.90812946000000005</v>
      </c>
      <c r="K21" s="2"/>
      <c r="L21" s="2"/>
      <c r="M21" s="2"/>
      <c r="N21" s="2"/>
      <c r="O21" s="2"/>
      <c r="P21" s="2"/>
      <c r="Q21" s="2"/>
      <c r="R21" s="2"/>
      <c r="S21" s="2"/>
      <c r="T21" s="2"/>
      <c r="U21" s="2"/>
      <c r="V21" s="2"/>
      <c r="W21" s="2"/>
      <c r="X21" s="2"/>
      <c r="Y21" s="2"/>
      <c r="Z21" s="2"/>
      <c r="AA21" s="2"/>
      <c r="AB21" s="2"/>
      <c r="AC21" s="2"/>
    </row>
    <row r="22" spans="1:29">
      <c r="A22" s="2" t="s">
        <v>5912</v>
      </c>
      <c r="B22" s="227" t="s">
        <v>5913</v>
      </c>
      <c r="C22" s="2">
        <f t="shared" si="0"/>
        <v>114588426</v>
      </c>
      <c r="D22" s="2" t="s">
        <v>5778</v>
      </c>
      <c r="E22" s="2" t="s">
        <v>5914</v>
      </c>
      <c r="F22" s="2" t="s">
        <v>5915</v>
      </c>
      <c r="G22" s="2" t="s">
        <v>5916</v>
      </c>
      <c r="H22" s="2"/>
      <c r="I22" s="26">
        <f t="shared" si="3"/>
        <v>0</v>
      </c>
      <c r="J22" s="2">
        <f t="shared" si="2"/>
        <v>0</v>
      </c>
      <c r="K22" s="2"/>
      <c r="L22" s="2"/>
      <c r="M22" s="2"/>
      <c r="N22" s="2"/>
      <c r="O22" s="2"/>
      <c r="P22" s="2"/>
      <c r="Q22" s="2"/>
      <c r="R22" s="2"/>
      <c r="S22" s="2"/>
      <c r="T22" s="2"/>
      <c r="U22" s="2"/>
      <c r="V22" s="2"/>
      <c r="W22" s="2"/>
      <c r="X22" s="2"/>
      <c r="Y22" s="2"/>
      <c r="Z22" s="2"/>
      <c r="AA22" s="2"/>
      <c r="AB22" s="2"/>
      <c r="AC22" s="2"/>
    </row>
    <row r="23" spans="1:29">
      <c r="A23" s="2" t="s">
        <v>5869</v>
      </c>
      <c r="B23" s="227" t="s">
        <v>5870</v>
      </c>
      <c r="C23" s="2">
        <f t="shared" si="0"/>
        <v>735760160</v>
      </c>
      <c r="D23" s="2" t="s">
        <v>5871</v>
      </c>
      <c r="E23" s="2" t="s">
        <v>5872</v>
      </c>
      <c r="F23" s="2" t="s">
        <v>5873</v>
      </c>
      <c r="G23" s="2" t="s">
        <v>5874</v>
      </c>
      <c r="H23" s="2"/>
      <c r="I23" s="26">
        <f t="shared" si="3"/>
        <v>0</v>
      </c>
      <c r="J23" s="2">
        <f t="shared" si="2"/>
        <v>0</v>
      </c>
      <c r="K23" s="2"/>
      <c r="L23" s="2"/>
      <c r="M23" s="2"/>
      <c r="N23" s="2"/>
      <c r="O23" s="2"/>
      <c r="P23" s="2"/>
      <c r="Q23" s="2"/>
      <c r="R23" s="2"/>
      <c r="S23" s="2"/>
      <c r="T23" s="2"/>
      <c r="U23" s="2"/>
      <c r="V23" s="2"/>
      <c r="W23" s="2"/>
      <c r="X23" s="2"/>
      <c r="Y23" s="2"/>
      <c r="Z23" s="2"/>
      <c r="AA23" s="2"/>
      <c r="AB23" s="2"/>
      <c r="AC23" s="2"/>
    </row>
    <row r="24" spans="1:29">
      <c r="A24" s="2" t="s">
        <v>6028</v>
      </c>
      <c r="B24" s="227" t="s">
        <v>6029</v>
      </c>
      <c r="C24" s="2">
        <f t="shared" si="0"/>
        <v>4044500</v>
      </c>
      <c r="D24" s="2" t="s">
        <v>5778</v>
      </c>
      <c r="E24" s="2" t="s">
        <v>6030</v>
      </c>
      <c r="F24" s="2" t="s">
        <v>6014</v>
      </c>
      <c r="G24" s="2" t="s">
        <v>6031</v>
      </c>
      <c r="H24" s="2"/>
      <c r="I24" s="26">
        <f t="shared" si="3"/>
        <v>0</v>
      </c>
      <c r="J24" s="2">
        <f t="shared" si="2"/>
        <v>0</v>
      </c>
      <c r="K24" s="2"/>
      <c r="L24" s="2"/>
      <c r="M24" s="2"/>
      <c r="N24" s="2"/>
      <c r="O24" s="2"/>
      <c r="P24" s="2"/>
      <c r="Q24" s="2"/>
      <c r="R24" s="2"/>
      <c r="S24" s="2"/>
      <c r="T24" s="2"/>
      <c r="U24" s="2"/>
      <c r="V24" s="2"/>
      <c r="W24" s="2"/>
      <c r="X24" s="2"/>
      <c r="Y24" s="2"/>
      <c r="Z24" s="2"/>
      <c r="AA24" s="2"/>
      <c r="AB24" s="2"/>
      <c r="AC24" s="2"/>
    </row>
    <row r="25" spans="1:29">
      <c r="A25" s="2" t="s">
        <v>5941</v>
      </c>
      <c r="B25" s="227" t="s">
        <v>5942</v>
      </c>
      <c r="C25" s="2">
        <f t="shared" si="0"/>
        <v>53400000</v>
      </c>
      <c r="D25" s="2" t="s">
        <v>5778</v>
      </c>
      <c r="E25" s="2" t="s">
        <v>5943</v>
      </c>
      <c r="F25" s="2" t="s">
        <v>5944</v>
      </c>
      <c r="G25" s="2" t="s">
        <v>5945</v>
      </c>
      <c r="H25" s="2"/>
      <c r="I25" s="26">
        <f t="shared" si="3"/>
        <v>0</v>
      </c>
      <c r="J25" s="2">
        <f t="shared" si="2"/>
        <v>0</v>
      </c>
      <c r="K25" s="2"/>
      <c r="L25" s="2"/>
      <c r="M25" s="2"/>
      <c r="N25" s="2"/>
      <c r="O25" s="2"/>
      <c r="P25" s="2"/>
      <c r="Q25" s="2"/>
      <c r="R25" s="2"/>
      <c r="S25" s="2"/>
      <c r="T25" s="2"/>
      <c r="U25" s="2"/>
      <c r="V25" s="2"/>
      <c r="W25" s="2"/>
      <c r="X25" s="2"/>
      <c r="Y25" s="2"/>
      <c r="Z25" s="2"/>
      <c r="AA25" s="2"/>
      <c r="AB25" s="2"/>
      <c r="AC25" s="2"/>
    </row>
    <row r="26" spans="1:29">
      <c r="A26" s="2" t="s">
        <v>5819</v>
      </c>
      <c r="B26" s="227" t="s">
        <v>5820</v>
      </c>
      <c r="C26" s="2">
        <f t="shared" si="0"/>
        <v>36391574</v>
      </c>
      <c r="D26" s="2" t="s">
        <v>5778</v>
      </c>
      <c r="E26" s="2" t="s">
        <v>5821</v>
      </c>
      <c r="F26" s="2" t="s">
        <v>5822</v>
      </c>
      <c r="G26" s="2" t="s">
        <v>5823</v>
      </c>
      <c r="H26" s="2"/>
      <c r="I26" s="26">
        <f t="shared" si="3"/>
        <v>0</v>
      </c>
      <c r="J26" s="2">
        <f t="shared" si="2"/>
        <v>0</v>
      </c>
      <c r="K26" s="2"/>
      <c r="L26" s="2"/>
      <c r="M26" s="2"/>
      <c r="N26" s="2"/>
      <c r="O26" s="2"/>
      <c r="P26" s="2"/>
      <c r="Q26" s="2"/>
      <c r="R26" s="2"/>
      <c r="S26" s="2"/>
      <c r="T26" s="2"/>
      <c r="U26" s="2"/>
      <c r="V26" s="2"/>
      <c r="W26" s="2"/>
      <c r="X26" s="2"/>
      <c r="Y26" s="2"/>
      <c r="Z26" s="2"/>
      <c r="AA26" s="2"/>
      <c r="AB26" s="2"/>
      <c r="AC26" s="2"/>
    </row>
    <row r="27" spans="1:29">
      <c r="A27" s="2" t="s">
        <v>5860</v>
      </c>
      <c r="B27" s="227" t="s">
        <v>5861</v>
      </c>
      <c r="C27" s="2">
        <f t="shared" si="0"/>
        <v>29296590</v>
      </c>
      <c r="D27" s="2" t="s">
        <v>5778</v>
      </c>
      <c r="E27" s="2" t="s">
        <v>5862</v>
      </c>
      <c r="F27" s="2" t="s">
        <v>5863</v>
      </c>
      <c r="G27" s="2" t="s">
        <v>5864</v>
      </c>
      <c r="H27" s="2"/>
      <c r="I27" s="26">
        <f t="shared" si="3"/>
        <v>0</v>
      </c>
      <c r="J27" s="2">
        <f t="shared" si="2"/>
        <v>0</v>
      </c>
      <c r="K27" s="2"/>
      <c r="L27" s="2"/>
      <c r="M27" s="2"/>
      <c r="N27" s="2"/>
      <c r="O27" s="2"/>
      <c r="P27" s="2"/>
      <c r="Q27" s="2"/>
      <c r="R27" s="2"/>
      <c r="S27" s="2"/>
      <c r="T27" s="2"/>
      <c r="U27" s="2"/>
      <c r="V27" s="2"/>
      <c r="W27" s="2"/>
      <c r="X27" s="2"/>
      <c r="Y27" s="2"/>
      <c r="Z27" s="2"/>
      <c r="AA27" s="2"/>
      <c r="AB27" s="2"/>
      <c r="AC27" s="2"/>
    </row>
    <row r="28" spans="1:29">
      <c r="A28" s="2" t="s">
        <v>5956</v>
      </c>
      <c r="B28" s="227" t="s">
        <v>5957</v>
      </c>
      <c r="C28" s="2">
        <f t="shared" si="0"/>
        <v>32151333</v>
      </c>
      <c r="D28" s="2" t="s">
        <v>5778</v>
      </c>
      <c r="E28" s="2" t="s">
        <v>5958</v>
      </c>
      <c r="F28" s="2" t="s">
        <v>5959</v>
      </c>
      <c r="G28" s="2" t="s">
        <v>5960</v>
      </c>
      <c r="H28" s="2"/>
      <c r="I28" s="26">
        <f t="shared" si="3"/>
        <v>0</v>
      </c>
      <c r="J28" s="2">
        <f t="shared" si="2"/>
        <v>0</v>
      </c>
      <c r="K28" s="2"/>
      <c r="L28" s="2"/>
      <c r="M28" s="2"/>
      <c r="N28" s="2"/>
      <c r="O28" s="2"/>
      <c r="P28" s="2"/>
      <c r="Q28" s="2"/>
      <c r="R28" s="2"/>
      <c r="S28" s="2"/>
      <c r="T28" s="2"/>
      <c r="U28" s="2"/>
      <c r="V28" s="2"/>
      <c r="W28" s="2"/>
      <c r="X28" s="2"/>
      <c r="Y28" s="2"/>
      <c r="Z28" s="2"/>
      <c r="AA28" s="2"/>
      <c r="AB28" s="2"/>
      <c r="AC28" s="2"/>
    </row>
    <row r="29" spans="1:29">
      <c r="A29" s="2" t="s">
        <v>5813</v>
      </c>
      <c r="B29" s="227" t="s">
        <v>5814</v>
      </c>
      <c r="C29" s="2">
        <f t="shared" si="0"/>
        <v>23043086</v>
      </c>
      <c r="D29" s="2" t="s">
        <v>5815</v>
      </c>
      <c r="E29" s="2" t="s">
        <v>5816</v>
      </c>
      <c r="F29" s="2" t="s">
        <v>5817</v>
      </c>
      <c r="G29" s="2" t="s">
        <v>5818</v>
      </c>
      <c r="H29" s="2"/>
      <c r="I29" s="26">
        <f t="shared" si="3"/>
        <v>0</v>
      </c>
      <c r="J29" s="2">
        <f t="shared" si="2"/>
        <v>0</v>
      </c>
      <c r="K29" s="2"/>
      <c r="L29" s="2"/>
      <c r="M29" s="2"/>
      <c r="N29" s="2"/>
      <c r="O29" s="2"/>
      <c r="P29" s="2"/>
      <c r="Q29" s="2"/>
      <c r="R29" s="2"/>
      <c r="S29" s="2"/>
      <c r="T29" s="2"/>
      <c r="U29" s="2"/>
      <c r="V29" s="2"/>
      <c r="W29" s="2"/>
      <c r="X29" s="2"/>
      <c r="Y29" s="2"/>
      <c r="Z29" s="2"/>
      <c r="AA29" s="2"/>
      <c r="AB29" s="2"/>
      <c r="AC29" s="2"/>
    </row>
    <row r="30" spans="1:29">
      <c r="A30" s="2" t="s">
        <v>5921</v>
      </c>
      <c r="B30" s="227" t="s">
        <v>5922</v>
      </c>
      <c r="C30" s="2">
        <f t="shared" si="0"/>
        <v>126674402</v>
      </c>
      <c r="D30" s="2" t="s">
        <v>5778</v>
      </c>
      <c r="E30" s="2" t="s">
        <v>5923</v>
      </c>
      <c r="F30" s="2" t="s">
        <v>5924</v>
      </c>
      <c r="G30" s="2" t="s">
        <v>5925</v>
      </c>
      <c r="H30" s="2"/>
      <c r="I30" s="26">
        <f t="shared" si="3"/>
        <v>0</v>
      </c>
      <c r="J30" s="2">
        <f t="shared" si="2"/>
        <v>0</v>
      </c>
      <c r="K30" s="2"/>
      <c r="L30" s="2"/>
      <c r="M30" s="2"/>
      <c r="N30" s="2"/>
      <c r="O30" s="2"/>
      <c r="P30" s="2"/>
      <c r="Q30" s="2"/>
      <c r="R30" s="2"/>
      <c r="S30" s="2"/>
      <c r="T30" s="2"/>
      <c r="U30" s="2"/>
      <c r="V30" s="2"/>
      <c r="W30" s="2"/>
      <c r="X30" s="2"/>
      <c r="Y30" s="2"/>
      <c r="Z30" s="2"/>
      <c r="AA30" s="2"/>
      <c r="AB30" s="2"/>
      <c r="AC30" s="2"/>
    </row>
    <row r="31" spans="1:29">
      <c r="A31" s="2" t="s">
        <v>5890</v>
      </c>
      <c r="B31" s="227" t="s">
        <v>5891</v>
      </c>
      <c r="C31" s="2">
        <f t="shared" si="0"/>
        <v>182160000</v>
      </c>
      <c r="D31" s="2" t="s">
        <v>5778</v>
      </c>
      <c r="E31" s="2" t="s">
        <v>5892</v>
      </c>
      <c r="F31" s="2" t="s">
        <v>5893</v>
      </c>
      <c r="G31" s="2" t="s">
        <v>5894</v>
      </c>
      <c r="H31" s="2"/>
      <c r="I31" s="26">
        <f t="shared" si="3"/>
        <v>0</v>
      </c>
      <c r="J31" s="2">
        <f t="shared" si="2"/>
        <v>0</v>
      </c>
      <c r="K31" s="2"/>
      <c r="L31" s="2"/>
      <c r="M31" s="2"/>
      <c r="N31" s="2"/>
      <c r="O31" s="2"/>
      <c r="P31" s="2"/>
      <c r="Q31" s="2"/>
      <c r="R31" s="2"/>
      <c r="S31" s="2"/>
      <c r="T31" s="2"/>
      <c r="U31" s="2"/>
      <c r="V31" s="2"/>
      <c r="W31" s="2"/>
      <c r="X31" s="2"/>
      <c r="Y31" s="2"/>
      <c r="Z31" s="2"/>
      <c r="AA31" s="2"/>
      <c r="AB31" s="2"/>
      <c r="AC31" s="2"/>
    </row>
    <row r="32" spans="1:29">
      <c r="A32" s="2" t="s">
        <v>5936</v>
      </c>
      <c r="B32" s="227" t="s">
        <v>5937</v>
      </c>
      <c r="C32" s="2">
        <f t="shared" si="0"/>
        <v>67919940</v>
      </c>
      <c r="D32" s="2" t="s">
        <v>5778</v>
      </c>
      <c r="E32" s="2" t="s">
        <v>5938</v>
      </c>
      <c r="F32" s="2" t="s">
        <v>5939</v>
      </c>
      <c r="G32" s="2" t="s">
        <v>5940</v>
      </c>
      <c r="H32" s="2"/>
      <c r="I32" s="26">
        <f t="shared" si="3"/>
        <v>0</v>
      </c>
      <c r="J32" s="2">
        <f t="shared" si="2"/>
        <v>0</v>
      </c>
      <c r="K32" s="2"/>
      <c r="L32" s="2"/>
      <c r="M32" s="2"/>
      <c r="N32" s="2"/>
      <c r="O32" s="2"/>
      <c r="P32" s="2"/>
      <c r="Q32" s="2"/>
      <c r="R32" s="2"/>
      <c r="S32" s="2"/>
      <c r="T32" s="2"/>
      <c r="U32" s="2"/>
      <c r="V32" s="2"/>
      <c r="W32" s="2"/>
      <c r="X32" s="2"/>
      <c r="Y32" s="2"/>
      <c r="Z32" s="2"/>
      <c r="AA32" s="2"/>
      <c r="AB32" s="2"/>
      <c r="AC32" s="2"/>
    </row>
    <row r="33" spans="1:29">
      <c r="A33" s="2" t="s">
        <v>5961</v>
      </c>
      <c r="B33" s="227" t="s">
        <v>5962</v>
      </c>
      <c r="C33" s="2">
        <f t="shared" si="0"/>
        <v>29288000</v>
      </c>
      <c r="D33" s="2" t="s">
        <v>5778</v>
      </c>
      <c r="E33" s="2" t="s">
        <v>5963</v>
      </c>
      <c r="F33" s="2" t="s">
        <v>5964</v>
      </c>
      <c r="G33" s="2" t="s">
        <v>5965</v>
      </c>
      <c r="H33" s="2"/>
      <c r="I33" s="26">
        <f t="shared" si="3"/>
        <v>0</v>
      </c>
      <c r="J33" s="2">
        <f t="shared" si="2"/>
        <v>0</v>
      </c>
      <c r="K33" s="2"/>
      <c r="L33" s="2"/>
      <c r="M33" s="2"/>
      <c r="N33" s="2"/>
      <c r="O33" s="2"/>
      <c r="P33" s="2"/>
      <c r="Q33" s="2"/>
      <c r="R33" s="2"/>
      <c r="S33" s="2"/>
      <c r="T33" s="2"/>
      <c r="U33" s="2"/>
      <c r="V33" s="2"/>
      <c r="W33" s="2"/>
      <c r="X33" s="2"/>
      <c r="Y33" s="2"/>
      <c r="Z33" s="2"/>
      <c r="AA33" s="2"/>
      <c r="AB33" s="2"/>
      <c r="AC33" s="2"/>
    </row>
    <row r="34" spans="1:29">
      <c r="A34" s="2" t="s">
        <v>5971</v>
      </c>
      <c r="B34" s="227" t="s">
        <v>5972</v>
      </c>
      <c r="C34" s="2">
        <f t="shared" ref="C34:C65" si="4">D34+E34</f>
        <v>259990000</v>
      </c>
      <c r="D34" s="2" t="s">
        <v>5778</v>
      </c>
      <c r="E34" s="2" t="s">
        <v>5973</v>
      </c>
      <c r="F34" s="2" t="s">
        <v>5974</v>
      </c>
      <c r="G34" s="2" t="s">
        <v>5975</v>
      </c>
      <c r="H34" s="2"/>
      <c r="I34" s="2"/>
      <c r="J34" s="2"/>
      <c r="K34" s="2"/>
      <c r="L34" s="2"/>
      <c r="M34" s="2"/>
      <c r="N34" s="2"/>
      <c r="O34" s="2"/>
      <c r="P34" s="2"/>
      <c r="Q34" s="2"/>
      <c r="R34" s="2"/>
      <c r="S34" s="2"/>
      <c r="T34" s="2"/>
      <c r="U34" s="2"/>
      <c r="V34" s="2"/>
      <c r="W34" s="2"/>
      <c r="X34" s="2"/>
      <c r="Y34" s="2"/>
      <c r="Z34" s="2"/>
      <c r="AA34" s="2"/>
      <c r="AB34" s="2"/>
      <c r="AC34" s="2"/>
    </row>
    <row r="35" spans="1:29">
      <c r="A35" s="2" t="s">
        <v>5926</v>
      </c>
      <c r="B35" s="227" t="s">
        <v>5927</v>
      </c>
      <c r="C35" s="2">
        <f t="shared" si="4"/>
        <v>6208016</v>
      </c>
      <c r="D35" s="2" t="s">
        <v>5778</v>
      </c>
      <c r="E35" s="2" t="s">
        <v>5928</v>
      </c>
      <c r="F35" s="2" t="s">
        <v>5929</v>
      </c>
      <c r="G35" s="2" t="s">
        <v>5930</v>
      </c>
      <c r="H35" s="2"/>
      <c r="I35" s="2"/>
      <c r="J35" s="2"/>
      <c r="K35" s="2"/>
      <c r="L35" s="2"/>
      <c r="M35" s="2"/>
      <c r="N35" s="2"/>
      <c r="O35" s="2"/>
      <c r="P35" s="2"/>
      <c r="Q35" s="2"/>
      <c r="R35" s="2"/>
      <c r="S35" s="2"/>
      <c r="T35" s="2"/>
      <c r="U35" s="2"/>
      <c r="V35" s="2"/>
      <c r="W35" s="2"/>
      <c r="X35" s="2"/>
      <c r="Y35" s="2"/>
      <c r="Z35" s="2"/>
      <c r="AA35" s="2"/>
      <c r="AB35" s="2"/>
      <c r="AC35" s="2"/>
    </row>
    <row r="36" spans="1:29">
      <c r="A36" s="2" t="s">
        <v>5841</v>
      </c>
      <c r="B36" s="227" t="s">
        <v>5842</v>
      </c>
      <c r="C36" s="2">
        <f t="shared" si="4"/>
        <v>39242697</v>
      </c>
      <c r="D36" s="2" t="s">
        <v>5843</v>
      </c>
      <c r="E36" s="2" t="s">
        <v>5844</v>
      </c>
      <c r="F36" s="2" t="s">
        <v>5845</v>
      </c>
      <c r="G36" s="2" t="s">
        <v>5846</v>
      </c>
      <c r="H36" s="2"/>
      <c r="I36" s="2"/>
      <c r="J36" s="2"/>
      <c r="K36" s="2"/>
      <c r="L36" s="2"/>
      <c r="M36" s="2"/>
      <c r="N36" s="2"/>
      <c r="O36" s="2"/>
      <c r="P36" s="2"/>
      <c r="Q36" s="2"/>
      <c r="R36" s="2"/>
      <c r="S36" s="2"/>
      <c r="T36" s="2"/>
      <c r="U36" s="2"/>
      <c r="V36" s="2"/>
      <c r="W36" s="2"/>
      <c r="X36" s="2"/>
      <c r="Y36" s="2"/>
      <c r="Z36" s="2"/>
      <c r="AA36" s="2"/>
      <c r="AB36" s="2"/>
      <c r="AC36" s="2"/>
    </row>
    <row r="37" spans="1:29">
      <c r="A37" s="2" t="s">
        <v>5966</v>
      </c>
      <c r="B37" s="227" t="s">
        <v>5967</v>
      </c>
      <c r="C37" s="2">
        <f t="shared" si="4"/>
        <v>24338461</v>
      </c>
      <c r="D37" s="2" t="s">
        <v>5778</v>
      </c>
      <c r="E37" s="2" t="s">
        <v>5968</v>
      </c>
      <c r="F37" s="2" t="s">
        <v>5969</v>
      </c>
      <c r="G37" s="2" t="s">
        <v>5970</v>
      </c>
      <c r="H37" s="2"/>
      <c r="I37" s="2"/>
      <c r="J37" s="2"/>
      <c r="K37" s="2"/>
      <c r="L37" s="2"/>
      <c r="M37" s="2"/>
      <c r="N37" s="2"/>
      <c r="O37" s="2"/>
      <c r="P37" s="2"/>
      <c r="Q37" s="2"/>
      <c r="R37" s="2"/>
      <c r="S37" s="2"/>
      <c r="T37" s="2"/>
      <c r="U37" s="2"/>
      <c r="V37" s="2"/>
      <c r="W37" s="2"/>
      <c r="X37" s="2"/>
      <c r="Y37" s="2"/>
      <c r="Z37" s="2"/>
      <c r="AA37" s="2"/>
      <c r="AB37" s="2"/>
      <c r="AC37" s="2"/>
    </row>
    <row r="38" spans="1:29">
      <c r="A38" s="2" t="s">
        <v>5847</v>
      </c>
      <c r="B38" s="227" t="s">
        <v>5848</v>
      </c>
      <c r="C38" s="2">
        <f t="shared" si="4"/>
        <v>35697979</v>
      </c>
      <c r="D38" s="2" t="s">
        <v>5778</v>
      </c>
      <c r="E38" s="2" t="s">
        <v>5849</v>
      </c>
      <c r="F38" s="2" t="s">
        <v>5850</v>
      </c>
      <c r="G38" s="2" t="s">
        <v>5851</v>
      </c>
      <c r="H38" s="2"/>
      <c r="I38" s="2"/>
      <c r="J38" s="2"/>
      <c r="K38" s="2"/>
      <c r="L38" s="2"/>
      <c r="M38" s="2"/>
      <c r="N38" s="2"/>
      <c r="O38" s="2"/>
      <c r="P38" s="2"/>
      <c r="Q38" s="2"/>
      <c r="R38" s="2"/>
      <c r="S38" s="2"/>
      <c r="T38" s="2"/>
      <c r="U38" s="2"/>
      <c r="V38" s="2"/>
      <c r="W38" s="2"/>
      <c r="X38" s="2"/>
      <c r="Y38" s="2"/>
      <c r="Z38" s="2"/>
      <c r="AA38" s="2"/>
      <c r="AB38" s="2"/>
      <c r="AC38" s="2"/>
    </row>
    <row r="39" spans="1:29">
      <c r="A39" s="2" t="s">
        <v>5875</v>
      </c>
      <c r="B39" s="227" t="s">
        <v>5876</v>
      </c>
      <c r="C39" s="2">
        <f t="shared" si="4"/>
        <v>30949707</v>
      </c>
      <c r="D39" s="2" t="s">
        <v>5877</v>
      </c>
      <c r="E39" s="2" t="s">
        <v>5878</v>
      </c>
      <c r="F39" s="2" t="s">
        <v>5879</v>
      </c>
      <c r="G39" s="2" t="s">
        <v>5880</v>
      </c>
      <c r="H39" s="2"/>
      <c r="I39" s="2"/>
      <c r="J39" s="2"/>
      <c r="K39" s="2"/>
      <c r="L39" s="2"/>
      <c r="M39" s="2"/>
      <c r="N39" s="2"/>
      <c r="O39" s="2"/>
      <c r="P39" s="2"/>
      <c r="Q39" s="2"/>
      <c r="R39" s="2"/>
      <c r="S39" s="2"/>
      <c r="T39" s="2"/>
      <c r="U39" s="2"/>
      <c r="V39" s="2"/>
      <c r="W39" s="2"/>
      <c r="X39" s="2"/>
      <c r="Y39" s="2"/>
      <c r="Z39" s="2"/>
      <c r="AA39" s="2"/>
      <c r="AB39" s="2"/>
      <c r="AC39" s="2"/>
    </row>
    <row r="40" spans="1:29">
      <c r="A40" s="2" t="s">
        <v>5837</v>
      </c>
      <c r="B40" s="227" t="s">
        <v>5838</v>
      </c>
      <c r="C40" s="2">
        <f t="shared" si="4"/>
        <v>11270740</v>
      </c>
      <c r="D40" s="2" t="s">
        <v>5778</v>
      </c>
      <c r="E40" s="2" t="s">
        <v>5839</v>
      </c>
      <c r="F40" s="2" t="s">
        <v>5840</v>
      </c>
      <c r="G40" s="2" t="s">
        <v>4789</v>
      </c>
      <c r="H40" s="2"/>
      <c r="I40" s="2"/>
      <c r="J40" s="2"/>
      <c r="K40" s="2"/>
      <c r="L40" s="2"/>
      <c r="M40" s="2"/>
      <c r="N40" s="2"/>
      <c r="O40" s="2"/>
      <c r="P40" s="2"/>
      <c r="Q40" s="2"/>
      <c r="R40" s="2"/>
      <c r="S40" s="2"/>
      <c r="T40" s="2"/>
      <c r="U40" s="2"/>
      <c r="V40" s="2"/>
      <c r="W40" s="2"/>
      <c r="X40" s="2"/>
      <c r="Y40" s="2"/>
      <c r="Z40" s="2"/>
      <c r="AA40" s="2"/>
      <c r="AB40" s="2"/>
      <c r="AC40" s="2"/>
    </row>
    <row r="41" spans="1:29">
      <c r="A41" s="2" t="s">
        <v>5982</v>
      </c>
      <c r="B41" s="227" t="s">
        <v>5983</v>
      </c>
      <c r="C41" s="2">
        <f t="shared" si="4"/>
        <v>15600000</v>
      </c>
      <c r="D41" s="2" t="s">
        <v>5778</v>
      </c>
      <c r="E41" s="2" t="s">
        <v>5984</v>
      </c>
      <c r="F41" s="2" t="s">
        <v>5985</v>
      </c>
      <c r="G41" s="2" t="s">
        <v>5986</v>
      </c>
      <c r="H41" s="2"/>
      <c r="I41" s="2"/>
      <c r="J41" s="2"/>
      <c r="K41" s="2"/>
      <c r="L41" s="2"/>
      <c r="M41" s="2"/>
      <c r="N41" s="2"/>
      <c r="O41" s="2"/>
      <c r="P41" s="2"/>
      <c r="Q41" s="2"/>
      <c r="R41" s="2"/>
      <c r="S41" s="2"/>
      <c r="T41" s="2"/>
      <c r="U41" s="2"/>
      <c r="V41" s="2"/>
      <c r="W41" s="2"/>
      <c r="X41" s="2"/>
      <c r="Y41" s="2"/>
      <c r="Z41" s="2"/>
      <c r="AA41" s="2"/>
      <c r="AB41" s="2"/>
      <c r="AC41" s="2"/>
    </row>
    <row r="42" spans="1:29">
      <c r="A42" s="2" t="s">
        <v>5828</v>
      </c>
      <c r="B42" s="227" t="s">
        <v>5829</v>
      </c>
      <c r="C42" s="2">
        <f t="shared" si="4"/>
        <v>14702520</v>
      </c>
      <c r="D42" s="2" t="s">
        <v>5778</v>
      </c>
      <c r="E42" s="2" t="s">
        <v>5830</v>
      </c>
      <c r="F42" s="2" t="s">
        <v>5831</v>
      </c>
      <c r="G42" s="2" t="s">
        <v>5832</v>
      </c>
      <c r="H42" s="2"/>
      <c r="I42" s="2"/>
      <c r="J42" s="2"/>
      <c r="K42" s="2"/>
      <c r="L42" s="2"/>
      <c r="M42" s="2"/>
      <c r="N42" s="2"/>
      <c r="O42" s="2"/>
      <c r="P42" s="2"/>
      <c r="Q42" s="2"/>
      <c r="R42" s="2"/>
      <c r="S42" s="2"/>
      <c r="T42" s="2"/>
      <c r="U42" s="2"/>
      <c r="V42" s="2"/>
      <c r="W42" s="2"/>
      <c r="X42" s="2"/>
      <c r="Y42" s="2"/>
      <c r="Z42" s="2"/>
      <c r="AA42" s="2"/>
      <c r="AB42" s="2"/>
      <c r="AC42" s="2"/>
    </row>
    <row r="43" spans="1:29">
      <c r="A43" s="2" t="s">
        <v>5903</v>
      </c>
      <c r="B43" s="227" t="s">
        <v>5904</v>
      </c>
      <c r="C43" s="2">
        <f t="shared" si="4"/>
        <v>13930853</v>
      </c>
      <c r="D43" s="2" t="s">
        <v>5778</v>
      </c>
      <c r="E43" s="2" t="s">
        <v>5905</v>
      </c>
      <c r="F43" s="2" t="s">
        <v>5906</v>
      </c>
      <c r="G43" s="2" t="s">
        <v>5907</v>
      </c>
      <c r="H43" s="2"/>
      <c r="I43" s="2"/>
      <c r="J43" s="2"/>
      <c r="K43" s="2"/>
      <c r="L43" s="2"/>
      <c r="M43" s="2"/>
      <c r="N43" s="2"/>
      <c r="O43" s="2"/>
      <c r="P43" s="2"/>
      <c r="Q43" s="2"/>
      <c r="R43" s="2"/>
      <c r="S43" s="2"/>
      <c r="T43" s="2"/>
      <c r="U43" s="2"/>
      <c r="V43" s="2"/>
      <c r="W43" s="2"/>
      <c r="X43" s="2"/>
      <c r="Y43" s="2"/>
      <c r="Z43" s="2"/>
      <c r="AA43" s="2"/>
      <c r="AB43" s="2"/>
      <c r="AC43" s="2"/>
    </row>
    <row r="44" spans="1:29">
      <c r="A44" s="2" t="s">
        <v>5885</v>
      </c>
      <c r="B44" s="227" t="s">
        <v>5886</v>
      </c>
      <c r="C44" s="2">
        <f t="shared" si="4"/>
        <v>68500000</v>
      </c>
      <c r="D44" s="2" t="s">
        <v>5778</v>
      </c>
      <c r="E44" s="2" t="s">
        <v>5887</v>
      </c>
      <c r="F44" s="2" t="s">
        <v>5888</v>
      </c>
      <c r="G44" s="2" t="s">
        <v>5889</v>
      </c>
      <c r="H44" s="2"/>
      <c r="I44" s="2"/>
      <c r="J44" s="2"/>
      <c r="K44" s="2"/>
      <c r="L44" s="2"/>
      <c r="M44" s="2"/>
      <c r="N44" s="2"/>
      <c r="O44" s="2"/>
      <c r="P44" s="2"/>
      <c r="Q44" s="2"/>
      <c r="R44" s="2"/>
      <c r="S44" s="2"/>
      <c r="T44" s="2"/>
      <c r="U44" s="2"/>
      <c r="V44" s="2"/>
      <c r="W44" s="2"/>
      <c r="X44" s="2"/>
      <c r="Y44" s="2"/>
      <c r="Z44" s="2"/>
      <c r="AA44" s="2"/>
      <c r="AB44" s="2"/>
      <c r="AC44" s="2"/>
    </row>
    <row r="45" spans="1:29">
      <c r="A45" s="2" t="s">
        <v>5987</v>
      </c>
      <c r="B45" s="227" t="s">
        <v>5988</v>
      </c>
      <c r="C45" s="2">
        <f t="shared" si="4"/>
        <v>3000000</v>
      </c>
      <c r="D45" s="2" t="s">
        <v>5778</v>
      </c>
      <c r="E45" s="2" t="s">
        <v>5822</v>
      </c>
      <c r="F45" s="2" t="s">
        <v>5989</v>
      </c>
      <c r="G45" s="2" t="s">
        <v>5990</v>
      </c>
      <c r="H45" s="2"/>
      <c r="I45" s="2"/>
      <c r="J45" s="2"/>
      <c r="K45" s="2"/>
      <c r="L45" s="2"/>
      <c r="M45" s="2"/>
      <c r="N45" s="2"/>
      <c r="O45" s="2"/>
      <c r="P45" s="2"/>
      <c r="Q45" s="2"/>
      <c r="R45" s="2"/>
      <c r="S45" s="2"/>
      <c r="T45" s="2"/>
      <c r="U45" s="2"/>
      <c r="V45" s="2"/>
      <c r="W45" s="2"/>
      <c r="X45" s="2"/>
      <c r="Y45" s="2"/>
      <c r="Z45" s="2"/>
      <c r="AA45" s="2"/>
      <c r="AB45" s="2"/>
      <c r="AC45" s="2"/>
    </row>
    <row r="46" spans="1:29">
      <c r="A46" s="2" t="s">
        <v>6006</v>
      </c>
      <c r="B46" s="227" t="s">
        <v>6007</v>
      </c>
      <c r="C46" s="2">
        <f t="shared" si="4"/>
        <v>12400000</v>
      </c>
      <c r="D46" s="2" t="s">
        <v>5778</v>
      </c>
      <c r="E46" s="2" t="s">
        <v>6008</v>
      </c>
      <c r="F46" s="2" t="s">
        <v>6009</v>
      </c>
      <c r="G46" s="2" t="s">
        <v>6010</v>
      </c>
      <c r="H46" s="2"/>
      <c r="I46" s="2"/>
      <c r="J46" s="2"/>
      <c r="K46" s="2"/>
      <c r="L46" s="2"/>
      <c r="M46" s="2"/>
      <c r="N46" s="2"/>
      <c r="O46" s="2"/>
      <c r="P46" s="2"/>
      <c r="Q46" s="2"/>
      <c r="R46" s="2"/>
      <c r="S46" s="2"/>
      <c r="T46" s="2"/>
      <c r="U46" s="2"/>
      <c r="V46" s="2"/>
      <c r="W46" s="2"/>
      <c r="X46" s="2"/>
      <c r="Y46" s="2"/>
      <c r="Z46" s="2"/>
      <c r="AA46" s="2"/>
      <c r="AB46" s="2"/>
      <c r="AC46" s="2"/>
    </row>
    <row r="47" spans="1:29">
      <c r="A47" s="2" t="s">
        <v>5917</v>
      </c>
      <c r="B47" s="227" t="s">
        <v>5918</v>
      </c>
      <c r="C47" s="2">
        <f t="shared" si="4"/>
        <v>25000000</v>
      </c>
      <c r="D47" s="2" t="s">
        <v>5778</v>
      </c>
      <c r="E47" s="2" t="s">
        <v>5840</v>
      </c>
      <c r="F47" s="2" t="s">
        <v>5919</v>
      </c>
      <c r="G47" s="2" t="s">
        <v>5920</v>
      </c>
      <c r="H47" s="2"/>
      <c r="I47" s="2"/>
      <c r="J47" s="2"/>
      <c r="K47" s="2"/>
      <c r="L47" s="2"/>
      <c r="M47" s="2"/>
      <c r="N47" s="2"/>
      <c r="O47" s="2"/>
      <c r="P47" s="2"/>
      <c r="Q47" s="2"/>
      <c r="R47" s="2"/>
      <c r="S47" s="2"/>
      <c r="T47" s="2"/>
      <c r="U47" s="2"/>
      <c r="V47" s="2"/>
      <c r="W47" s="2"/>
      <c r="X47" s="2"/>
      <c r="Y47" s="2"/>
      <c r="Z47" s="2"/>
      <c r="AA47" s="2"/>
      <c r="AB47" s="2"/>
      <c r="AC47" s="2"/>
    </row>
    <row r="48" spans="1:29">
      <c r="A48" s="2" t="s">
        <v>5991</v>
      </c>
      <c r="B48" s="227" t="s">
        <v>5992</v>
      </c>
      <c r="C48" s="2">
        <f t="shared" si="4"/>
        <v>29000000</v>
      </c>
      <c r="D48" s="2" t="s">
        <v>5778</v>
      </c>
      <c r="E48" s="2" t="s">
        <v>5993</v>
      </c>
      <c r="F48" s="2" t="s">
        <v>5994</v>
      </c>
      <c r="G48" s="2" t="s">
        <v>5995</v>
      </c>
      <c r="H48" s="2"/>
      <c r="I48" s="2"/>
      <c r="J48" s="2"/>
      <c r="K48" s="2"/>
      <c r="L48" s="2"/>
      <c r="M48" s="2"/>
      <c r="N48" s="2"/>
      <c r="O48" s="2"/>
      <c r="P48" s="2"/>
      <c r="Q48" s="2"/>
      <c r="R48" s="2"/>
      <c r="S48" s="2"/>
      <c r="T48" s="2"/>
      <c r="U48" s="2"/>
      <c r="V48" s="2"/>
      <c r="W48" s="2"/>
      <c r="X48" s="2"/>
      <c r="Y48" s="2"/>
      <c r="Z48" s="2"/>
      <c r="AA48" s="2"/>
      <c r="AB48" s="2"/>
      <c r="AC48" s="2"/>
    </row>
    <row r="49" spans="1:29">
      <c r="A49" s="2" t="s">
        <v>6019</v>
      </c>
      <c r="B49" s="227" t="s">
        <v>6020</v>
      </c>
      <c r="C49" s="2">
        <f t="shared" si="4"/>
        <v>12691397</v>
      </c>
      <c r="D49" s="2" t="s">
        <v>5778</v>
      </c>
      <c r="E49" s="2" t="s">
        <v>6021</v>
      </c>
      <c r="F49" s="2" t="s">
        <v>6022</v>
      </c>
      <c r="G49" s="2" t="s">
        <v>6023</v>
      </c>
      <c r="H49" s="2"/>
      <c r="I49" s="2"/>
      <c r="J49" s="2"/>
      <c r="K49" s="2"/>
      <c r="L49" s="2"/>
      <c r="M49" s="2"/>
      <c r="N49" s="2"/>
      <c r="O49" s="2"/>
      <c r="P49" s="2"/>
      <c r="Q49" s="2"/>
      <c r="R49" s="2"/>
      <c r="S49" s="2"/>
      <c r="T49" s="2"/>
      <c r="U49" s="2"/>
      <c r="V49" s="2"/>
      <c r="W49" s="2"/>
      <c r="X49" s="2"/>
      <c r="Y49" s="2"/>
      <c r="Z49" s="2"/>
      <c r="AA49" s="2"/>
      <c r="AB49" s="2"/>
      <c r="AC49" s="2"/>
    </row>
    <row r="50" spans="1:29">
      <c r="A50" s="2" t="s">
        <v>6011</v>
      </c>
      <c r="B50" s="227" t="s">
        <v>6012</v>
      </c>
      <c r="C50" s="2">
        <f t="shared" si="4"/>
        <v>4639508</v>
      </c>
      <c r="D50" s="2" t="s">
        <v>5778</v>
      </c>
      <c r="E50" s="2" t="s">
        <v>6013</v>
      </c>
      <c r="F50" s="2" t="s">
        <v>6014</v>
      </c>
      <c r="G50" s="2" t="s">
        <v>6015</v>
      </c>
      <c r="H50" s="2"/>
      <c r="I50" s="2"/>
      <c r="J50" s="2"/>
      <c r="K50" s="2"/>
      <c r="L50" s="2"/>
      <c r="M50" s="2"/>
      <c r="N50" s="2"/>
      <c r="O50" s="2"/>
      <c r="P50" s="2"/>
      <c r="Q50" s="2"/>
      <c r="R50" s="2"/>
      <c r="S50" s="2"/>
      <c r="T50" s="2"/>
      <c r="U50" s="2"/>
      <c r="V50" s="2"/>
      <c r="W50" s="2"/>
      <c r="X50" s="2"/>
      <c r="Y50" s="2"/>
      <c r="Z50" s="2"/>
      <c r="AA50" s="2"/>
      <c r="AB50" s="2"/>
      <c r="AC50" s="2"/>
    </row>
    <row r="51" spans="1:29">
      <c r="A51" s="2" t="s">
        <v>5951</v>
      </c>
      <c r="B51" s="227" t="s">
        <v>5952</v>
      </c>
      <c r="C51" s="2">
        <f t="shared" si="4"/>
        <v>9242699</v>
      </c>
      <c r="D51" s="2" t="s">
        <v>5778</v>
      </c>
      <c r="E51" s="2" t="s">
        <v>5953</v>
      </c>
      <c r="F51" s="2" t="s">
        <v>5954</v>
      </c>
      <c r="G51" s="2" t="s">
        <v>5955</v>
      </c>
      <c r="H51" s="2"/>
      <c r="I51" s="2"/>
      <c r="J51" s="2"/>
      <c r="K51" s="2"/>
      <c r="L51" s="2"/>
      <c r="M51" s="2"/>
      <c r="N51" s="2"/>
      <c r="O51" s="2"/>
      <c r="P51" s="2"/>
      <c r="Q51" s="2"/>
      <c r="R51" s="2"/>
      <c r="S51" s="2"/>
      <c r="T51" s="2"/>
      <c r="U51" s="2"/>
      <c r="V51" s="2"/>
      <c r="W51" s="2"/>
      <c r="X51" s="2"/>
      <c r="Y51" s="2"/>
      <c r="Z51" s="2"/>
      <c r="AA51" s="2"/>
      <c r="AB51" s="2"/>
      <c r="AC51" s="2"/>
    </row>
    <row r="52" spans="1:29">
      <c r="A52" s="2" t="s">
        <v>5946</v>
      </c>
      <c r="B52" s="227" t="s">
        <v>5947</v>
      </c>
      <c r="C52" s="2">
        <f t="shared" si="4"/>
        <v>12000000</v>
      </c>
      <c r="D52" s="2" t="s">
        <v>5778</v>
      </c>
      <c r="E52" s="2" t="s">
        <v>5948</v>
      </c>
      <c r="F52" s="2" t="s">
        <v>5949</v>
      </c>
      <c r="G52" s="2" t="s">
        <v>5950</v>
      </c>
      <c r="H52" s="2"/>
      <c r="I52" s="2"/>
      <c r="J52" s="2"/>
      <c r="K52" s="2"/>
      <c r="L52" s="2"/>
      <c r="M52" s="2"/>
      <c r="N52" s="2"/>
      <c r="O52" s="2"/>
      <c r="P52" s="2"/>
      <c r="Q52" s="2"/>
      <c r="R52" s="2"/>
      <c r="S52" s="2"/>
      <c r="T52" s="2"/>
      <c r="U52" s="2"/>
      <c r="V52" s="2"/>
      <c r="W52" s="2"/>
      <c r="X52" s="2"/>
      <c r="Y52" s="2"/>
      <c r="Z52" s="2"/>
      <c r="AA52" s="2"/>
      <c r="AB52" s="2"/>
      <c r="AC52" s="2"/>
    </row>
    <row r="53" spans="1:29">
      <c r="A53" s="2" t="s">
        <v>6001</v>
      </c>
      <c r="B53" s="227" t="s">
        <v>6002</v>
      </c>
      <c r="C53" s="2">
        <f t="shared" si="4"/>
        <v>18333333</v>
      </c>
      <c r="D53" s="2" t="s">
        <v>5778</v>
      </c>
      <c r="E53" s="2" t="s">
        <v>6003</v>
      </c>
      <c r="F53" s="2" t="s">
        <v>6004</v>
      </c>
      <c r="G53" s="2" t="s">
        <v>6005</v>
      </c>
      <c r="H53" s="2"/>
      <c r="I53" s="2"/>
      <c r="J53" s="2"/>
      <c r="K53" s="2"/>
      <c r="L53" s="2"/>
      <c r="M53" s="2"/>
      <c r="N53" s="2"/>
      <c r="O53" s="2"/>
      <c r="P53" s="2"/>
      <c r="Q53" s="2"/>
      <c r="R53" s="2"/>
      <c r="S53" s="2"/>
      <c r="T53" s="2"/>
      <c r="U53" s="2"/>
      <c r="V53" s="2"/>
      <c r="W53" s="2"/>
      <c r="X53" s="2"/>
      <c r="Y53" s="2"/>
      <c r="Z53" s="2"/>
      <c r="AA53" s="2"/>
      <c r="AB53" s="2"/>
      <c r="AC53" s="2"/>
    </row>
    <row r="54" spans="1:29">
      <c r="A54" s="2" t="s">
        <v>5976</v>
      </c>
      <c r="B54" s="227" t="s">
        <v>5977</v>
      </c>
      <c r="C54" s="2">
        <f t="shared" si="4"/>
        <v>10686057</v>
      </c>
      <c r="D54" s="2" t="s">
        <v>5978</v>
      </c>
      <c r="E54" s="2" t="s">
        <v>5979</v>
      </c>
      <c r="F54" s="2" t="s">
        <v>5980</v>
      </c>
      <c r="G54" s="2" t="s">
        <v>5981</v>
      </c>
      <c r="H54" s="2"/>
      <c r="I54" s="2"/>
      <c r="J54" s="2"/>
      <c r="K54" s="2"/>
      <c r="L54" s="2"/>
      <c r="M54" s="2"/>
      <c r="N54" s="2"/>
      <c r="O54" s="2"/>
      <c r="P54" s="2"/>
      <c r="Q54" s="2"/>
      <c r="R54" s="2"/>
      <c r="S54" s="2"/>
      <c r="T54" s="2"/>
      <c r="U54" s="2"/>
      <c r="V54" s="2"/>
      <c r="W54" s="2"/>
      <c r="X54" s="2"/>
      <c r="Y54" s="2"/>
      <c r="Z54" s="2"/>
      <c r="AA54" s="2"/>
      <c r="AB54" s="2"/>
      <c r="AC54" s="2"/>
    </row>
    <row r="55" spans="1:29">
      <c r="A55" s="2" t="s">
        <v>5931</v>
      </c>
      <c r="B55" s="227" t="s">
        <v>5932</v>
      </c>
      <c r="C55" s="2">
        <f t="shared" si="4"/>
        <v>6210524</v>
      </c>
      <c r="D55" s="2" t="s">
        <v>5778</v>
      </c>
      <c r="E55" s="2" t="s">
        <v>5933</v>
      </c>
      <c r="F55" s="2" t="s">
        <v>5934</v>
      </c>
      <c r="G55" s="2" t="s">
        <v>5935</v>
      </c>
      <c r="H55" s="2"/>
      <c r="I55" s="2"/>
      <c r="J55" s="2"/>
      <c r="K55" s="2"/>
      <c r="L55" s="2"/>
      <c r="M55" s="2"/>
      <c r="N55" s="2"/>
      <c r="O55" s="2"/>
      <c r="P55" s="2"/>
      <c r="Q55" s="2"/>
      <c r="R55" s="2"/>
      <c r="S55" s="2"/>
      <c r="T55" s="2"/>
      <c r="U55" s="2"/>
      <c r="V55" s="2"/>
      <c r="W55" s="2"/>
      <c r="X55" s="2"/>
      <c r="Y55" s="2"/>
      <c r="Z55" s="2"/>
      <c r="AA55" s="2"/>
      <c r="AB55" s="2"/>
      <c r="AC55" s="2"/>
    </row>
    <row r="56" spans="1:29">
      <c r="A56" s="2" t="s">
        <v>6055</v>
      </c>
      <c r="B56" s="227" t="s">
        <v>6056</v>
      </c>
      <c r="C56" s="2">
        <f t="shared" si="4"/>
        <v>2660000</v>
      </c>
      <c r="D56" s="2" t="s">
        <v>5778</v>
      </c>
      <c r="E56" s="2" t="s">
        <v>6057</v>
      </c>
      <c r="F56" s="2" t="s">
        <v>6058</v>
      </c>
      <c r="G56" s="2" t="s">
        <v>6059</v>
      </c>
      <c r="H56" s="2"/>
      <c r="I56" s="2"/>
      <c r="J56" s="2"/>
      <c r="K56" s="2"/>
      <c r="L56" s="2"/>
      <c r="M56" s="2"/>
      <c r="N56" s="2"/>
      <c r="O56" s="2"/>
      <c r="P56" s="2"/>
      <c r="Q56" s="2"/>
      <c r="R56" s="2"/>
      <c r="S56" s="2"/>
      <c r="T56" s="2"/>
      <c r="U56" s="2"/>
      <c r="V56" s="2"/>
      <c r="W56" s="2"/>
      <c r="X56" s="2"/>
      <c r="Y56" s="2"/>
      <c r="Z56" s="2"/>
      <c r="AA56" s="2"/>
      <c r="AB56" s="2"/>
      <c r="AC56" s="2"/>
    </row>
    <row r="57" spans="1:29">
      <c r="A57" s="2" t="s">
        <v>6032</v>
      </c>
      <c r="B57" s="227" t="s">
        <v>6033</v>
      </c>
      <c r="C57" s="2">
        <f t="shared" si="4"/>
        <v>4333333</v>
      </c>
      <c r="D57" s="2" t="s">
        <v>5778</v>
      </c>
      <c r="E57" s="2" t="s">
        <v>6034</v>
      </c>
      <c r="F57" s="2" t="s">
        <v>6035</v>
      </c>
      <c r="G57" s="2" t="s">
        <v>6036</v>
      </c>
      <c r="H57" s="2"/>
      <c r="I57" s="2"/>
      <c r="J57" s="2"/>
      <c r="K57" s="2"/>
      <c r="L57" s="2"/>
      <c r="M57" s="2"/>
      <c r="N57" s="2"/>
      <c r="O57" s="2"/>
      <c r="P57" s="2"/>
      <c r="Q57" s="2"/>
      <c r="R57" s="2"/>
      <c r="S57" s="2"/>
      <c r="T57" s="2"/>
      <c r="U57" s="2"/>
      <c r="V57" s="2"/>
      <c r="W57" s="2"/>
      <c r="X57" s="2"/>
      <c r="Y57" s="2"/>
      <c r="Z57" s="2"/>
      <c r="AA57" s="2"/>
      <c r="AB57" s="2"/>
      <c r="AC57" s="2"/>
    </row>
    <row r="58" spans="1:29">
      <c r="A58" s="2" t="s">
        <v>6037</v>
      </c>
      <c r="B58" s="227" t="s">
        <v>6038</v>
      </c>
      <c r="C58" s="2">
        <f t="shared" si="4"/>
        <v>469533</v>
      </c>
      <c r="D58" s="2" t="s">
        <v>5778</v>
      </c>
      <c r="E58" s="2" t="s">
        <v>6039</v>
      </c>
      <c r="F58" s="2" t="s">
        <v>6040</v>
      </c>
      <c r="G58" s="2" t="s">
        <v>6041</v>
      </c>
      <c r="H58" s="2"/>
      <c r="I58" s="2"/>
      <c r="J58" s="2"/>
      <c r="K58" s="2"/>
      <c r="L58" s="2"/>
      <c r="M58" s="2"/>
      <c r="N58" s="2"/>
      <c r="O58" s="2"/>
      <c r="P58" s="2"/>
      <c r="Q58" s="2"/>
      <c r="R58" s="2"/>
      <c r="S58" s="2"/>
      <c r="T58" s="2"/>
      <c r="U58" s="2"/>
      <c r="V58" s="2"/>
      <c r="W58" s="2"/>
      <c r="X58" s="2"/>
      <c r="Y58" s="2"/>
      <c r="Z58" s="2"/>
      <c r="AA58" s="2"/>
      <c r="AB58" s="2"/>
      <c r="AC58" s="2"/>
    </row>
    <row r="59" spans="1:29">
      <c r="A59" s="2" t="s">
        <v>6082</v>
      </c>
      <c r="B59" s="227" t="s">
        <v>6081</v>
      </c>
      <c r="C59" s="2">
        <f t="shared" si="4"/>
        <v>5076558</v>
      </c>
      <c r="D59" s="2" t="s">
        <v>6083</v>
      </c>
      <c r="E59" s="2" t="s">
        <v>5778</v>
      </c>
      <c r="F59" s="2" t="s">
        <v>6022</v>
      </c>
      <c r="G59" s="2" t="s">
        <v>6084</v>
      </c>
      <c r="H59" s="2"/>
      <c r="I59" s="2"/>
      <c r="J59" s="2"/>
      <c r="K59" s="2"/>
      <c r="L59" s="2"/>
      <c r="M59" s="2"/>
      <c r="N59" s="2"/>
      <c r="O59" s="2"/>
      <c r="P59" s="2"/>
      <c r="Q59" s="2"/>
      <c r="R59" s="2"/>
      <c r="S59" s="2"/>
      <c r="T59" s="2"/>
      <c r="U59" s="2"/>
      <c r="V59" s="2"/>
      <c r="W59" s="2"/>
      <c r="X59" s="2"/>
      <c r="Y59" s="2"/>
      <c r="Z59" s="2"/>
      <c r="AA59" s="2"/>
      <c r="AB59" s="2"/>
      <c r="AC59" s="2"/>
    </row>
    <row r="60" spans="1:29">
      <c r="A60" s="2" t="s">
        <v>5772</v>
      </c>
      <c r="B60" s="227" t="s">
        <v>6024</v>
      </c>
      <c r="C60" s="2">
        <f t="shared" si="4"/>
        <v>1144000</v>
      </c>
      <c r="D60" s="2" t="s">
        <v>5778</v>
      </c>
      <c r="E60" s="2" t="s">
        <v>6025</v>
      </c>
      <c r="F60" s="2" t="s">
        <v>6026</v>
      </c>
      <c r="G60" s="2" t="s">
        <v>6027</v>
      </c>
      <c r="H60" s="2"/>
      <c r="I60" s="2"/>
      <c r="J60" s="2"/>
      <c r="K60" s="2"/>
      <c r="L60" s="2"/>
      <c r="M60" s="2"/>
      <c r="N60" s="2"/>
      <c r="O60" s="2"/>
      <c r="P60" s="2"/>
      <c r="Q60" s="2"/>
      <c r="R60" s="2"/>
      <c r="S60" s="2"/>
      <c r="T60" s="2"/>
      <c r="U60" s="2"/>
      <c r="V60" s="2"/>
      <c r="W60" s="2"/>
      <c r="X60" s="2"/>
      <c r="Y60" s="2"/>
      <c r="Z60" s="2"/>
      <c r="AA60" s="2"/>
      <c r="AB60" s="2"/>
      <c r="AC60" s="2"/>
    </row>
    <row r="61" spans="1:29">
      <c r="A61" s="2" t="s">
        <v>5996</v>
      </c>
      <c r="B61" s="227" t="s">
        <v>5997</v>
      </c>
      <c r="C61" s="2">
        <f t="shared" si="4"/>
        <v>2000000</v>
      </c>
      <c r="D61" s="2" t="s">
        <v>5778</v>
      </c>
      <c r="E61" s="2" t="s">
        <v>5998</v>
      </c>
      <c r="F61" s="2" t="s">
        <v>5999</v>
      </c>
      <c r="G61" s="2" t="s">
        <v>6000</v>
      </c>
      <c r="H61" s="2"/>
      <c r="I61" s="2"/>
      <c r="J61" s="2"/>
      <c r="K61" s="2"/>
      <c r="L61" s="2"/>
      <c r="M61" s="2"/>
      <c r="N61" s="2"/>
      <c r="O61" s="2"/>
      <c r="P61" s="2"/>
      <c r="Q61" s="2"/>
      <c r="R61" s="2"/>
      <c r="S61" s="2"/>
      <c r="T61" s="2"/>
      <c r="U61" s="2"/>
      <c r="V61" s="2"/>
      <c r="W61" s="2"/>
      <c r="X61" s="2"/>
      <c r="Y61" s="2"/>
      <c r="Z61" s="2"/>
      <c r="AA61" s="2"/>
      <c r="AB61" s="2"/>
      <c r="AC61" s="2"/>
    </row>
    <row r="62" spans="1:29">
      <c r="A62" s="2" t="s">
        <v>6046</v>
      </c>
      <c r="B62" s="227" t="s">
        <v>6047</v>
      </c>
      <c r="C62" s="2">
        <f t="shared" si="4"/>
        <v>1469425</v>
      </c>
      <c r="D62" s="2" t="s">
        <v>5778</v>
      </c>
      <c r="E62" s="2" t="s">
        <v>6048</v>
      </c>
      <c r="F62" s="2" t="s">
        <v>6049</v>
      </c>
      <c r="G62" s="2" t="s">
        <v>6050</v>
      </c>
      <c r="H62" s="2"/>
      <c r="I62" s="2"/>
      <c r="J62" s="2"/>
      <c r="K62" s="2"/>
      <c r="L62" s="2"/>
      <c r="M62" s="2"/>
      <c r="N62" s="2"/>
      <c r="O62" s="2"/>
      <c r="P62" s="2"/>
      <c r="Q62" s="2"/>
      <c r="R62" s="2"/>
      <c r="S62" s="2"/>
      <c r="T62" s="2"/>
      <c r="U62" s="2"/>
      <c r="V62" s="2"/>
      <c r="W62" s="2"/>
      <c r="X62" s="2"/>
      <c r="Y62" s="2"/>
      <c r="Z62" s="2"/>
      <c r="AA62" s="2"/>
      <c r="AB62" s="2"/>
      <c r="AC62" s="2"/>
    </row>
    <row r="63" spans="1:29">
      <c r="A63" s="2" t="s">
        <v>6042</v>
      </c>
      <c r="B63" s="227" t="s">
        <v>6043</v>
      </c>
      <c r="C63" s="2">
        <f t="shared" si="4"/>
        <v>1888175</v>
      </c>
      <c r="D63" s="2" t="s">
        <v>5778</v>
      </c>
      <c r="E63" s="2" t="s">
        <v>6044</v>
      </c>
      <c r="F63" s="2" t="s">
        <v>5840</v>
      </c>
      <c r="G63" s="2" t="s">
        <v>6045</v>
      </c>
      <c r="H63" s="2"/>
      <c r="I63" s="2"/>
      <c r="J63" s="2"/>
      <c r="K63" s="2"/>
      <c r="L63" s="2"/>
      <c r="M63" s="2"/>
      <c r="N63" s="2"/>
      <c r="O63" s="2"/>
      <c r="P63" s="2"/>
      <c r="Q63" s="2"/>
      <c r="R63" s="2"/>
      <c r="S63" s="2"/>
      <c r="T63" s="2"/>
      <c r="U63" s="2"/>
      <c r="V63" s="2"/>
      <c r="W63" s="2"/>
      <c r="X63" s="2"/>
      <c r="Y63" s="2"/>
      <c r="Z63" s="2"/>
      <c r="AA63" s="2"/>
      <c r="AB63" s="2"/>
      <c r="AC63" s="2"/>
    </row>
    <row r="64" spans="1:29">
      <c r="A64" s="2" t="s">
        <v>5769</v>
      </c>
      <c r="B64" s="227" t="s">
        <v>6016</v>
      </c>
      <c r="C64" s="2">
        <f t="shared" si="4"/>
        <v>15200000</v>
      </c>
      <c r="D64" s="2" t="s">
        <v>5778</v>
      </c>
      <c r="E64" s="2" t="s">
        <v>6017</v>
      </c>
      <c r="F64" s="2" t="s">
        <v>5858</v>
      </c>
      <c r="G64" s="2" t="s">
        <v>6018</v>
      </c>
      <c r="H64" s="2"/>
      <c r="I64" s="2"/>
      <c r="J64" s="2"/>
      <c r="K64" s="2"/>
      <c r="L64" s="2"/>
      <c r="M64" s="2"/>
      <c r="N64" s="2"/>
      <c r="O64" s="2"/>
      <c r="P64" s="2"/>
      <c r="Q64" s="2"/>
      <c r="R64" s="2"/>
      <c r="S64" s="2"/>
      <c r="T64" s="2"/>
      <c r="U64" s="2"/>
      <c r="V64" s="2"/>
      <c r="W64" s="2"/>
      <c r="X64" s="2"/>
      <c r="Y64" s="2"/>
      <c r="Z64" s="2"/>
      <c r="AA64" s="2"/>
      <c r="AB64" s="2"/>
      <c r="AC64" s="2"/>
    </row>
    <row r="65" spans="1:29">
      <c r="A65" s="2" t="s">
        <v>6060</v>
      </c>
      <c r="B65" s="227" t="s">
        <v>6061</v>
      </c>
      <c r="C65" s="2">
        <f t="shared" si="4"/>
        <v>364567</v>
      </c>
      <c r="D65" s="2" t="s">
        <v>5778</v>
      </c>
      <c r="E65" s="2" t="s">
        <v>6062</v>
      </c>
      <c r="F65" s="2" t="s">
        <v>5959</v>
      </c>
      <c r="G65" s="2" t="s">
        <v>6063</v>
      </c>
      <c r="H65" s="2"/>
      <c r="I65" s="2"/>
      <c r="J65" s="2"/>
      <c r="K65" s="2"/>
      <c r="L65" s="2"/>
      <c r="M65" s="2"/>
      <c r="N65" s="2"/>
      <c r="O65" s="2"/>
      <c r="P65" s="2"/>
      <c r="Q65" s="2"/>
      <c r="R65" s="2"/>
      <c r="S65" s="2"/>
      <c r="T65" s="2"/>
      <c r="U65" s="2"/>
      <c r="V65" s="2"/>
      <c r="W65" s="2"/>
      <c r="X65" s="2"/>
      <c r="Y65" s="2"/>
      <c r="Z65" s="2"/>
      <c r="AA65" s="2"/>
      <c r="AB65" s="2"/>
      <c r="AC65" s="2"/>
    </row>
    <row r="66" spans="1:29">
      <c r="A66" s="2" t="s">
        <v>6051</v>
      </c>
      <c r="B66" s="227" t="s">
        <v>6052</v>
      </c>
      <c r="C66" s="2">
        <f>D66+E66</f>
        <v>474991</v>
      </c>
      <c r="D66" s="2" t="s">
        <v>5778</v>
      </c>
      <c r="E66" s="2" t="s">
        <v>6053</v>
      </c>
      <c r="F66" s="2" t="s">
        <v>5901</v>
      </c>
      <c r="G66" s="2" t="s">
        <v>6054</v>
      </c>
      <c r="H66" s="2"/>
      <c r="I66" s="2"/>
      <c r="J66" s="2"/>
      <c r="K66" s="2"/>
      <c r="L66" s="2"/>
      <c r="M66" s="2"/>
      <c r="N66" s="2"/>
      <c r="O66" s="2"/>
      <c r="P66" s="2"/>
      <c r="Q66" s="2"/>
      <c r="R66" s="2"/>
      <c r="S66" s="2"/>
      <c r="T66" s="2"/>
      <c r="U66" s="2"/>
      <c r="V66" s="2"/>
      <c r="W66" s="2"/>
      <c r="X66" s="2"/>
      <c r="Y66" s="2"/>
      <c r="Z66" s="2"/>
      <c r="AA66" s="2"/>
      <c r="AB66" s="2"/>
      <c r="AC66" s="2"/>
    </row>
    <row r="67" spans="1:29">
      <c r="A67" s="2" t="s">
        <v>6069</v>
      </c>
      <c r="B67" s="227" t="s">
        <v>6070</v>
      </c>
      <c r="C67" s="2">
        <f>D67+E67</f>
        <v>35981</v>
      </c>
      <c r="D67" s="2" t="s">
        <v>5778</v>
      </c>
      <c r="E67" s="2" t="s">
        <v>6071</v>
      </c>
      <c r="F67" s="2" t="s">
        <v>6072</v>
      </c>
      <c r="G67" s="2" t="s">
        <v>6073</v>
      </c>
      <c r="H67" s="2"/>
      <c r="I67" s="2"/>
      <c r="J67" s="2"/>
      <c r="K67" s="2"/>
      <c r="L67" s="2"/>
      <c r="M67" s="2"/>
      <c r="N67" s="2"/>
      <c r="O67" s="2"/>
      <c r="P67" s="2"/>
      <c r="Q67" s="2"/>
      <c r="R67" s="2"/>
      <c r="S67" s="2"/>
      <c r="T67" s="2"/>
      <c r="U67" s="2"/>
      <c r="V67" s="2"/>
      <c r="W67" s="2"/>
      <c r="X67" s="2"/>
      <c r="Y67" s="2"/>
      <c r="Z67" s="2"/>
      <c r="AA67" s="2"/>
      <c r="AB67" s="2"/>
      <c r="AC67" s="2"/>
    </row>
    <row r="68" spans="1:29">
      <c r="A68" s="2" t="s">
        <v>6064</v>
      </c>
      <c r="B68" s="227" t="s">
        <v>6065</v>
      </c>
      <c r="C68" s="2">
        <f>D68+E68</f>
        <v>3000</v>
      </c>
      <c r="D68" s="2" t="s">
        <v>6066</v>
      </c>
      <c r="E68" s="2" t="s">
        <v>6067</v>
      </c>
      <c r="F68" s="2" t="s">
        <v>5858</v>
      </c>
      <c r="G68" s="2" t="s">
        <v>6068</v>
      </c>
      <c r="H68" s="2"/>
      <c r="I68" s="2"/>
      <c r="J68" s="2"/>
      <c r="K68" s="2"/>
      <c r="L68" s="2"/>
      <c r="M68" s="2"/>
      <c r="N68" s="2"/>
      <c r="O68" s="2"/>
      <c r="P68" s="2"/>
      <c r="Q68" s="2"/>
      <c r="R68" s="2"/>
      <c r="S68" s="2"/>
      <c r="T68" s="2"/>
      <c r="U68" s="2"/>
      <c r="V68" s="2"/>
      <c r="W68" s="2"/>
      <c r="X68" s="2"/>
      <c r="Y68" s="2"/>
      <c r="Z68" s="2"/>
      <c r="AA68" s="2"/>
      <c r="AB68" s="2"/>
      <c r="AC68" s="2"/>
    </row>
    <row r="69" spans="1:29">
      <c r="A69" s="2" t="s">
        <v>6074</v>
      </c>
      <c r="B69" s="227" t="s">
        <v>6075</v>
      </c>
      <c r="C69" s="2">
        <f>D69+E69</f>
        <v>2666</v>
      </c>
      <c r="D69" s="2" t="s">
        <v>5778</v>
      </c>
      <c r="E69" s="2" t="s">
        <v>6076</v>
      </c>
      <c r="F69" s="2" t="s">
        <v>5901</v>
      </c>
      <c r="G69" s="2" t="s">
        <v>6077</v>
      </c>
      <c r="H69" s="2"/>
      <c r="I69" s="2"/>
      <c r="J69" s="2"/>
      <c r="K69" s="2"/>
      <c r="L69" s="2"/>
      <c r="M69" s="2"/>
      <c r="N69" s="2"/>
      <c r="O69" s="2"/>
      <c r="P69" s="2"/>
      <c r="Q69" s="2"/>
      <c r="R69" s="2"/>
      <c r="S69" s="2"/>
      <c r="T69" s="2"/>
      <c r="U69" s="2"/>
      <c r="V69" s="2"/>
      <c r="W69" s="2"/>
      <c r="X69" s="2"/>
      <c r="Y69" s="2"/>
      <c r="Z69" s="2"/>
      <c r="AA69" s="2"/>
      <c r="AB69" s="2"/>
      <c r="AC69" s="2"/>
    </row>
    <row r="70" spans="1:29">
      <c r="A70" s="2" t="s">
        <v>6078</v>
      </c>
      <c r="B70" s="227" t="s">
        <v>5778</v>
      </c>
      <c r="C70" s="2">
        <f>D70+E70</f>
        <v>0</v>
      </c>
      <c r="D70" s="2" t="s">
        <v>6079</v>
      </c>
      <c r="E70" s="2" t="s">
        <v>5871</v>
      </c>
      <c r="F70" s="2" t="s">
        <v>5873</v>
      </c>
      <c r="G70" s="2" t="s">
        <v>6080</v>
      </c>
      <c r="H70" s="2"/>
      <c r="I70" s="2"/>
      <c r="J70" s="2"/>
      <c r="K70" s="2"/>
      <c r="L70" s="2"/>
      <c r="M70" s="2"/>
      <c r="N70" s="2"/>
      <c r="O70" s="2"/>
      <c r="P70" s="2"/>
      <c r="Q70" s="2"/>
      <c r="R70" s="2"/>
      <c r="S70" s="2"/>
      <c r="T70" s="2"/>
      <c r="U70" s="2"/>
      <c r="V70" s="2"/>
      <c r="W70" s="2"/>
      <c r="X70" s="2"/>
      <c r="Y70" s="2"/>
      <c r="Z70" s="2"/>
      <c r="AA70" s="2"/>
      <c r="AB70" s="2"/>
      <c r="AC70" s="2"/>
    </row>
    <row r="71" spans="1:29">
      <c r="A71" s="2" t="s">
        <v>6085</v>
      </c>
      <c r="B71" s="227" t="s">
        <v>5778</v>
      </c>
      <c r="C71" s="2"/>
      <c r="D71" s="2" t="s">
        <v>5778</v>
      </c>
      <c r="E71" s="2" t="s">
        <v>6086</v>
      </c>
      <c r="F71" s="2" t="s">
        <v>6087</v>
      </c>
      <c r="G71" s="2" t="s">
        <v>6088</v>
      </c>
      <c r="H71" s="2"/>
      <c r="I71" s="2"/>
      <c r="J71" s="2"/>
      <c r="K71" s="2"/>
      <c r="L71" s="2"/>
      <c r="M71" s="2"/>
      <c r="N71" s="2"/>
      <c r="O71" s="2"/>
      <c r="P71" s="2"/>
      <c r="Q71" s="2"/>
      <c r="R71" s="2"/>
      <c r="S71" s="2"/>
      <c r="T71" s="2"/>
      <c r="U71" s="2"/>
      <c r="V71" s="2"/>
      <c r="W71" s="2"/>
      <c r="X71" s="2"/>
      <c r="Y71" s="2"/>
      <c r="Z71" s="2"/>
      <c r="AA71" s="2"/>
      <c r="AB71" s="2"/>
      <c r="AC71" s="2"/>
    </row>
    <row r="72" spans="1:29">
      <c r="A72" s="2"/>
      <c r="B72" s="227">
        <f>SUM(B2:B70)</f>
        <v>232176627</v>
      </c>
      <c r="C72" s="226">
        <v>47269501</v>
      </c>
      <c r="D72" s="2" t="s">
        <v>4859</v>
      </c>
      <c r="E72" s="2"/>
      <c r="F72" s="2"/>
      <c r="G72" s="2"/>
      <c r="H72" s="2"/>
      <c r="I72" s="2"/>
      <c r="J72" s="2"/>
      <c r="K72" s="2"/>
      <c r="L72" s="2"/>
      <c r="M72" s="2"/>
      <c r="N72" s="2"/>
      <c r="O72" s="2"/>
      <c r="P72" s="2"/>
      <c r="Q72" s="2"/>
      <c r="R72" s="2"/>
      <c r="S72" s="2"/>
      <c r="T72" s="2"/>
      <c r="U72" s="2"/>
      <c r="V72" s="2"/>
      <c r="W72" s="2"/>
      <c r="X72" s="2"/>
      <c r="Y72" s="2"/>
      <c r="Z72" s="2"/>
      <c r="AA72" s="2"/>
      <c r="AB72" s="2"/>
      <c r="AC72" s="2"/>
    </row>
    <row r="73" spans="1:29">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c r="A82" s="2"/>
      <c r="B82" s="2"/>
      <c r="C82" s="2"/>
      <c r="D82" s="2"/>
      <c r="E82" s="2"/>
      <c r="F82" s="2"/>
      <c r="G82" s="2"/>
      <c r="H82" s="2" t="s">
        <v>5765</v>
      </c>
      <c r="I82" s="2" t="s">
        <v>191</v>
      </c>
      <c r="J82" s="2" t="s">
        <v>6098</v>
      </c>
      <c r="K82" s="2"/>
      <c r="L82" s="2"/>
      <c r="M82" s="2"/>
      <c r="N82" s="2"/>
      <c r="O82" s="2"/>
      <c r="P82" s="2"/>
      <c r="Q82" s="2"/>
      <c r="R82" s="2"/>
      <c r="S82" s="2"/>
      <c r="T82" s="2"/>
      <c r="U82" s="2"/>
      <c r="V82" s="2"/>
      <c r="W82" s="2"/>
      <c r="X82" s="2"/>
      <c r="Y82" s="2"/>
      <c r="Z82" s="2"/>
      <c r="AA82" s="2"/>
      <c r="AB82" s="2"/>
      <c r="AC82" s="2"/>
    </row>
    <row r="83" spans="1:29">
      <c r="A83" s="2"/>
      <c r="B83" s="2"/>
      <c r="C83" s="2">
        <f>D83+E83</f>
        <v>0</v>
      </c>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c r="A84" s="2"/>
      <c r="B84" s="2"/>
      <c r="C84" s="2">
        <f>D84+E84</f>
        <v>0</v>
      </c>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c r="A86" s="2"/>
      <c r="B86" s="2"/>
      <c r="C86" s="2"/>
      <c r="D86" s="2" t="s">
        <v>25</v>
      </c>
      <c r="E86" s="2"/>
      <c r="F86" s="2"/>
      <c r="G86" s="2"/>
      <c r="H86" s="2"/>
      <c r="I86" s="2"/>
      <c r="J86" s="2"/>
      <c r="K86" s="2"/>
      <c r="L86" s="2"/>
      <c r="M86" s="2"/>
      <c r="N86" s="2"/>
      <c r="O86" s="2"/>
      <c r="P86" s="2"/>
      <c r="Q86" s="2"/>
      <c r="R86" s="2"/>
      <c r="S86" s="2"/>
      <c r="T86" s="2"/>
      <c r="U86" s="2"/>
      <c r="V86" s="2"/>
      <c r="W86" s="2"/>
      <c r="X86" s="2"/>
      <c r="Y86" s="2"/>
      <c r="Z86" s="2"/>
      <c r="AA86" s="2"/>
      <c r="AB86" s="2"/>
      <c r="AC86" s="2"/>
    </row>
    <row r="87" spans="1:29">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sheetData>
  <sortState ref="A1:J90">
    <sortCondition descending="1" ref="B1:B90"/>
  </sortState>
  <pageMargins left="0.7" right="0.7" top="0.75" bottom="0.75" header="0.3" footer="0.3"/>
  <pageSetup orientation="portrait" horizontalDpi="1200" verticalDpi="12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4">
      <c r="A1" s="11" t="s">
        <v>180</v>
      </c>
      <c r="B1" s="11" t="s">
        <v>4602</v>
      </c>
      <c r="C1" s="11" t="s">
        <v>3897</v>
      </c>
      <c r="D1" s="11" t="s">
        <v>8</v>
      </c>
    </row>
    <row r="2" spans="1:4">
      <c r="A2" s="11" t="s">
        <v>4594</v>
      </c>
      <c r="B2" s="26">
        <v>10300</v>
      </c>
      <c r="C2" s="26">
        <v>0</v>
      </c>
      <c r="D2" s="11" t="s">
        <v>4603</v>
      </c>
    </row>
    <row r="3" spans="1:4">
      <c r="A3" s="11" t="s">
        <v>4594</v>
      </c>
      <c r="B3" s="26">
        <v>0</v>
      </c>
      <c r="C3" s="26">
        <v>5500</v>
      </c>
      <c r="D3" s="11" t="s">
        <v>4604</v>
      </c>
    </row>
    <row r="4" spans="1:4">
      <c r="A4" s="11" t="s">
        <v>3646</v>
      </c>
      <c r="B4" s="26">
        <v>0</v>
      </c>
      <c r="C4" s="26">
        <v>1000</v>
      </c>
      <c r="D4" s="11" t="s">
        <v>306</v>
      </c>
    </row>
    <row r="5" spans="1:4">
      <c r="A5" s="11" t="s">
        <v>4608</v>
      </c>
      <c r="B5" s="26">
        <v>0</v>
      </c>
      <c r="C5" s="26">
        <v>1000</v>
      </c>
      <c r="D5" s="11" t="s">
        <v>306</v>
      </c>
    </row>
    <row r="6" spans="1:4">
      <c r="A6" s="11" t="s">
        <v>4618</v>
      </c>
      <c r="B6" s="26">
        <v>0</v>
      </c>
      <c r="C6" s="26">
        <v>3000</v>
      </c>
      <c r="D6" s="11" t="s">
        <v>4622</v>
      </c>
    </row>
    <row r="7" spans="1:4">
      <c r="A7" s="11" t="s">
        <v>4618</v>
      </c>
      <c r="B7" s="26">
        <v>9200</v>
      </c>
      <c r="C7" s="26">
        <v>0</v>
      </c>
      <c r="D7" s="11" t="s">
        <v>4603</v>
      </c>
    </row>
    <row r="8" spans="1:4">
      <c r="A8" s="11" t="s">
        <v>4620</v>
      </c>
      <c r="B8" s="26">
        <v>0</v>
      </c>
      <c r="C8" s="26">
        <v>1000</v>
      </c>
      <c r="D8" s="11" t="s">
        <v>306</v>
      </c>
    </row>
    <row r="9" spans="1:4">
      <c r="A9" s="11" t="s">
        <v>4627</v>
      </c>
      <c r="B9" s="11">
        <v>0</v>
      </c>
      <c r="C9" s="11">
        <v>1000</v>
      </c>
      <c r="D9" s="11" t="s">
        <v>306</v>
      </c>
    </row>
    <row r="10" spans="1:4">
      <c r="A10" s="11" t="s">
        <v>4627</v>
      </c>
      <c r="B10" s="26">
        <v>10200</v>
      </c>
      <c r="C10" s="26">
        <v>0</v>
      </c>
      <c r="D10" s="11" t="s">
        <v>4603</v>
      </c>
    </row>
    <row r="11" spans="1:4">
      <c r="A11" s="11" t="s">
        <v>4639</v>
      </c>
      <c r="B11" s="26">
        <v>0</v>
      </c>
      <c r="C11" s="26">
        <v>1000</v>
      </c>
      <c r="D11" s="11" t="s">
        <v>306</v>
      </c>
    </row>
    <row r="12" spans="1:4">
      <c r="A12" s="11" t="s">
        <v>4656</v>
      </c>
      <c r="B12" s="26">
        <v>0</v>
      </c>
      <c r="C12" s="26">
        <v>1000</v>
      </c>
      <c r="D12" s="11" t="s">
        <v>306</v>
      </c>
    </row>
    <row r="13" spans="1:4">
      <c r="A13" s="11" t="s">
        <v>4657</v>
      </c>
      <c r="B13" s="26">
        <v>0</v>
      </c>
      <c r="C13" s="26">
        <v>1000</v>
      </c>
      <c r="D13" s="11" t="s">
        <v>306</v>
      </c>
    </row>
    <row r="14" spans="1:4">
      <c r="A14" s="11" t="s">
        <v>4679</v>
      </c>
      <c r="B14" s="26">
        <v>0</v>
      </c>
      <c r="C14" s="26">
        <v>1000</v>
      </c>
      <c r="D14" s="11" t="s">
        <v>306</v>
      </c>
    </row>
    <row r="15" spans="1:4">
      <c r="A15" s="11" t="s">
        <v>4666</v>
      </c>
      <c r="B15" s="26">
        <v>0</v>
      </c>
      <c r="C15" s="26">
        <v>1000</v>
      </c>
      <c r="D15" s="11" t="s">
        <v>306</v>
      </c>
    </row>
    <row r="16" spans="1:4">
      <c r="A16" s="11" t="s">
        <v>937</v>
      </c>
      <c r="B16" s="26">
        <v>10200</v>
      </c>
      <c r="C16" s="26">
        <v>0</v>
      </c>
      <c r="D16" s="11" t="s">
        <v>4603</v>
      </c>
    </row>
    <row r="17" spans="1:9">
      <c r="A17" s="11" t="s">
        <v>937</v>
      </c>
      <c r="B17" s="26">
        <v>0</v>
      </c>
      <c r="C17" s="26">
        <v>1500</v>
      </c>
      <c r="D17" s="11" t="s">
        <v>306</v>
      </c>
    </row>
    <row r="18" spans="1:9">
      <c r="A18" s="11" t="s">
        <v>4684</v>
      </c>
      <c r="B18" s="26">
        <v>0</v>
      </c>
      <c r="C18" s="26">
        <v>1000</v>
      </c>
      <c r="D18" s="11" t="s">
        <v>306</v>
      </c>
    </row>
    <row r="19" spans="1:9">
      <c r="A19" s="11" t="s">
        <v>4686</v>
      </c>
      <c r="B19" s="26">
        <v>0</v>
      </c>
      <c r="C19" s="26">
        <v>1000</v>
      </c>
      <c r="D19" s="11" t="s">
        <v>306</v>
      </c>
    </row>
    <row r="20" spans="1:9">
      <c r="A20" s="11" t="s">
        <v>4688</v>
      </c>
      <c r="B20" s="26">
        <v>0</v>
      </c>
      <c r="C20" s="26">
        <v>1000</v>
      </c>
      <c r="D20" s="11" t="s">
        <v>306</v>
      </c>
    </row>
    <row r="21" spans="1:9">
      <c r="A21" s="11" t="s">
        <v>4691</v>
      </c>
      <c r="B21" s="26">
        <v>0</v>
      </c>
      <c r="C21" s="26">
        <v>1000</v>
      </c>
      <c r="D21" s="11" t="s">
        <v>306</v>
      </c>
    </row>
    <row r="22" spans="1:9">
      <c r="A22" s="11" t="s">
        <v>4691</v>
      </c>
      <c r="B22" s="26">
        <v>9600</v>
      </c>
      <c r="C22" s="26">
        <v>0</v>
      </c>
      <c r="D22" s="11" t="s">
        <v>4603</v>
      </c>
      <c r="I22" t="s">
        <v>25</v>
      </c>
    </row>
    <row r="23" spans="1:9">
      <c r="A23" s="11" t="s">
        <v>4697</v>
      </c>
      <c r="B23" s="26">
        <v>0</v>
      </c>
      <c r="C23" s="26">
        <v>1000</v>
      </c>
      <c r="D23" s="11" t="s">
        <v>306</v>
      </c>
    </row>
    <row r="24" spans="1:9">
      <c r="A24" s="11" t="s">
        <v>4702</v>
      </c>
      <c r="B24" s="26">
        <v>0</v>
      </c>
      <c r="C24" s="26">
        <v>1000</v>
      </c>
      <c r="D24" s="11" t="s">
        <v>306</v>
      </c>
    </row>
    <row r="25" spans="1:9">
      <c r="A25" s="11" t="s">
        <v>4711</v>
      </c>
      <c r="B25" s="26">
        <v>0</v>
      </c>
      <c r="C25" s="26">
        <v>1000</v>
      </c>
      <c r="D25" s="11" t="s">
        <v>306</v>
      </c>
    </row>
    <row r="26" spans="1:9">
      <c r="A26" s="11" t="s">
        <v>4737</v>
      </c>
      <c r="B26" s="26">
        <v>0</v>
      </c>
      <c r="C26" s="26">
        <v>12000</v>
      </c>
      <c r="D26" s="11" t="s">
        <v>4744</v>
      </c>
    </row>
    <row r="27" spans="1:9">
      <c r="A27" s="11" t="s">
        <v>4738</v>
      </c>
      <c r="B27" s="26">
        <v>0</v>
      </c>
      <c r="C27" s="26">
        <v>1000</v>
      </c>
      <c r="D27" s="11" t="s">
        <v>306</v>
      </c>
    </row>
    <row r="28" spans="1:9">
      <c r="A28" s="11" t="s">
        <v>4745</v>
      </c>
      <c r="B28" s="26">
        <v>0</v>
      </c>
      <c r="C28" s="26">
        <v>1000</v>
      </c>
      <c r="D28" s="11" t="s">
        <v>306</v>
      </c>
    </row>
    <row r="29" spans="1:9">
      <c r="A29" s="11" t="s">
        <v>4746</v>
      </c>
      <c r="B29" s="26">
        <v>0</v>
      </c>
      <c r="C29" s="26">
        <v>1000</v>
      </c>
      <c r="D29" s="11" t="s">
        <v>306</v>
      </c>
    </row>
    <row r="30" spans="1:9">
      <c r="A30" s="11" t="s">
        <v>4747</v>
      </c>
      <c r="B30" s="26">
        <v>0</v>
      </c>
      <c r="C30" s="26">
        <v>5500</v>
      </c>
      <c r="D30" s="11" t="s">
        <v>4604</v>
      </c>
    </row>
    <row r="31" spans="1:9">
      <c r="A31" s="11" t="s">
        <v>4747</v>
      </c>
      <c r="B31" s="26">
        <v>11000</v>
      </c>
      <c r="C31" s="26">
        <v>0</v>
      </c>
      <c r="D31" s="11" t="s">
        <v>4603</v>
      </c>
    </row>
    <row r="32" spans="1:9">
      <c r="A32" s="11" t="s">
        <v>4755</v>
      </c>
      <c r="B32" s="26">
        <v>0</v>
      </c>
      <c r="C32" s="26">
        <v>1000</v>
      </c>
      <c r="D32" s="11" t="s">
        <v>306</v>
      </c>
      <c r="H32" t="s">
        <v>25</v>
      </c>
    </row>
    <row r="33" spans="1:10">
      <c r="A33" s="11" t="s">
        <v>4756</v>
      </c>
      <c r="B33" s="26">
        <v>0</v>
      </c>
      <c r="C33" s="26">
        <v>1000</v>
      </c>
      <c r="D33" s="11" t="s">
        <v>306</v>
      </c>
      <c r="H33" t="s">
        <v>25</v>
      </c>
    </row>
    <row r="34" spans="1:10">
      <c r="A34" s="11" t="s">
        <v>4758</v>
      </c>
      <c r="B34" s="26">
        <v>0</v>
      </c>
      <c r="C34" s="26">
        <v>1000</v>
      </c>
      <c r="D34" s="11" t="s">
        <v>306</v>
      </c>
    </row>
    <row r="35" spans="1:10">
      <c r="A35" s="11" t="s">
        <v>4759</v>
      </c>
      <c r="B35" s="26">
        <v>0</v>
      </c>
      <c r="C35" s="26">
        <v>1000</v>
      </c>
      <c r="D35" s="11" t="s">
        <v>306</v>
      </c>
      <c r="J35" t="s">
        <v>25</v>
      </c>
    </row>
    <row r="36" spans="1:10">
      <c r="A36" s="11" t="s">
        <v>4764</v>
      </c>
      <c r="B36" s="26">
        <v>1000</v>
      </c>
      <c r="C36" s="26">
        <v>0</v>
      </c>
      <c r="D36" s="11" t="s">
        <v>306</v>
      </c>
    </row>
    <row r="37" spans="1:10">
      <c r="A37" s="11" t="s">
        <v>4764</v>
      </c>
      <c r="B37" s="26">
        <v>0</v>
      </c>
      <c r="C37" s="26">
        <v>11200</v>
      </c>
      <c r="D37" s="11" t="s">
        <v>4603</v>
      </c>
    </row>
    <row r="38" spans="1:10">
      <c r="A38" s="11"/>
      <c r="B38" s="26"/>
      <c r="C38" s="26"/>
      <c r="D38" s="11"/>
    </row>
    <row r="39" spans="1:10">
      <c r="A39" s="11"/>
      <c r="B39" s="26"/>
      <c r="C39" s="26"/>
      <c r="D39" s="11"/>
    </row>
    <row r="40" spans="1:10">
      <c r="A40" s="11"/>
      <c r="B40" s="26"/>
      <c r="C40" s="26"/>
      <c r="D40" s="11"/>
    </row>
    <row r="41" spans="1:10">
      <c r="A41" s="11"/>
      <c r="B41" s="26"/>
      <c r="C41" s="26"/>
      <c r="D41" s="11"/>
    </row>
    <row r="42" spans="1:10">
      <c r="A42" s="11"/>
      <c r="B42" s="26"/>
      <c r="C42" s="26"/>
      <c r="D42" s="11"/>
    </row>
    <row r="43" spans="1:10">
      <c r="A43" s="11"/>
      <c r="B43" s="26"/>
      <c r="C43" s="26"/>
      <c r="D43" s="11"/>
    </row>
    <row r="44" spans="1:10">
      <c r="A44" s="11"/>
      <c r="B44" s="11"/>
      <c r="C44" s="11"/>
      <c r="D44" s="11"/>
    </row>
    <row r="45" spans="1:10">
      <c r="A45" s="11"/>
      <c r="B45" s="11"/>
      <c r="C45" s="11"/>
      <c r="D45" s="11"/>
    </row>
    <row r="46" spans="1:10">
      <c r="A46" s="11" t="s">
        <v>6</v>
      </c>
      <c r="B46" s="26">
        <f>SUM(B2:B45)</f>
        <v>61500</v>
      </c>
      <c r="C46" s="26">
        <f>SUM(C2:C45)</f>
        <v>61700</v>
      </c>
      <c r="D46" s="11"/>
    </row>
    <row r="48" spans="1:10">
      <c r="A48" s="23" t="s">
        <v>4620</v>
      </c>
      <c r="B48" s="166">
        <v>6700</v>
      </c>
      <c r="C48" s="166">
        <v>0</v>
      </c>
      <c r="D48" s="23" t="s">
        <v>4623</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11" t="s">
        <v>3603</v>
      </c>
      <c r="B1" s="11" t="s">
        <v>180</v>
      </c>
      <c r="C1" s="11" t="s">
        <v>267</v>
      </c>
      <c r="D1" s="11" t="s">
        <v>5228</v>
      </c>
      <c r="E1" s="11"/>
      <c r="F1" s="11"/>
      <c r="G1" s="11"/>
      <c r="H1" s="11"/>
      <c r="I1" s="11"/>
    </row>
    <row r="2" spans="1:15">
      <c r="A2" s="11">
        <v>1</v>
      </c>
      <c r="B2" s="11" t="s">
        <v>5138</v>
      </c>
      <c r="C2" s="26">
        <v>28500</v>
      </c>
      <c r="D2" s="11" t="s">
        <v>5231</v>
      </c>
      <c r="E2" s="11"/>
      <c r="F2" s="11"/>
      <c r="G2" s="11"/>
      <c r="H2" s="11"/>
      <c r="I2" s="11"/>
    </row>
    <row r="3" spans="1:15">
      <c r="A3" s="11">
        <v>2</v>
      </c>
      <c r="B3" s="11" t="s">
        <v>5165</v>
      </c>
      <c r="C3" s="26">
        <v>180200</v>
      </c>
      <c r="D3" s="11" t="s">
        <v>5230</v>
      </c>
      <c r="E3" s="11"/>
      <c r="F3" s="11"/>
      <c r="G3" s="11"/>
      <c r="H3" s="11"/>
      <c r="I3" s="11"/>
    </row>
    <row r="4" spans="1:15">
      <c r="A4" s="11">
        <v>3</v>
      </c>
      <c r="B4" s="11" t="s">
        <v>5224</v>
      </c>
      <c r="C4" s="26">
        <v>187000</v>
      </c>
      <c r="D4" s="11" t="s">
        <v>5229</v>
      </c>
      <c r="E4" s="11"/>
      <c r="F4" s="11"/>
      <c r="G4" s="11"/>
      <c r="H4" s="11"/>
      <c r="I4" s="11"/>
    </row>
    <row r="5" spans="1:15">
      <c r="A5" s="11"/>
      <c r="B5" s="11"/>
      <c r="C5" s="26"/>
      <c r="D5" s="11"/>
      <c r="E5" s="11"/>
      <c r="F5" s="11"/>
      <c r="G5" s="11"/>
      <c r="H5" s="11"/>
      <c r="I5" s="11"/>
    </row>
    <row r="6" spans="1:15">
      <c r="A6" s="11"/>
      <c r="B6" s="11"/>
      <c r="C6" s="26"/>
      <c r="D6" s="11"/>
      <c r="E6" s="11"/>
      <c r="F6" s="11"/>
      <c r="G6" s="11"/>
      <c r="H6" s="11"/>
      <c r="I6" s="11"/>
    </row>
    <row r="7" spans="1:15">
      <c r="A7" s="11"/>
      <c r="B7" s="11"/>
      <c r="C7" s="26"/>
      <c r="D7" s="11"/>
      <c r="E7" s="11"/>
      <c r="F7" s="11"/>
      <c r="G7" s="11"/>
      <c r="H7" s="11"/>
      <c r="I7" s="11"/>
    </row>
    <row r="8" spans="1:15">
      <c r="A8" s="11"/>
      <c r="B8" s="11"/>
      <c r="C8" s="26"/>
      <c r="D8" s="11"/>
      <c r="E8" s="11"/>
      <c r="F8" s="11"/>
      <c r="G8" s="11"/>
      <c r="H8" s="11"/>
      <c r="I8" s="11"/>
    </row>
    <row r="9" spans="1:15">
      <c r="A9" s="11"/>
      <c r="B9" s="11"/>
      <c r="C9" s="26"/>
      <c r="D9" s="11"/>
      <c r="E9" s="11"/>
      <c r="F9" s="11"/>
      <c r="G9" s="11"/>
      <c r="H9" s="11"/>
      <c r="I9" s="11"/>
    </row>
    <row r="10" spans="1:15">
      <c r="A10" s="11"/>
      <c r="B10" s="11"/>
      <c r="C10" s="11"/>
      <c r="D10" s="11"/>
      <c r="E10" s="11"/>
      <c r="F10" s="11"/>
      <c r="G10" s="11"/>
      <c r="H10" s="11"/>
      <c r="I10" s="11"/>
      <c r="L10" t="s">
        <v>25</v>
      </c>
    </row>
    <row r="11" spans="1:15">
      <c r="A11" s="11"/>
      <c r="B11" s="11"/>
      <c r="C11" s="11"/>
      <c r="D11" s="11"/>
      <c r="E11" s="11"/>
      <c r="F11" s="11"/>
      <c r="G11" s="11"/>
      <c r="H11" s="11"/>
      <c r="I11" s="11"/>
      <c r="O11" t="s">
        <v>25</v>
      </c>
    </row>
    <row r="12" spans="1:15">
      <c r="A12" s="11"/>
      <c r="B12" s="11"/>
      <c r="C12" s="11"/>
      <c r="D12" s="11"/>
      <c r="E12" s="11"/>
      <c r="F12" s="11"/>
      <c r="G12" s="11"/>
      <c r="H12" s="11"/>
      <c r="I12" s="11"/>
    </row>
    <row r="13" spans="1:15">
      <c r="A13" s="11"/>
      <c r="B13" s="11"/>
      <c r="C13" s="11"/>
      <c r="D13" s="11"/>
      <c r="E13" s="11"/>
      <c r="F13" s="11"/>
      <c r="G13" s="11"/>
      <c r="H13" s="11"/>
      <c r="I13" s="11"/>
    </row>
    <row r="14" spans="1:15">
      <c r="A14" s="11"/>
      <c r="B14" s="11"/>
      <c r="C14" s="11"/>
      <c r="D14" s="11"/>
      <c r="E14" s="11"/>
      <c r="F14" s="11"/>
      <c r="G14" s="11"/>
      <c r="H14" s="11"/>
      <c r="I14" s="11"/>
    </row>
    <row r="15" spans="1:15">
      <c r="A15" s="11"/>
      <c r="B15" s="11"/>
      <c r="C15" s="11"/>
      <c r="D15" s="11"/>
      <c r="E15" s="11"/>
      <c r="F15" s="11"/>
      <c r="G15" s="11"/>
      <c r="H15" s="11"/>
      <c r="I15" s="11"/>
      <c r="M15" t="s">
        <v>25</v>
      </c>
    </row>
    <row r="16" spans="1:15">
      <c r="A16" s="11"/>
      <c r="B16" s="11"/>
      <c r="C16" s="11"/>
      <c r="D16" s="11"/>
      <c r="E16" s="11"/>
      <c r="F16" s="11"/>
      <c r="G16" s="11"/>
      <c r="H16" s="11"/>
      <c r="I16" s="11"/>
    </row>
    <row r="17" spans="1:9">
      <c r="A17" s="11"/>
      <c r="B17" s="11"/>
      <c r="C17" s="11"/>
      <c r="D17" s="11"/>
      <c r="E17" s="11"/>
      <c r="F17" s="11"/>
      <c r="G17" s="11"/>
      <c r="H17" s="11"/>
      <c r="I17" s="11"/>
    </row>
    <row r="18" spans="1:9">
      <c r="A18" s="11"/>
      <c r="B18" s="11"/>
      <c r="C18" s="11"/>
      <c r="D18" s="11"/>
      <c r="E18" s="11"/>
      <c r="F18" s="11"/>
      <c r="G18" s="11"/>
      <c r="H18" s="11"/>
      <c r="I18" s="11"/>
    </row>
    <row r="19" spans="1:9">
      <c r="A19" s="11"/>
      <c r="B19" s="11"/>
      <c r="C19" s="11"/>
      <c r="D19" s="11"/>
      <c r="E19" s="11"/>
      <c r="F19" s="11"/>
      <c r="G19" s="11"/>
      <c r="H19" s="11"/>
      <c r="I19" s="11"/>
    </row>
    <row r="20" spans="1:9">
      <c r="A20" s="11"/>
      <c r="B20" s="11"/>
      <c r="C20" s="11"/>
      <c r="D20" s="11"/>
      <c r="E20" s="11"/>
      <c r="F20" s="11"/>
      <c r="G20" s="11"/>
      <c r="H20" s="11"/>
      <c r="I20" s="11"/>
    </row>
    <row r="21" spans="1:9">
      <c r="A21" s="11"/>
      <c r="B21" s="11"/>
      <c r="C21" s="11"/>
      <c r="D21" s="11"/>
      <c r="E21" s="11"/>
      <c r="F21" s="11"/>
      <c r="G21" s="11"/>
      <c r="H21" s="11"/>
      <c r="I21" s="11"/>
    </row>
    <row r="22" spans="1:9">
      <c r="A22" s="11"/>
      <c r="B22" s="11"/>
      <c r="C22" s="11"/>
      <c r="D22" s="11"/>
      <c r="E22" s="11"/>
      <c r="F22" s="11"/>
      <c r="G22" s="11"/>
      <c r="H22" s="11"/>
      <c r="I22" s="11"/>
    </row>
    <row r="23" spans="1:9">
      <c r="A23" s="11"/>
      <c r="B23" s="11"/>
      <c r="C23" s="11"/>
      <c r="D23" s="11"/>
      <c r="E23" s="11"/>
      <c r="F23" s="11"/>
      <c r="G23" s="11"/>
      <c r="H23" s="11"/>
      <c r="I23" s="11"/>
    </row>
    <row r="24" spans="1:9">
      <c r="A24" s="11"/>
      <c r="B24" s="11"/>
      <c r="C24" s="11"/>
      <c r="D24" s="11"/>
      <c r="E24" s="11"/>
      <c r="F24" s="11"/>
      <c r="G24" s="11"/>
      <c r="H24" s="11"/>
      <c r="I24" s="11"/>
    </row>
    <row r="25" spans="1:9">
      <c r="A25" s="11"/>
      <c r="B25" s="11"/>
      <c r="C25" s="11"/>
      <c r="D25" s="11"/>
      <c r="E25" s="11"/>
      <c r="F25" s="11"/>
      <c r="G25" s="11"/>
      <c r="H25" s="11"/>
      <c r="I25" s="11"/>
    </row>
    <row r="26" spans="1:9">
      <c r="A26" s="11"/>
      <c r="B26" s="11"/>
      <c r="C26" s="11"/>
      <c r="D26" s="11"/>
      <c r="E26" s="11"/>
      <c r="F26" s="11"/>
      <c r="G26" s="11"/>
      <c r="H26" s="11"/>
      <c r="I26" s="11"/>
    </row>
    <row r="27" spans="1:9">
      <c r="A27" s="11"/>
      <c r="B27" s="11"/>
      <c r="C27" s="11"/>
      <c r="D27" s="11"/>
      <c r="E27" s="11"/>
      <c r="F27" s="11"/>
      <c r="G27" s="11"/>
      <c r="H27" s="11"/>
      <c r="I27" s="11"/>
    </row>
    <row r="28" spans="1:9">
      <c r="A28" s="11"/>
      <c r="B28" s="11"/>
      <c r="C28" s="11"/>
      <c r="D28" s="11"/>
      <c r="E28" s="11"/>
      <c r="F28" s="11"/>
      <c r="G28" s="11"/>
      <c r="H28" s="11"/>
      <c r="I28" s="11"/>
    </row>
    <row r="29" spans="1:9">
      <c r="A29" s="11"/>
      <c r="B29" s="11"/>
      <c r="C29" s="11"/>
      <c r="D29" s="11"/>
      <c r="E29" s="11"/>
      <c r="F29" s="11"/>
      <c r="G29" s="11"/>
      <c r="H29" s="11"/>
      <c r="I29" s="11"/>
    </row>
    <row r="30" spans="1:9">
      <c r="A30" s="11"/>
      <c r="B30" s="11"/>
      <c r="C30" s="11"/>
      <c r="D30" s="11"/>
      <c r="E30" s="11"/>
      <c r="F30" s="11"/>
      <c r="G30" s="11"/>
      <c r="H30" s="11"/>
      <c r="I30" s="11"/>
    </row>
    <row r="31" spans="1:9">
      <c r="A31" s="11"/>
      <c r="B31" s="11"/>
      <c r="C31" s="11"/>
      <c r="D31" s="11"/>
      <c r="E31" s="11"/>
      <c r="F31" s="11"/>
      <c r="G31" s="11"/>
      <c r="H31" s="11"/>
      <c r="I31" s="11"/>
    </row>
    <row r="32" spans="1:9">
      <c r="A32" s="11"/>
      <c r="B32" s="11"/>
      <c r="C32" s="11"/>
      <c r="D32" s="11"/>
      <c r="E32" s="11"/>
      <c r="F32" s="11"/>
      <c r="G32" s="11"/>
      <c r="H32" s="11"/>
      <c r="I32" s="11"/>
    </row>
    <row r="33" spans="1:9">
      <c r="A33" s="11"/>
      <c r="B33" s="11"/>
      <c r="C33" s="11"/>
      <c r="D33" s="11"/>
      <c r="E33" s="11"/>
      <c r="F33" s="11"/>
      <c r="G33" s="11"/>
      <c r="H33" s="11"/>
      <c r="I33" s="11"/>
    </row>
    <row r="34" spans="1:9">
      <c r="A34" s="11"/>
      <c r="B34" s="11"/>
      <c r="C34" s="11"/>
      <c r="D34" s="11"/>
      <c r="E34" s="11"/>
      <c r="F34" s="11"/>
      <c r="G34" s="11"/>
      <c r="H34" s="11"/>
      <c r="I34" s="11"/>
    </row>
    <row r="35" spans="1:9">
      <c r="B35" s="11"/>
      <c r="C35" s="11"/>
      <c r="D35" s="11"/>
      <c r="E35" s="11"/>
      <c r="F35" s="11"/>
      <c r="G35" s="11"/>
      <c r="H35" s="11"/>
      <c r="I35" s="11"/>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11" t="s">
        <v>1049</v>
      </c>
      <c r="B1" s="11"/>
      <c r="C1" s="11"/>
      <c r="D1" s="11"/>
      <c r="E1" s="11"/>
      <c r="F1" s="11"/>
      <c r="G1" s="11"/>
      <c r="H1" s="11"/>
    </row>
    <row r="2" spans="1:8">
      <c r="A2" s="11"/>
      <c r="B2" s="11"/>
      <c r="C2" s="11" t="s">
        <v>900</v>
      </c>
      <c r="D2" s="11" t="s">
        <v>903</v>
      </c>
      <c r="E2" s="11" t="s">
        <v>5326</v>
      </c>
      <c r="F2" s="11" t="s">
        <v>1198</v>
      </c>
      <c r="G2" s="11" t="s">
        <v>904</v>
      </c>
      <c r="H2" s="11" t="s">
        <v>5343</v>
      </c>
    </row>
    <row r="3" spans="1:8">
      <c r="A3" s="11"/>
      <c r="B3" s="11" t="s">
        <v>4333</v>
      </c>
      <c r="C3" s="11">
        <v>874</v>
      </c>
      <c r="D3" s="37">
        <v>6337102</v>
      </c>
      <c r="E3" s="37">
        <f>D3/C3</f>
        <v>7250.6887871853551</v>
      </c>
      <c r="F3" s="37">
        <f>E3*1.01</f>
        <v>7323.195675057209</v>
      </c>
      <c r="G3" s="11" t="e">
        <f>'برنامه 5 ساله'!#REF!</f>
        <v>#REF!</v>
      </c>
      <c r="H3" s="37" t="e">
        <f>C3*G3</f>
        <v>#REF!</v>
      </c>
    </row>
    <row r="4" spans="1:8">
      <c r="A4" s="11"/>
      <c r="B4" s="11" t="s">
        <v>4192</v>
      </c>
      <c r="C4" s="11">
        <v>295000</v>
      </c>
      <c r="D4" s="37">
        <v>148594302</v>
      </c>
      <c r="E4" s="37">
        <f>D4/C4</f>
        <v>503.70949830508476</v>
      </c>
      <c r="F4" s="37">
        <f>E4*1.01</f>
        <v>508.74659328813561</v>
      </c>
      <c r="G4" s="11">
        <f>'برنامه 5 ساله'!P37</f>
        <v>1894</v>
      </c>
      <c r="H4" s="37">
        <f>C4*G4</f>
        <v>558730000</v>
      </c>
    </row>
    <row r="5" spans="1:8">
      <c r="A5" s="11"/>
      <c r="B5" s="11" t="s">
        <v>4346</v>
      </c>
      <c r="C5" s="11">
        <v>2850</v>
      </c>
      <c r="D5" s="37">
        <v>4015726</v>
      </c>
      <c r="E5" s="37">
        <f>D5/C5</f>
        <v>1409.0266666666666</v>
      </c>
      <c r="F5" s="37">
        <f>E5*1.01</f>
        <v>1423.1169333333332</v>
      </c>
      <c r="G5" s="11">
        <v>2600</v>
      </c>
      <c r="H5" s="37">
        <f>C5*G5</f>
        <v>7410000</v>
      </c>
    </row>
    <row r="6" spans="1:8">
      <c r="A6" s="11" t="s">
        <v>5325</v>
      </c>
      <c r="B6" s="11" t="s">
        <v>5237</v>
      </c>
      <c r="C6" s="11">
        <v>0</v>
      </c>
      <c r="D6" s="37">
        <v>683292</v>
      </c>
      <c r="E6" s="37"/>
      <c r="F6" s="37"/>
      <c r="G6" s="11">
        <v>870</v>
      </c>
      <c r="H6" s="37">
        <f>D6</f>
        <v>683292</v>
      </c>
    </row>
    <row r="7" spans="1:8">
      <c r="A7" s="11" t="s">
        <v>5325</v>
      </c>
      <c r="B7" s="11" t="s">
        <v>4477</v>
      </c>
      <c r="C7" s="11">
        <v>0</v>
      </c>
      <c r="D7" s="37">
        <v>270969</v>
      </c>
      <c r="E7" s="37"/>
      <c r="F7" s="37"/>
      <c r="G7" s="11">
        <v>1500</v>
      </c>
      <c r="H7" s="37">
        <f>D7</f>
        <v>270969</v>
      </c>
    </row>
    <row r="8" spans="1:8">
      <c r="A8" s="11"/>
      <c r="B8" s="11"/>
      <c r="C8" s="11"/>
      <c r="D8" s="37"/>
      <c r="E8" s="37"/>
      <c r="F8" s="11"/>
      <c r="G8" s="11"/>
      <c r="H8" s="11"/>
    </row>
    <row r="9" spans="1:8">
      <c r="A9" s="11"/>
      <c r="B9" s="11"/>
      <c r="C9" s="11"/>
      <c r="D9" s="37"/>
      <c r="E9" s="37"/>
      <c r="F9" s="11"/>
      <c r="G9" s="11"/>
      <c r="H9" s="11"/>
    </row>
    <row r="10" spans="1:8">
      <c r="A10" s="11"/>
      <c r="B10" s="11"/>
      <c r="C10" s="11"/>
      <c r="D10" s="37">
        <v>159900000</v>
      </c>
      <c r="E10" s="37"/>
      <c r="F10" s="11"/>
      <c r="G10" s="11"/>
      <c r="H10" s="26" t="e">
        <f>SUM(H3:H7)</f>
        <v>#REF!</v>
      </c>
    </row>
    <row r="11" spans="1:8">
      <c r="A11" s="11"/>
      <c r="B11" s="11"/>
      <c r="C11" s="11"/>
      <c r="D11" s="37"/>
      <c r="E11" s="37"/>
      <c r="F11" s="11"/>
      <c r="G11" s="11"/>
      <c r="H11" s="11"/>
    </row>
    <row r="12" spans="1:8">
      <c r="A12" s="11"/>
      <c r="B12" s="11"/>
      <c r="C12" s="11"/>
      <c r="D12" s="11"/>
      <c r="E12" s="11"/>
      <c r="F12" s="11"/>
      <c r="G12" s="11"/>
      <c r="H12" s="11"/>
    </row>
    <row r="13" spans="1:8">
      <c r="A13" s="11"/>
      <c r="B13" s="11"/>
      <c r="C13" s="11"/>
      <c r="D13" s="11"/>
      <c r="E13" s="11"/>
      <c r="F13" s="11"/>
      <c r="G13" s="11"/>
      <c r="H13" s="11"/>
    </row>
    <row r="16" spans="1:8">
      <c r="A16" s="11" t="s">
        <v>723</v>
      </c>
      <c r="B16" s="11"/>
      <c r="C16" s="11"/>
      <c r="D16" s="11"/>
      <c r="E16" s="11"/>
      <c r="F16" s="11" t="s">
        <v>1198</v>
      </c>
      <c r="G16" s="11" t="s">
        <v>904</v>
      </c>
      <c r="H16" s="11" t="s">
        <v>5343</v>
      </c>
    </row>
    <row r="17" spans="1:8">
      <c r="A17" s="11"/>
      <c r="B17" s="11" t="s">
        <v>4333</v>
      </c>
      <c r="C17" s="11">
        <v>4279</v>
      </c>
      <c r="D17" s="37">
        <v>32796123</v>
      </c>
      <c r="E17" s="37">
        <f>D17/C17</f>
        <v>7664.436316896471</v>
      </c>
      <c r="F17" s="37">
        <f>E17*1.01</f>
        <v>7741.0806800654354</v>
      </c>
      <c r="G17" s="11" t="e">
        <f>G3</f>
        <v>#REF!</v>
      </c>
      <c r="H17" s="37" t="e">
        <f>C17*G17</f>
        <v>#REF!</v>
      </c>
    </row>
    <row r="18" spans="1:8">
      <c r="A18" s="11"/>
      <c r="B18" s="11" t="s">
        <v>4346</v>
      </c>
      <c r="C18" s="11">
        <v>70500</v>
      </c>
      <c r="D18" s="37">
        <v>100609967</v>
      </c>
      <c r="E18" s="37">
        <f>D18/C18</f>
        <v>1427.0917304964539</v>
      </c>
      <c r="F18" s="37">
        <f>E18*1.01</f>
        <v>1441.3626478014185</v>
      </c>
      <c r="G18" s="11">
        <f>G5</f>
        <v>2600</v>
      </c>
      <c r="H18" s="37">
        <f>C18*G18</f>
        <v>183300000</v>
      </c>
    </row>
    <row r="19" spans="1:8">
      <c r="A19" s="11"/>
      <c r="B19" s="11" t="s">
        <v>4192</v>
      </c>
      <c r="C19" s="11">
        <v>12936</v>
      </c>
      <c r="D19" s="37">
        <v>6322162</v>
      </c>
      <c r="E19" s="37">
        <f>D19/C19</f>
        <v>488.72619047619048</v>
      </c>
      <c r="F19" s="37">
        <f>E19*1.01</f>
        <v>493.61345238095237</v>
      </c>
      <c r="G19" s="11">
        <f>G4</f>
        <v>1894</v>
      </c>
      <c r="H19" s="37">
        <f>C19*G19</f>
        <v>24500784</v>
      </c>
    </row>
    <row r="20" spans="1:8">
      <c r="A20" s="11"/>
      <c r="B20" s="11" t="s">
        <v>5237</v>
      </c>
      <c r="C20" s="11">
        <v>4687</v>
      </c>
      <c r="D20" s="37">
        <v>1911597</v>
      </c>
      <c r="E20" s="37">
        <f>D20/C20</f>
        <v>407.85086409216984</v>
      </c>
      <c r="F20" s="37">
        <f>E20*1.01</f>
        <v>411.92937273309155</v>
      </c>
      <c r="G20" s="11">
        <f>G6</f>
        <v>870</v>
      </c>
      <c r="H20" s="37">
        <f>C20*G20</f>
        <v>4077690</v>
      </c>
    </row>
    <row r="21" spans="1:8">
      <c r="A21" s="11" t="s">
        <v>5325</v>
      </c>
      <c r="B21" s="11" t="s">
        <v>4477</v>
      </c>
      <c r="C21" s="11">
        <v>0</v>
      </c>
      <c r="D21" s="37">
        <v>180438</v>
      </c>
      <c r="E21" s="37"/>
      <c r="F21" s="37"/>
      <c r="G21" s="11">
        <f>G7</f>
        <v>1500</v>
      </c>
      <c r="H21" s="26">
        <f>D21</f>
        <v>180438</v>
      </c>
    </row>
    <row r="22" spans="1:8">
      <c r="A22" s="11"/>
      <c r="B22" s="11"/>
      <c r="C22" s="11"/>
      <c r="D22" s="37"/>
      <c r="E22" s="37"/>
      <c r="F22" s="37"/>
      <c r="G22" s="11"/>
      <c r="H22" s="11"/>
    </row>
    <row r="23" spans="1:8">
      <c r="A23" s="11"/>
      <c r="B23" s="11"/>
      <c r="C23" s="11"/>
      <c r="D23" s="37">
        <v>141800000</v>
      </c>
      <c r="E23" s="37"/>
      <c r="F23" s="37"/>
      <c r="G23" s="11"/>
      <c r="H23" s="26" t="e">
        <f>SUM(H17:H21)</f>
        <v>#REF!</v>
      </c>
    </row>
    <row r="26" spans="1:8">
      <c r="D26" t="s">
        <v>5344</v>
      </c>
      <c r="E26" s="7" t="e">
        <f>'خرید خانه'!H10+'خرید خانه'!H23-'خرید خانه'!D10-'خرید خانه'!D23</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opLeftCell="A22" workbookViewId="0">
      <selection activeCell="F39" sqref="F39"/>
    </sheetView>
  </sheetViews>
  <sheetFormatPr defaultRowHeight="15"/>
  <cols>
    <col min="1" max="1" width="19" bestFit="1" customWidth="1"/>
    <col min="2" max="2" width="15.42578125" bestFit="1" customWidth="1"/>
    <col min="3" max="3" width="24.7109375" bestFit="1" customWidth="1"/>
    <col min="4" max="4" width="15" customWidth="1"/>
    <col min="5" max="5" width="16.5703125" customWidth="1"/>
    <col min="6" max="6" width="15.5703125" customWidth="1"/>
    <col min="7" max="7" width="24.7109375" customWidth="1"/>
    <col min="8" max="8" width="25.5703125" customWidth="1"/>
    <col min="9" max="9" width="16.5703125" customWidth="1"/>
    <col min="10" max="10" width="18.85546875" customWidth="1"/>
    <col min="11" max="11" width="15.42578125" hidden="1" customWidth="1"/>
    <col min="12" max="12" width="0" hidden="1" customWidth="1"/>
    <col min="13" max="13" width="16.5703125" hidden="1" customWidth="1"/>
    <col min="14" max="14" width="0" hidden="1" customWidth="1"/>
    <col min="17" max="17" width="16.5703125" bestFit="1" customWidth="1"/>
  </cols>
  <sheetData>
    <row r="1" spans="1:17" ht="15.75">
      <c r="A1" s="136" t="s">
        <v>4786</v>
      </c>
      <c r="B1" s="136" t="s">
        <v>4787</v>
      </c>
      <c r="C1" s="136" t="s">
        <v>6930</v>
      </c>
      <c r="D1" s="136" t="s">
        <v>6931</v>
      </c>
      <c r="E1" s="136" t="s">
        <v>6932</v>
      </c>
      <c r="F1" s="136" t="s">
        <v>6933</v>
      </c>
      <c r="G1" s="271" t="s">
        <v>6600</v>
      </c>
      <c r="H1" s="136" t="s">
        <v>6599</v>
      </c>
      <c r="I1" s="136" t="s">
        <v>6832</v>
      </c>
      <c r="J1" s="136" t="s">
        <v>6838</v>
      </c>
      <c r="K1" s="271" t="s">
        <v>6601</v>
      </c>
      <c r="L1" s="136" t="s">
        <v>6602</v>
      </c>
      <c r="M1" s="136" t="s">
        <v>6144</v>
      </c>
      <c r="N1" s="136" t="s">
        <v>6610</v>
      </c>
      <c r="O1" s="136" t="s">
        <v>4221</v>
      </c>
      <c r="P1" s="136" t="s">
        <v>4870</v>
      </c>
      <c r="Q1" s="261" t="s">
        <v>5708</v>
      </c>
    </row>
    <row r="2" spans="1:17" ht="15.75">
      <c r="A2" s="262" t="s">
        <v>6603</v>
      </c>
      <c r="B2" s="263">
        <v>980726326</v>
      </c>
      <c r="C2" s="263">
        <f>'سهام بنیادی'!F21</f>
        <v>880</v>
      </c>
      <c r="D2" s="263">
        <f>B2*C2/$Q$2</f>
        <v>8.5028489347783243</v>
      </c>
      <c r="E2" s="263"/>
      <c r="F2" s="263"/>
      <c r="G2" s="263">
        <f>'سهام بنیادی'!D21</f>
        <v>798.6</v>
      </c>
      <c r="H2" s="263">
        <f t="shared" ref="H2:H19" si="0">B2*G2/$Q$2</f>
        <v>7.7163354083113296</v>
      </c>
      <c r="I2" s="263">
        <f>'سهام بنیادی'!E21</f>
        <v>765</v>
      </c>
      <c r="J2" s="263">
        <f>B2*I2/$Q$2</f>
        <v>7.3916811762561574</v>
      </c>
      <c r="K2" s="270">
        <f>'سهام بنیادی'!B21</f>
        <v>534.5</v>
      </c>
      <c r="L2" s="262">
        <f t="shared" ref="L2:L19" si="1">B2*K2/$Q$2</f>
        <v>5.1645144950443349</v>
      </c>
      <c r="M2" s="262">
        <f>'سهام بنیادی'!C21</f>
        <v>500</v>
      </c>
      <c r="N2" s="262">
        <f t="shared" ref="N2:N19" si="2">B2*M2/$Q$2</f>
        <v>4.8311641674876844</v>
      </c>
      <c r="O2" s="262">
        <f>'سهام بنیادی'!H21</f>
        <v>4790</v>
      </c>
      <c r="P2" s="262">
        <f t="shared" ref="P2:P19" si="3">B2*O2/$Q$2</f>
        <v>46.282552724532017</v>
      </c>
      <c r="Q2" s="263">
        <v>101500000000</v>
      </c>
    </row>
    <row r="3" spans="1:17" ht="15.75">
      <c r="A3" s="264" t="s">
        <v>4447</v>
      </c>
      <c r="B3" s="265">
        <v>15598500147</v>
      </c>
      <c r="C3" s="265">
        <f>'سهام بنیادی'!F11</f>
        <v>70</v>
      </c>
      <c r="D3" s="263">
        <f t="shared" ref="D3:D19" si="4">B3*C3/$Q$2</f>
        <v>10.757586308275862</v>
      </c>
      <c r="E3" s="265"/>
      <c r="F3" s="265"/>
      <c r="G3" s="265">
        <f>'سهام بنیادی'!D11</f>
        <v>66.7</v>
      </c>
      <c r="H3" s="263">
        <f t="shared" si="0"/>
        <v>10.250442953742857</v>
      </c>
      <c r="I3" s="263">
        <f>'سهام بنیادی'!E11</f>
        <v>52</v>
      </c>
      <c r="J3" s="263">
        <f t="shared" ref="J3:J19" si="5">B3*I3/$Q$2</f>
        <v>7.9913498290049265</v>
      </c>
      <c r="K3" s="268">
        <f>'سهام بنیادی'!B11</f>
        <v>197.6365868631062</v>
      </c>
      <c r="L3" s="262">
        <f t="shared" si="1"/>
        <v>30.372752012184634</v>
      </c>
      <c r="M3" s="264">
        <f>'سهام بنیادی'!C11</f>
        <v>196.43953345610805</v>
      </c>
      <c r="N3" s="262">
        <f t="shared" si="2"/>
        <v>30.188789078736086</v>
      </c>
      <c r="O3" s="264">
        <f>'سهام بنیادی'!H11</f>
        <v>660</v>
      </c>
      <c r="P3" s="262">
        <f t="shared" si="3"/>
        <v>101.42867090660098</v>
      </c>
    </row>
    <row r="4" spans="1:17" ht="15.75">
      <c r="A4" s="262" t="s">
        <v>6609</v>
      </c>
      <c r="B4" s="263">
        <v>1226605805</v>
      </c>
      <c r="C4" s="263">
        <f>'سهام بنیادی'!F42</f>
        <v>150</v>
      </c>
      <c r="D4" s="263">
        <f t="shared" si="4"/>
        <v>1.8127179384236454</v>
      </c>
      <c r="E4" s="263"/>
      <c r="F4" s="263"/>
      <c r="G4" s="263">
        <f>'سهام بنیادی'!D42</f>
        <v>132.9</v>
      </c>
      <c r="H4" s="263">
        <f t="shared" si="0"/>
        <v>1.6060680934433498</v>
      </c>
      <c r="I4" s="263">
        <f>'سهام بنیادی'!E42</f>
        <v>150</v>
      </c>
      <c r="J4" s="263">
        <f t="shared" si="5"/>
        <v>1.8127179384236454</v>
      </c>
      <c r="K4" s="270">
        <f>'سهام بنیادی'!B42</f>
        <v>108.8</v>
      </c>
      <c r="L4" s="262">
        <f t="shared" si="1"/>
        <v>1.3148247446699508</v>
      </c>
      <c r="M4" s="262">
        <f>'سهام بنیادی'!C42</f>
        <v>10.8</v>
      </c>
      <c r="N4" s="262">
        <f t="shared" si="2"/>
        <v>0.13051569156650247</v>
      </c>
      <c r="O4" s="262">
        <v>1242</v>
      </c>
      <c r="P4" s="262">
        <f t="shared" si="3"/>
        <v>15.009304530147784</v>
      </c>
    </row>
    <row r="5" spans="1:17" ht="15.75">
      <c r="A5" s="262" t="s">
        <v>6611</v>
      </c>
      <c r="B5" s="263">
        <v>1270296458</v>
      </c>
      <c r="C5" s="263">
        <f>'سهام بنیادی'!F59</f>
        <v>0</v>
      </c>
      <c r="D5" s="263">
        <f t="shared" si="4"/>
        <v>0</v>
      </c>
      <c r="E5" s="263"/>
      <c r="F5" s="263"/>
      <c r="G5" s="263">
        <f>'سهام بنیادی'!D59</f>
        <v>56.3</v>
      </c>
      <c r="H5" s="263">
        <f t="shared" si="0"/>
        <v>0.70460778901871912</v>
      </c>
      <c r="I5" s="263">
        <f>'سهام بنیادی'!E59</f>
        <v>74</v>
      </c>
      <c r="J5" s="263">
        <f t="shared" si="5"/>
        <v>0.92612746691625614</v>
      </c>
      <c r="K5" s="270">
        <f>'سهام بنیادی'!B59</f>
        <v>263.5</v>
      </c>
      <c r="L5" s="262">
        <f t="shared" si="1"/>
        <v>3.2977646963842364</v>
      </c>
      <c r="M5" s="262">
        <f>'سهام بنیادی'!C59</f>
        <v>245</v>
      </c>
      <c r="N5" s="262">
        <f t="shared" si="2"/>
        <v>3.0662328296551724</v>
      </c>
      <c r="O5" s="262">
        <f>'سهام بنیادی'!H59</f>
        <v>1430</v>
      </c>
      <c r="P5" s="262">
        <f t="shared" si="3"/>
        <v>17.89678753635468</v>
      </c>
    </row>
    <row r="6" spans="1:17" ht="15.75">
      <c r="A6" s="264" t="s">
        <v>5715</v>
      </c>
      <c r="B6" s="265">
        <v>1336082292</v>
      </c>
      <c r="C6" s="265">
        <f>'سهام بنیادی'!F12</f>
        <v>1400</v>
      </c>
      <c r="D6" s="263">
        <f t="shared" si="4"/>
        <v>18.428721268965518</v>
      </c>
      <c r="E6" s="265"/>
      <c r="F6" s="265"/>
      <c r="G6" s="265">
        <f>'سهام بنیادی'!D12</f>
        <v>1769.9</v>
      </c>
      <c r="H6" s="263">
        <f t="shared" si="0"/>
        <v>23.297852695672908</v>
      </c>
      <c r="I6" s="263">
        <f>'سهام بنیادی'!E12</f>
        <v>1750</v>
      </c>
      <c r="J6" s="263">
        <f t="shared" si="5"/>
        <v>23.035901586206897</v>
      </c>
      <c r="K6" s="268">
        <f>'سهام بنیادی'!B12</f>
        <v>1454.9</v>
      </c>
      <c r="L6" s="262">
        <f t="shared" si="1"/>
        <v>19.151390410155667</v>
      </c>
      <c r="M6" s="264">
        <f>'سهام بنیادی'!C12</f>
        <v>1150</v>
      </c>
      <c r="N6" s="262">
        <f t="shared" si="2"/>
        <v>15.137878185221675</v>
      </c>
      <c r="O6" s="264">
        <f>'سهام بنیادی'!H12</f>
        <v>19200</v>
      </c>
      <c r="P6" s="262">
        <f t="shared" si="3"/>
        <v>252.73674883152708</v>
      </c>
    </row>
    <row r="7" spans="1:17" ht="15.75">
      <c r="A7" s="262" t="s">
        <v>4346</v>
      </c>
      <c r="B7" s="263">
        <v>1344540394</v>
      </c>
      <c r="C7" s="263">
        <f>'سهام بنیادی'!F8</f>
        <v>600</v>
      </c>
      <c r="D7" s="263">
        <f t="shared" si="4"/>
        <v>7.9480220334975371</v>
      </c>
      <c r="E7" s="263"/>
      <c r="F7" s="263"/>
      <c r="G7" s="263">
        <f>'سهام بنیادی'!D8</f>
        <v>684</v>
      </c>
      <c r="H7" s="263">
        <f t="shared" si="0"/>
        <v>9.0607451181871923</v>
      </c>
      <c r="I7" s="263">
        <f>'سهام بنیادی'!E8</f>
        <v>690</v>
      </c>
      <c r="J7" s="263">
        <f t="shared" si="5"/>
        <v>9.1402253385221677</v>
      </c>
      <c r="K7" s="270">
        <f>'سهام بنیادی'!B8</f>
        <v>424</v>
      </c>
      <c r="L7" s="262">
        <f t="shared" si="1"/>
        <v>5.6166022370049262</v>
      </c>
      <c r="M7" s="262">
        <f>'سهام بنیادی'!C8</f>
        <v>370</v>
      </c>
      <c r="N7" s="262">
        <f t="shared" si="2"/>
        <v>4.9012802539901479</v>
      </c>
      <c r="O7" s="262">
        <f>'سهام بنیادی'!H8</f>
        <v>3100</v>
      </c>
      <c r="P7" s="262">
        <f t="shared" si="3"/>
        <v>41.064780506403942</v>
      </c>
    </row>
    <row r="8" spans="1:17" ht="15.75">
      <c r="A8" s="264" t="s">
        <v>6612</v>
      </c>
      <c r="B8" s="265">
        <v>1200002514</v>
      </c>
      <c r="C8" s="265">
        <f>'سهام بنیادی'!F22</f>
        <v>100</v>
      </c>
      <c r="D8" s="263">
        <f t="shared" si="4"/>
        <v>1.1822684866995075</v>
      </c>
      <c r="E8" s="265"/>
      <c r="F8" s="265"/>
      <c r="G8" s="265">
        <f>'سهام بنیادی'!D22</f>
        <v>273.60000000000002</v>
      </c>
      <c r="H8" s="263">
        <f t="shared" si="0"/>
        <v>3.2346865796098525</v>
      </c>
      <c r="I8" s="263">
        <f>'سهام بنیادی'!E22</f>
        <v>220</v>
      </c>
      <c r="J8" s="263">
        <f t="shared" si="5"/>
        <v>2.6009906707389163</v>
      </c>
      <c r="K8" s="268">
        <f>'سهام بنیادی'!B22</f>
        <v>122.7</v>
      </c>
      <c r="L8" s="262">
        <f t="shared" si="1"/>
        <v>1.4506434331802958</v>
      </c>
      <c r="M8" s="264">
        <f>'سهام بنیادی'!C22</f>
        <v>155</v>
      </c>
      <c r="N8" s="262">
        <f t="shared" si="2"/>
        <v>1.8325161543842365</v>
      </c>
      <c r="O8" s="264">
        <f>'سهام بنیادی'!H22</f>
        <v>1399</v>
      </c>
      <c r="P8" s="262">
        <f t="shared" si="3"/>
        <v>16.539936128926108</v>
      </c>
    </row>
    <row r="9" spans="1:17" ht="15.75">
      <c r="A9" s="262" t="s">
        <v>4448</v>
      </c>
      <c r="B9" s="263">
        <v>1114663695</v>
      </c>
      <c r="C9" s="263">
        <f>'سهام بنیادی'!F13</f>
        <v>670</v>
      </c>
      <c r="D9" s="263">
        <f t="shared" si="4"/>
        <v>7.357878577832512</v>
      </c>
      <c r="E9" s="263"/>
      <c r="F9" s="263"/>
      <c r="G9" s="263">
        <f>'سهام بنیادی'!D13</f>
        <v>474.9</v>
      </c>
      <c r="H9" s="263">
        <f t="shared" si="0"/>
        <v>5.2153082636009849</v>
      </c>
      <c r="I9" s="263">
        <f>'سهام بنیادی'!E13</f>
        <v>500</v>
      </c>
      <c r="J9" s="263">
        <f t="shared" si="5"/>
        <v>5.4909541625615761</v>
      </c>
      <c r="K9" s="270">
        <f>'سهام بنیادی'!B13</f>
        <v>563.70000000000005</v>
      </c>
      <c r="L9" s="262">
        <f t="shared" si="1"/>
        <v>6.1905017228719208</v>
      </c>
      <c r="M9" s="262">
        <f>'سهام بنیادی'!C13</f>
        <v>520</v>
      </c>
      <c r="N9" s="262">
        <f t="shared" si="2"/>
        <v>5.7105923290640392</v>
      </c>
      <c r="O9" s="262">
        <f>'سهام بنیادی'!H13</f>
        <v>3802</v>
      </c>
      <c r="P9" s="262">
        <f t="shared" si="3"/>
        <v>41.753215452118226</v>
      </c>
    </row>
    <row r="10" spans="1:17" ht="15.75">
      <c r="A10" s="264" t="s">
        <v>5680</v>
      </c>
      <c r="B10" s="265">
        <v>3029761799</v>
      </c>
      <c r="C10" s="265">
        <f>'سهام بنیادی'!F14</f>
        <v>600</v>
      </c>
      <c r="D10" s="263">
        <f t="shared" si="4"/>
        <v>17.909921964532021</v>
      </c>
      <c r="E10" s="265"/>
      <c r="F10" s="265"/>
      <c r="G10" s="265">
        <f>'سهام بنیادی'!D14</f>
        <v>535</v>
      </c>
      <c r="H10" s="263">
        <f t="shared" si="0"/>
        <v>15.969680418374384</v>
      </c>
      <c r="I10" s="263">
        <f>'سهام بنیادی'!E14</f>
        <v>500</v>
      </c>
      <c r="J10" s="263">
        <f t="shared" si="5"/>
        <v>14.924934970443349</v>
      </c>
      <c r="K10" s="268">
        <f>'سهام بنیادی'!B14</f>
        <v>726.7</v>
      </c>
      <c r="L10" s="262">
        <f t="shared" si="1"/>
        <v>21.691900486042368</v>
      </c>
      <c r="M10" s="264">
        <f>'سهام بنیادی'!C14</f>
        <v>650</v>
      </c>
      <c r="N10" s="262">
        <f t="shared" si="2"/>
        <v>19.402415461576354</v>
      </c>
      <c r="O10" s="264">
        <f>'سهام بنیادی'!H14</f>
        <v>3920</v>
      </c>
      <c r="P10" s="262">
        <f t="shared" si="3"/>
        <v>117.01149016827586</v>
      </c>
    </row>
    <row r="11" spans="1:17" ht="15.75">
      <c r="A11" s="262" t="s">
        <v>4794</v>
      </c>
      <c r="B11" s="263">
        <v>772286749</v>
      </c>
      <c r="C11" s="263">
        <f>'سهام بنیادی'!F7</f>
        <v>2800</v>
      </c>
      <c r="D11" s="263">
        <f t="shared" si="4"/>
        <v>21.30446204137931</v>
      </c>
      <c r="E11" s="263"/>
      <c r="F11" s="263"/>
      <c r="G11" s="263">
        <f>'سهام بنیادی'!D7</f>
        <v>1813</v>
      </c>
      <c r="H11" s="263">
        <f t="shared" si="0"/>
        <v>13.794639171793104</v>
      </c>
      <c r="I11" s="263">
        <f>'سهام بنیادی'!E7</f>
        <v>1435</v>
      </c>
      <c r="J11" s="263">
        <f t="shared" si="5"/>
        <v>10.918536796206897</v>
      </c>
      <c r="K11" s="270">
        <f>'سهام بنیادی'!B7</f>
        <v>803</v>
      </c>
      <c r="L11" s="262">
        <f t="shared" si="1"/>
        <v>6.1098153640098518</v>
      </c>
      <c r="M11" s="262">
        <f>'سهام بنیادی'!C7</f>
        <v>590</v>
      </c>
      <c r="N11" s="262">
        <f t="shared" si="2"/>
        <v>4.4891545015763548</v>
      </c>
      <c r="O11" s="262">
        <f>'سهام بنیادی'!H7</f>
        <v>11550</v>
      </c>
      <c r="P11" s="262">
        <f t="shared" si="3"/>
        <v>87.880905920689656</v>
      </c>
    </row>
    <row r="12" spans="1:17" ht="21">
      <c r="A12" s="264" t="s">
        <v>5711</v>
      </c>
      <c r="B12" s="265">
        <v>37273882273</v>
      </c>
      <c r="C12" s="265">
        <f>'سهام بنیادی'!F41</f>
        <v>113</v>
      </c>
      <c r="D12" s="263">
        <f t="shared" si="4"/>
        <v>41.49703149604926</v>
      </c>
      <c r="E12" s="265"/>
      <c r="F12" s="265"/>
      <c r="G12" s="265">
        <f>'سهام بنیادی'!D41</f>
        <v>113</v>
      </c>
      <c r="H12" s="263">
        <f t="shared" si="0"/>
        <v>41.49703149604926</v>
      </c>
      <c r="I12" s="263">
        <f>'سهام بنیادی'!E41</f>
        <v>50</v>
      </c>
      <c r="J12" s="263">
        <f t="shared" si="5"/>
        <v>18.361518361083743</v>
      </c>
      <c r="K12" s="268">
        <f>'سهام بنیادی'!B41</f>
        <v>85.941176470588232</v>
      </c>
      <c r="L12" s="262">
        <f t="shared" si="1"/>
        <v>31.560209794756879</v>
      </c>
      <c r="M12" s="269">
        <f>'سهام بنیادی'!C41</f>
        <v>20.470588235294116</v>
      </c>
      <c r="N12" s="272">
        <f t="shared" si="2"/>
        <v>7.5174216348907557</v>
      </c>
      <c r="O12" s="264">
        <f>'سهام بنیادی'!H41</f>
        <v>765</v>
      </c>
      <c r="P12" s="262">
        <f t="shared" si="3"/>
        <v>280.93123092458126</v>
      </c>
    </row>
    <row r="13" spans="1:17" ht="15.75">
      <c r="A13" s="262" t="s">
        <v>6604</v>
      </c>
      <c r="B13" s="263">
        <v>880634647</v>
      </c>
      <c r="C13" s="263">
        <f>'سهام بنیادی'!F9</f>
        <v>1500</v>
      </c>
      <c r="D13" s="263">
        <f t="shared" si="4"/>
        <v>13.014305128078817</v>
      </c>
      <c r="E13" s="263"/>
      <c r="F13" s="263"/>
      <c r="G13" s="263">
        <f>'سهام بنیادی'!D9</f>
        <v>1518.9</v>
      </c>
      <c r="H13" s="263">
        <f t="shared" si="0"/>
        <v>13.178285372692612</v>
      </c>
      <c r="I13" s="263">
        <f>'سهام بنیادی'!E9</f>
        <v>1360</v>
      </c>
      <c r="J13" s="263">
        <f t="shared" si="5"/>
        <v>11.799636649458128</v>
      </c>
      <c r="K13" s="270">
        <f>'سهام بنیادی'!B9</f>
        <v>1019</v>
      </c>
      <c r="L13" s="262">
        <f t="shared" si="1"/>
        <v>8.8410512836748776</v>
      </c>
      <c r="M13" s="262">
        <f>'سهام بنیادی'!C9</f>
        <v>1000</v>
      </c>
      <c r="N13" s="262">
        <f t="shared" si="2"/>
        <v>8.6762034187192114</v>
      </c>
      <c r="O13" s="262">
        <f>'سهام بنیادی'!H9</f>
        <v>6906</v>
      </c>
      <c r="P13" s="262">
        <f t="shared" si="3"/>
        <v>59.917860809674877</v>
      </c>
    </row>
    <row r="14" spans="1:17" ht="15.75">
      <c r="A14" s="264" t="s">
        <v>5232</v>
      </c>
      <c r="B14" s="265">
        <v>5351332707</v>
      </c>
      <c r="C14" s="265">
        <f>'سهام بنیادی'!F43</f>
        <v>150</v>
      </c>
      <c r="D14" s="263">
        <f t="shared" si="4"/>
        <v>7.90837345862069</v>
      </c>
      <c r="E14" s="265"/>
      <c r="F14" s="265"/>
      <c r="G14" s="265">
        <f>'سهام بنیادی'!D43</f>
        <v>143.4</v>
      </c>
      <c r="H14" s="263">
        <f t="shared" si="0"/>
        <v>7.56040502644138</v>
      </c>
      <c r="I14" s="263">
        <f>'سهام بنیادی'!E43</f>
        <v>130</v>
      </c>
      <c r="J14" s="263">
        <f t="shared" si="5"/>
        <v>6.8539236641379313</v>
      </c>
      <c r="K14" s="268">
        <f>'سهام بنیادی'!B43</f>
        <v>115.1</v>
      </c>
      <c r="L14" s="262">
        <f t="shared" si="1"/>
        <v>6.0683585672482749</v>
      </c>
      <c r="M14" s="264">
        <f>'سهام بنیادی'!C43</f>
        <v>82.5</v>
      </c>
      <c r="N14" s="262">
        <f t="shared" si="2"/>
        <v>4.3496054022413793</v>
      </c>
      <c r="O14" s="264">
        <f>'سهام بنیادی'!H43</f>
        <v>900</v>
      </c>
      <c r="P14" s="262">
        <f t="shared" si="3"/>
        <v>47.450240751724138</v>
      </c>
    </row>
    <row r="15" spans="1:17" ht="15.75">
      <c r="A15" s="262" t="s">
        <v>6605</v>
      </c>
      <c r="B15" s="263">
        <v>1376998000</v>
      </c>
      <c r="C15" s="263">
        <f>'سهام بنیادی'!F15</f>
        <v>1520</v>
      </c>
      <c r="D15" s="263">
        <f t="shared" si="4"/>
        <v>20.621053793103449</v>
      </c>
      <c r="E15" s="263"/>
      <c r="F15" s="263"/>
      <c r="G15" s="263">
        <f>'سهام بنیادی'!D15</f>
        <v>1461.6</v>
      </c>
      <c r="H15" s="263">
        <f t="shared" si="0"/>
        <v>19.828771199999998</v>
      </c>
      <c r="I15" s="263">
        <f>'سهام بنیادی'!E15</f>
        <v>1400</v>
      </c>
      <c r="J15" s="263">
        <f t="shared" si="5"/>
        <v>18.993075862068967</v>
      </c>
      <c r="K15" s="270">
        <f>'سهام بنیادی'!B15</f>
        <v>1371.1</v>
      </c>
      <c r="L15" s="262">
        <f t="shared" si="1"/>
        <v>18.601004510344826</v>
      </c>
      <c r="M15" s="262">
        <f>'سهام بنیادی'!C15</f>
        <v>1420</v>
      </c>
      <c r="N15" s="262">
        <f t="shared" si="2"/>
        <v>19.264405517241379</v>
      </c>
      <c r="O15" s="262">
        <f>'سهام بنیادی'!H15</f>
        <v>9312</v>
      </c>
      <c r="P15" s="262">
        <f t="shared" si="3"/>
        <v>126.33108744827587</v>
      </c>
      <c r="Q15" t="s">
        <v>25</v>
      </c>
    </row>
    <row r="16" spans="1:17" ht="15.75">
      <c r="A16" s="262" t="s">
        <v>6606</v>
      </c>
      <c r="B16" s="263">
        <v>1</v>
      </c>
      <c r="C16" s="263">
        <v>800000000000</v>
      </c>
      <c r="D16" s="263">
        <f t="shared" si="4"/>
        <v>7.8817733990147785</v>
      </c>
      <c r="E16" s="263"/>
      <c r="F16" s="263"/>
      <c r="G16" s="263">
        <v>800000000000</v>
      </c>
      <c r="H16" s="263">
        <f t="shared" si="0"/>
        <v>7.8817733990147785</v>
      </c>
      <c r="I16" s="263">
        <v>800000000000</v>
      </c>
      <c r="J16" s="263">
        <f t="shared" si="5"/>
        <v>7.8817733990147785</v>
      </c>
      <c r="K16" s="270">
        <v>500000000000</v>
      </c>
      <c r="L16" s="262">
        <f t="shared" si="1"/>
        <v>4.9261083743842367</v>
      </c>
      <c r="M16" s="262">
        <v>500000000000</v>
      </c>
      <c r="N16" s="262">
        <f t="shared" si="2"/>
        <v>4.9261083743842367</v>
      </c>
      <c r="O16" s="262">
        <v>1800000000000</v>
      </c>
      <c r="P16" s="262">
        <f t="shared" si="3"/>
        <v>17.733990147783253</v>
      </c>
      <c r="Q16" t="s">
        <v>25</v>
      </c>
    </row>
    <row r="17" spans="1:16" ht="15.75">
      <c r="A17" s="264" t="s">
        <v>6607</v>
      </c>
      <c r="B17" s="265">
        <v>12494998000</v>
      </c>
      <c r="C17" s="265">
        <v>800</v>
      </c>
      <c r="D17" s="263">
        <f t="shared" si="4"/>
        <v>98.482742857142853</v>
      </c>
      <c r="E17" s="265"/>
      <c r="F17" s="265"/>
      <c r="G17" s="265">
        <f>'سهام بنیادی'!D23</f>
        <v>639.79999999999995</v>
      </c>
      <c r="H17" s="263">
        <f t="shared" si="0"/>
        <v>78.761573599999991</v>
      </c>
      <c r="I17" s="263">
        <f>'سهام بنیادی'!E23</f>
        <v>320</v>
      </c>
      <c r="J17" s="263">
        <f t="shared" si="5"/>
        <v>39.393097142857144</v>
      </c>
      <c r="K17" s="268">
        <f>'سهام بنیادی'!B23</f>
        <v>595</v>
      </c>
      <c r="L17" s="262">
        <f t="shared" si="1"/>
        <v>73.246539999999996</v>
      </c>
      <c r="M17" s="264">
        <f>'سهام بنیادی'!C23</f>
        <v>59.5</v>
      </c>
      <c r="N17" s="262">
        <f t="shared" si="2"/>
        <v>7.3246539999999998</v>
      </c>
      <c r="O17" s="264">
        <f>'سهام بنیادی'!H23</f>
        <v>9000</v>
      </c>
      <c r="P17" s="262">
        <f t="shared" si="3"/>
        <v>1107.9308571428571</v>
      </c>
    </row>
    <row r="18" spans="1:16" ht="15.75">
      <c r="A18" s="262" t="s">
        <v>6608</v>
      </c>
      <c r="B18" s="263">
        <v>3062221439</v>
      </c>
      <c r="C18" s="263">
        <v>30</v>
      </c>
      <c r="D18" s="263">
        <f t="shared" si="4"/>
        <v>0.90509008049261086</v>
      </c>
      <c r="E18" s="263"/>
      <c r="F18" s="263"/>
      <c r="G18" s="263">
        <v>30</v>
      </c>
      <c r="H18" s="263">
        <f t="shared" si="0"/>
        <v>0.90509008049261086</v>
      </c>
      <c r="I18" s="263">
        <v>20</v>
      </c>
      <c r="J18" s="263">
        <f t="shared" si="5"/>
        <v>0.60339338699507394</v>
      </c>
      <c r="K18" s="270">
        <v>20</v>
      </c>
      <c r="L18" s="262">
        <f t="shared" si="1"/>
        <v>0.60339338699507394</v>
      </c>
      <c r="M18" s="262">
        <v>2</v>
      </c>
      <c r="N18" s="262">
        <f t="shared" si="2"/>
        <v>6.0339338699507389E-2</v>
      </c>
      <c r="O18" s="262">
        <v>2000</v>
      </c>
      <c r="P18" s="262">
        <f t="shared" si="3"/>
        <v>60.339338699507387</v>
      </c>
    </row>
    <row r="19" spans="1:16" ht="15.75">
      <c r="A19" s="264" t="s">
        <v>6175</v>
      </c>
      <c r="B19" s="265">
        <v>1</v>
      </c>
      <c r="C19" s="265">
        <v>750000000000</v>
      </c>
      <c r="D19" s="263">
        <f t="shared" si="4"/>
        <v>7.389162561576355</v>
      </c>
      <c r="E19" s="265"/>
      <c r="F19" s="265"/>
      <c r="G19" s="265">
        <v>750000000000</v>
      </c>
      <c r="H19" s="263">
        <f t="shared" si="0"/>
        <v>7.389162561576355</v>
      </c>
      <c r="I19" s="263">
        <v>700000000000</v>
      </c>
      <c r="J19" s="263">
        <f t="shared" si="5"/>
        <v>6.8965517241379306</v>
      </c>
      <c r="K19" s="265">
        <v>500000000000</v>
      </c>
      <c r="L19" s="262">
        <f t="shared" si="1"/>
        <v>4.9261083743842367</v>
      </c>
      <c r="M19" s="265">
        <v>300000000000</v>
      </c>
      <c r="N19" s="262">
        <f t="shared" si="2"/>
        <v>2.9556650246305418</v>
      </c>
      <c r="O19" s="264">
        <v>4000000000000</v>
      </c>
      <c r="P19" s="262">
        <f t="shared" si="3"/>
        <v>39.408866995073893</v>
      </c>
    </row>
    <row r="20" spans="1:16" ht="15.75">
      <c r="A20" s="266"/>
      <c r="B20" s="260"/>
      <c r="C20" s="260"/>
      <c r="D20" s="260"/>
      <c r="E20" s="260"/>
      <c r="F20" s="260"/>
      <c r="G20" s="260"/>
      <c r="H20" s="260"/>
      <c r="I20" s="260"/>
      <c r="J20" s="260"/>
      <c r="K20" s="266"/>
      <c r="L20" s="266"/>
      <c r="M20" s="266"/>
      <c r="N20" s="266"/>
      <c r="O20" s="266"/>
      <c r="P20" s="266"/>
    </row>
    <row r="21" spans="1:16" ht="21">
      <c r="A21" s="266"/>
      <c r="B21" s="266"/>
      <c r="C21" s="266"/>
      <c r="D21" s="260">
        <f>SUM(D2:D19)</f>
        <v>292.90396032846303</v>
      </c>
      <c r="E21" s="266"/>
      <c r="F21" s="266">
        <f>D21*J21/H21</f>
        <v>213.25573474745008</v>
      </c>
      <c r="G21" s="266"/>
      <c r="H21" s="260">
        <f>SUM(H2:H20)</f>
        <v>267.85245922802164</v>
      </c>
      <c r="I21" s="260"/>
      <c r="J21" s="260">
        <f>SUM(J2:J19)</f>
        <v>195.01639012503449</v>
      </c>
      <c r="K21" s="266"/>
      <c r="L21" s="266">
        <f>SUM(L3:L20)</f>
        <v>243.96896939829227</v>
      </c>
      <c r="M21" s="266"/>
      <c r="N21" s="266">
        <f>SUM(N2:N20)</f>
        <v>144.76494136406527</v>
      </c>
      <c r="O21" s="267" t="s">
        <v>4405</v>
      </c>
      <c r="P21" s="267">
        <f>SUM(P2:P19)</f>
        <v>2477.6478656250542</v>
      </c>
    </row>
    <row r="22" spans="1:16" ht="21">
      <c r="A22" s="266"/>
      <c r="B22" s="266"/>
      <c r="C22" s="266"/>
      <c r="D22" s="266" t="s">
        <v>6</v>
      </c>
      <c r="E22" s="266"/>
      <c r="F22" s="266"/>
      <c r="G22" s="266"/>
      <c r="H22" s="266" t="s">
        <v>6</v>
      </c>
      <c r="I22" s="266"/>
      <c r="J22" s="266" t="s">
        <v>6</v>
      </c>
      <c r="K22" s="266"/>
      <c r="L22" s="266" t="s">
        <v>6</v>
      </c>
      <c r="M22" s="266"/>
      <c r="N22" s="266" t="s">
        <v>6</v>
      </c>
      <c r="O22" s="267" t="s">
        <v>4971</v>
      </c>
      <c r="P22" s="267">
        <v>1005</v>
      </c>
    </row>
    <row r="23" spans="1:16" ht="21">
      <c r="A23" s="266"/>
      <c r="B23" s="266"/>
      <c r="C23" s="266"/>
      <c r="D23" s="266"/>
      <c r="E23" s="266"/>
      <c r="F23" s="266"/>
      <c r="G23" s="266"/>
      <c r="H23" s="266"/>
      <c r="I23" s="266"/>
      <c r="J23" s="266"/>
      <c r="K23" s="266"/>
      <c r="L23" s="266"/>
      <c r="M23" s="266"/>
      <c r="N23" s="266"/>
      <c r="O23" s="267" t="s">
        <v>4972</v>
      </c>
      <c r="P23" s="267">
        <f>P22/P21</f>
        <v>0.40562664854170521</v>
      </c>
    </row>
    <row r="31" spans="1:16">
      <c r="A31" t="s">
        <v>5708</v>
      </c>
    </row>
    <row r="32" spans="1:16">
      <c r="A32">
        <v>140</v>
      </c>
    </row>
    <row r="33" spans="1:11">
      <c r="B33">
        <v>15</v>
      </c>
      <c r="C33">
        <v>160</v>
      </c>
      <c r="D33">
        <f>B33/C33</f>
        <v>9.375E-2</v>
      </c>
      <c r="E33">
        <f>D33+1</f>
        <v>1.09375</v>
      </c>
    </row>
    <row r="34" spans="1:11">
      <c r="B34">
        <v>40</v>
      </c>
      <c r="C34">
        <v>270</v>
      </c>
      <c r="D34" s="374">
        <f t="shared" ref="D34:D37" si="6">B34/C34</f>
        <v>0.14814814814814814</v>
      </c>
      <c r="E34">
        <f>(1+D34)*E33</f>
        <v>1.255787037037037</v>
      </c>
    </row>
    <row r="35" spans="1:11">
      <c r="B35">
        <v>63</v>
      </c>
      <c r="C35">
        <v>1860</v>
      </c>
      <c r="D35" s="374">
        <f t="shared" si="6"/>
        <v>3.3870967741935487E-2</v>
      </c>
      <c r="E35" s="374">
        <f t="shared" ref="E35:E37" si="7">(1+D35)*E34</f>
        <v>1.2983217592592593</v>
      </c>
    </row>
    <row r="36" spans="1:11">
      <c r="B36">
        <v>193</v>
      </c>
      <c r="C36">
        <v>1330</v>
      </c>
      <c r="D36" s="374">
        <f t="shared" si="6"/>
        <v>0.14511278195488722</v>
      </c>
      <c r="E36" s="374">
        <f t="shared" si="7"/>
        <v>1.4867248416179337</v>
      </c>
    </row>
    <row r="37" spans="1:11">
      <c r="B37">
        <v>215</v>
      </c>
      <c r="C37">
        <v>1200</v>
      </c>
      <c r="D37" s="374">
        <f t="shared" si="6"/>
        <v>0.17916666666666667</v>
      </c>
      <c r="E37" s="374">
        <f t="shared" si="7"/>
        <v>1.7530963757411469</v>
      </c>
      <c r="K37">
        <f>E52/A47</f>
        <v>26.942031879608987</v>
      </c>
    </row>
    <row r="38" spans="1:11">
      <c r="A38">
        <v>1277</v>
      </c>
      <c r="E38">
        <f>A38*E37*1.24</f>
        <v>2775.9930490585912</v>
      </c>
      <c r="F38">
        <f>E38/A32</f>
        <v>19.828521778989938</v>
      </c>
    </row>
    <row r="46" spans="1:11">
      <c r="A46" t="s">
        <v>4192</v>
      </c>
    </row>
    <row r="47" spans="1:11">
      <c r="A47">
        <v>105</v>
      </c>
    </row>
    <row r="48" spans="1:11">
      <c r="B48">
        <v>25</v>
      </c>
      <c r="C48">
        <v>170</v>
      </c>
      <c r="D48">
        <f>B48/C48</f>
        <v>0.14705882352941177</v>
      </c>
      <c r="E48">
        <f>1+D48</f>
        <v>1.1470588235294117</v>
      </c>
    </row>
    <row r="49" spans="1:6">
      <c r="B49">
        <v>49</v>
      </c>
      <c r="C49">
        <v>900</v>
      </c>
      <c r="D49" s="374">
        <f t="shared" ref="D49:D51" si="8">B49/C49</f>
        <v>5.4444444444444441E-2</v>
      </c>
      <c r="E49">
        <f>(1+D49)*E48</f>
        <v>1.2095098039215686</v>
      </c>
    </row>
    <row r="50" spans="1:6">
      <c r="B50">
        <v>80</v>
      </c>
      <c r="C50">
        <v>1050</v>
      </c>
      <c r="D50" s="374">
        <f t="shared" si="8"/>
        <v>7.6190476190476197E-2</v>
      </c>
      <c r="E50" s="374">
        <f t="shared" ref="E50:E51" si="9">(1+D50)*E49</f>
        <v>1.3016629318394024</v>
      </c>
    </row>
    <row r="51" spans="1:6">
      <c r="B51">
        <v>193</v>
      </c>
      <c r="C51">
        <v>1400</v>
      </c>
      <c r="D51" s="374">
        <f t="shared" si="8"/>
        <v>0.13785714285714284</v>
      </c>
      <c r="E51" s="374">
        <f t="shared" si="9"/>
        <v>1.4811064645858343</v>
      </c>
    </row>
    <row r="52" spans="1:6">
      <c r="A52">
        <v>1910</v>
      </c>
      <c r="E52">
        <f>E51*A52</f>
        <v>2828.9133473589436</v>
      </c>
      <c r="F52">
        <f>E52/A47</f>
        <v>26.942031879608987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election activeCell="K4" sqref="K4"/>
    </sheetView>
  </sheetViews>
  <sheetFormatPr defaultRowHeight="15"/>
  <cols>
    <col min="1" max="1" width="20.140625" bestFit="1" customWidth="1"/>
    <col min="2" max="2" width="14.28515625" customWidth="1"/>
    <col min="3" max="3" width="24.7109375" customWidth="1"/>
    <col min="4" max="4" width="15" customWidth="1"/>
    <col min="5" max="5" width="19.7109375" customWidth="1"/>
    <col min="6" max="6" width="25.5703125" customWidth="1"/>
    <col min="7" max="7" width="24.7109375" bestFit="1" customWidth="1"/>
    <col min="8" max="8" width="15.5703125" bestFit="1" customWidth="1"/>
    <col min="9" max="9" width="16.5703125" bestFit="1" customWidth="1"/>
    <col min="10" max="10" width="25.5703125" bestFit="1" customWidth="1"/>
    <col min="11" max="11" width="9.5703125" bestFit="1" customWidth="1"/>
    <col min="12" max="12" width="18.85546875" bestFit="1" customWidth="1"/>
    <col min="13" max="13" width="9" bestFit="1" customWidth="1"/>
    <col min="14" max="14" width="18.85546875" bestFit="1" customWidth="1"/>
    <col min="15" max="15" width="15.42578125" bestFit="1" customWidth="1"/>
  </cols>
  <sheetData>
    <row r="1" spans="1:15" ht="15.75">
      <c r="A1" s="136" t="s">
        <v>4786</v>
      </c>
      <c r="B1" s="136" t="s">
        <v>4787</v>
      </c>
      <c r="C1" s="271" t="s">
        <v>6600</v>
      </c>
      <c r="D1" s="136" t="s">
        <v>6599</v>
      </c>
      <c r="E1" s="271" t="s">
        <v>6856</v>
      </c>
      <c r="F1" s="136" t="s">
        <v>6176</v>
      </c>
      <c r="G1" s="271" t="s">
        <v>6601</v>
      </c>
      <c r="H1" s="136" t="s">
        <v>6602</v>
      </c>
      <c r="I1" s="136" t="s">
        <v>6144</v>
      </c>
      <c r="J1" s="136" t="s">
        <v>6176</v>
      </c>
      <c r="K1" s="136" t="s">
        <v>4221</v>
      </c>
      <c r="L1" s="136" t="s">
        <v>4870</v>
      </c>
      <c r="M1" s="136" t="s">
        <v>6598</v>
      </c>
      <c r="N1" s="136" t="s">
        <v>4870</v>
      </c>
      <c r="O1" s="261" t="s">
        <v>5223</v>
      </c>
    </row>
    <row r="2" spans="1:15" ht="15.75">
      <c r="A2" s="262" t="s">
        <v>6171</v>
      </c>
      <c r="B2" s="263">
        <v>6830746693</v>
      </c>
      <c r="C2" s="263">
        <f>'سهام بنیادی'!D26</f>
        <v>175</v>
      </c>
      <c r="D2" s="263">
        <f t="shared" ref="D2:D14" si="0">B2*C2/$O$2</f>
        <v>39.846022375833336</v>
      </c>
      <c r="E2" s="332">
        <f>'سهام بنیادی'!E26</f>
        <v>127</v>
      </c>
      <c r="F2" s="263">
        <f>B2*E2/$O$2/2</f>
        <v>14.458413833516667</v>
      </c>
      <c r="G2" s="270">
        <f>'سهام بنیادی'!B26</f>
        <v>95</v>
      </c>
      <c r="H2" s="262">
        <f>0.75*B2*G2/$O$2</f>
        <v>16.223023395875</v>
      </c>
      <c r="I2" s="262">
        <f>'سهام بنیادی'!C26</f>
        <v>65</v>
      </c>
      <c r="J2" s="262">
        <f>0.75*B2*I2/$O$2/2</f>
        <v>5.5499816880625001</v>
      </c>
      <c r="K2" s="262">
        <f>'سهام بنیادی'!H26</f>
        <v>1229</v>
      </c>
      <c r="L2" s="262">
        <f t="shared" ref="L2:L14" si="1">B2*K2/$O$2</f>
        <v>279.83292285656665</v>
      </c>
      <c r="M2" s="262">
        <f>K2</f>
        <v>1229</v>
      </c>
      <c r="N2" s="262">
        <f t="shared" ref="N2:N15" si="2">B2*M2/$O$2</f>
        <v>279.83292285656665</v>
      </c>
      <c r="O2" s="263">
        <v>30000000000</v>
      </c>
    </row>
    <row r="3" spans="1:15" ht="23.25">
      <c r="A3" s="264" t="s">
        <v>4192</v>
      </c>
      <c r="B3" s="265">
        <v>3356161798</v>
      </c>
      <c r="C3" s="265">
        <f>'سهام بنیادی'!D37</f>
        <v>340</v>
      </c>
      <c r="D3" s="265">
        <f t="shared" si="0"/>
        <v>38.036500377333333</v>
      </c>
      <c r="E3" s="265">
        <v>280</v>
      </c>
      <c r="F3" s="263">
        <f t="shared" ref="F3:F14" si="3">B3*E3/$O$2</f>
        <v>31.324176781333332</v>
      </c>
      <c r="G3" s="268">
        <f>'سهام بنیادی'!B37</f>
        <v>224</v>
      </c>
      <c r="H3" s="264">
        <f t="shared" ref="H3:H14" si="4">B3*G3/$O$2</f>
        <v>25.059341425066666</v>
      </c>
      <c r="I3" s="264">
        <f>'سهام بنیادی'!C37</f>
        <v>193</v>
      </c>
      <c r="J3" s="264">
        <f t="shared" ref="J3:J14" si="5">B3*I3/$O$2</f>
        <v>21.591307567133335</v>
      </c>
      <c r="K3" s="264">
        <f>'سهام بنیادی'!H37</f>
        <v>1425</v>
      </c>
      <c r="L3" s="264">
        <f t="shared" si="1"/>
        <v>159.41768540499999</v>
      </c>
      <c r="M3" s="273">
        <v>3300</v>
      </c>
      <c r="N3" s="269">
        <f t="shared" si="2"/>
        <v>369.17779777999999</v>
      </c>
    </row>
    <row r="4" spans="1:15" ht="15.75">
      <c r="A4" s="262" t="s">
        <v>4477</v>
      </c>
      <c r="B4" s="263">
        <v>4007657980</v>
      </c>
      <c r="C4" s="263">
        <f>'سهام بنیادی'!D28</f>
        <v>126</v>
      </c>
      <c r="D4" s="263">
        <f t="shared" si="0"/>
        <v>16.832163516000001</v>
      </c>
      <c r="E4" s="263">
        <f>'سهام بنیادی'!E28</f>
        <v>70</v>
      </c>
      <c r="F4" s="263">
        <f t="shared" si="3"/>
        <v>9.3512019533333337</v>
      </c>
      <c r="G4" s="270">
        <f>'سهام بنیادی'!B28</f>
        <v>65</v>
      </c>
      <c r="H4" s="262">
        <f t="shared" si="4"/>
        <v>8.6832589566666663</v>
      </c>
      <c r="I4" s="262">
        <f>'سهام بنیادی'!C28</f>
        <v>14</v>
      </c>
      <c r="J4" s="262">
        <f t="shared" si="5"/>
        <v>1.8702403906666667</v>
      </c>
      <c r="K4" s="262">
        <f>'سهام بنیادی'!H28</f>
        <v>620</v>
      </c>
      <c r="L4" s="262">
        <f t="shared" si="1"/>
        <v>82.824931586666665</v>
      </c>
      <c r="M4" s="262">
        <f t="shared" ref="M4:M14" si="6">K4</f>
        <v>620</v>
      </c>
      <c r="N4" s="262">
        <f t="shared" si="2"/>
        <v>82.824931586666665</v>
      </c>
    </row>
    <row r="5" spans="1:15" ht="15.75">
      <c r="A5" s="264" t="s">
        <v>5705</v>
      </c>
      <c r="B5" s="265">
        <v>980399923</v>
      </c>
      <c r="C5" s="265">
        <f>'سهام بنیادی'!D27</f>
        <v>230</v>
      </c>
      <c r="D5" s="265">
        <f t="shared" si="0"/>
        <v>7.5163994096666666</v>
      </c>
      <c r="E5" s="333">
        <f>'سهام بنیادی'!E27</f>
        <v>159</v>
      </c>
      <c r="F5" s="263">
        <f t="shared" si="3"/>
        <v>5.1961195918999996</v>
      </c>
      <c r="G5" s="268">
        <f>'سهام بنیادی'!B27</f>
        <v>144</v>
      </c>
      <c r="H5" s="264">
        <f t="shared" si="4"/>
        <v>4.7059196304000004</v>
      </c>
      <c r="I5" s="264">
        <f>'سهام بنیادی'!C27</f>
        <v>100</v>
      </c>
      <c r="J5" s="264">
        <f>B5*I5/$O$2</f>
        <v>3.2679997433333332</v>
      </c>
      <c r="K5" s="264">
        <f>'سهام بنیادی'!H27</f>
        <v>1390</v>
      </c>
      <c r="L5" s="264">
        <f t="shared" si="1"/>
        <v>45.425196432333337</v>
      </c>
      <c r="M5" s="262">
        <f t="shared" si="6"/>
        <v>1390</v>
      </c>
      <c r="N5" s="264">
        <f t="shared" si="2"/>
        <v>45.425196432333337</v>
      </c>
    </row>
    <row r="6" spans="1:15" ht="15.75">
      <c r="A6" s="262" t="s">
        <v>6173</v>
      </c>
      <c r="B6" s="263">
        <v>4161561525</v>
      </c>
      <c r="C6" s="263">
        <f>'سهام بنیادی'!D45</f>
        <v>82</v>
      </c>
      <c r="D6" s="263">
        <f t="shared" si="0"/>
        <v>11.374934834999999</v>
      </c>
      <c r="E6" s="332">
        <f>'سهام بنیادی'!E45</f>
        <v>10</v>
      </c>
      <c r="F6" s="263">
        <f>B6*E6/$O$2</f>
        <v>1.387187175</v>
      </c>
      <c r="G6" s="270">
        <v>66</v>
      </c>
      <c r="H6" s="262">
        <f t="shared" si="4"/>
        <v>9.1554353549999998</v>
      </c>
      <c r="I6" s="262">
        <v>6.6</v>
      </c>
      <c r="J6" s="262">
        <f t="shared" si="5"/>
        <v>0.91554353550000001</v>
      </c>
      <c r="K6" s="262">
        <f>'سهام بنیادی'!H45</f>
        <v>400</v>
      </c>
      <c r="L6" s="262">
        <f t="shared" si="1"/>
        <v>55.487487000000002</v>
      </c>
      <c r="M6" s="262">
        <f t="shared" si="6"/>
        <v>400</v>
      </c>
      <c r="N6" s="262">
        <f t="shared" si="2"/>
        <v>55.487487000000002</v>
      </c>
    </row>
    <row r="7" spans="1:15" ht="15.75">
      <c r="A7" s="264" t="s">
        <v>6172</v>
      </c>
      <c r="B7" s="265">
        <v>5748540000</v>
      </c>
      <c r="C7" s="265">
        <f>'سهام بنیادی'!D46</f>
        <v>38.299999999999997</v>
      </c>
      <c r="D7" s="265">
        <f t="shared" si="0"/>
        <v>7.338969399999999</v>
      </c>
      <c r="E7" s="333">
        <f>'سهام بنیادی'!E46</f>
        <v>13</v>
      </c>
      <c r="F7" s="263">
        <f t="shared" si="3"/>
        <v>2.491034</v>
      </c>
      <c r="G7" s="268">
        <f>'سهام بنیادی'!B46</f>
        <v>58</v>
      </c>
      <c r="H7" s="264">
        <f t="shared" si="4"/>
        <v>11.113844</v>
      </c>
      <c r="I7" s="264">
        <f>'سهام بنیادی'!C46</f>
        <v>7.5</v>
      </c>
      <c r="J7" s="264">
        <f t="shared" si="5"/>
        <v>1.4371350000000001</v>
      </c>
      <c r="K7" s="264">
        <f>'سهام بنیادی'!H46</f>
        <v>182</v>
      </c>
      <c r="L7" s="264">
        <f t="shared" si="1"/>
        <v>34.874476000000001</v>
      </c>
      <c r="M7" s="262">
        <f t="shared" si="6"/>
        <v>182</v>
      </c>
      <c r="N7" s="264">
        <f t="shared" si="2"/>
        <v>34.874476000000001</v>
      </c>
    </row>
    <row r="8" spans="1:15" ht="15.75">
      <c r="A8" s="262" t="s">
        <v>4487</v>
      </c>
      <c r="B8" s="263">
        <v>978026662</v>
      </c>
      <c r="C8" s="263">
        <v>140</v>
      </c>
      <c r="D8" s="263">
        <f t="shared" si="0"/>
        <v>4.5641244226666666</v>
      </c>
      <c r="E8" s="263">
        <v>100</v>
      </c>
      <c r="F8" s="263">
        <f t="shared" si="3"/>
        <v>3.2600888733333333</v>
      </c>
      <c r="G8" s="270">
        <v>50</v>
      </c>
      <c r="H8" s="262">
        <f t="shared" si="4"/>
        <v>1.6300444366666667</v>
      </c>
      <c r="I8" s="262">
        <v>50</v>
      </c>
      <c r="J8" s="262">
        <f t="shared" si="5"/>
        <v>1.6300444366666667</v>
      </c>
      <c r="K8" s="262">
        <v>648</v>
      </c>
      <c r="L8" s="262">
        <f t="shared" si="1"/>
        <v>21.125375899200002</v>
      </c>
      <c r="M8" s="262">
        <f t="shared" si="6"/>
        <v>648</v>
      </c>
      <c r="N8" s="262">
        <f t="shared" si="2"/>
        <v>21.125375899200002</v>
      </c>
    </row>
    <row r="9" spans="1:15" ht="15.75">
      <c r="A9" s="262" t="s">
        <v>6174</v>
      </c>
      <c r="B9" s="263">
        <v>677381795</v>
      </c>
      <c r="C9" s="263">
        <f>'سهام بنیادی'!D54</f>
        <v>354</v>
      </c>
      <c r="D9" s="263">
        <f t="shared" si="0"/>
        <v>7.9931051809999998</v>
      </c>
      <c r="E9" s="332">
        <f>'سهام بنیادی'!E54</f>
        <v>240</v>
      </c>
      <c r="F9" s="263">
        <f t="shared" si="3"/>
        <v>5.4190543599999996</v>
      </c>
      <c r="G9" s="270">
        <v>219.8</v>
      </c>
      <c r="H9" s="262">
        <f t="shared" si="4"/>
        <v>4.9629506180333331</v>
      </c>
      <c r="I9" s="262">
        <v>237</v>
      </c>
      <c r="J9" s="262">
        <f t="shared" si="5"/>
        <v>5.3513161804999996</v>
      </c>
      <c r="K9" s="262">
        <v>1641</v>
      </c>
      <c r="L9" s="262">
        <f t="shared" si="1"/>
        <v>37.052784186499998</v>
      </c>
      <c r="M9" s="262">
        <f t="shared" si="6"/>
        <v>1641</v>
      </c>
      <c r="N9" s="262">
        <f t="shared" si="2"/>
        <v>37.052784186499998</v>
      </c>
    </row>
    <row r="10" spans="1:15" ht="15.75">
      <c r="A10" s="264" t="s">
        <v>5712</v>
      </c>
      <c r="B10" s="265">
        <v>35697979</v>
      </c>
      <c r="C10" s="265">
        <v>300</v>
      </c>
      <c r="D10" s="265">
        <f>B10*C10/$O$2</f>
        <v>0.35697979000000002</v>
      </c>
      <c r="E10" s="265">
        <f>'سهام بنیادی'!E30</f>
        <v>33</v>
      </c>
      <c r="F10" s="263">
        <f t="shared" si="3"/>
        <v>3.9267776900000002E-2</v>
      </c>
      <c r="G10" s="268">
        <v>223</v>
      </c>
      <c r="H10" s="264">
        <f t="shared" si="4"/>
        <v>0.26535497723333334</v>
      </c>
      <c r="I10" s="264">
        <v>80</v>
      </c>
      <c r="J10" s="264">
        <f t="shared" si="5"/>
        <v>9.5194610666666665E-2</v>
      </c>
      <c r="K10" s="264">
        <v>1607</v>
      </c>
      <c r="L10" s="264">
        <f t="shared" si="1"/>
        <v>1.9122217417666667</v>
      </c>
      <c r="M10" s="262">
        <f t="shared" si="6"/>
        <v>1607</v>
      </c>
      <c r="N10" s="264">
        <f t="shared" si="2"/>
        <v>1.9122217417666667</v>
      </c>
    </row>
    <row r="11" spans="1:15" ht="15.75">
      <c r="A11" s="262" t="s">
        <v>5855</v>
      </c>
      <c r="B11" s="263">
        <v>158220192</v>
      </c>
      <c r="C11" s="263">
        <v>800</v>
      </c>
      <c r="D11" s="263">
        <f t="shared" si="0"/>
        <v>4.2192051199999998</v>
      </c>
      <c r="E11" s="263">
        <v>400</v>
      </c>
      <c r="F11" s="263">
        <f t="shared" si="3"/>
        <v>2.1096025599999999</v>
      </c>
      <c r="G11" s="270">
        <v>578</v>
      </c>
      <c r="H11" s="262">
        <f t="shared" si="4"/>
        <v>3.0483756992000002</v>
      </c>
      <c r="I11" s="262">
        <v>300</v>
      </c>
      <c r="J11" s="262">
        <f t="shared" si="5"/>
        <v>1.5822019199999999</v>
      </c>
      <c r="K11" s="262">
        <v>1453</v>
      </c>
      <c r="L11" s="262">
        <f t="shared" si="1"/>
        <v>7.6631312991999998</v>
      </c>
      <c r="M11" s="262">
        <f t="shared" si="6"/>
        <v>1453</v>
      </c>
      <c r="N11" s="262">
        <f t="shared" si="2"/>
        <v>7.6631312991999998</v>
      </c>
    </row>
    <row r="12" spans="1:15" ht="15.75">
      <c r="A12" s="264" t="s">
        <v>4346</v>
      </c>
      <c r="B12" s="265">
        <v>101805550</v>
      </c>
      <c r="C12" s="265">
        <f>'سهام بنیادی'!D8</f>
        <v>684</v>
      </c>
      <c r="D12" s="265">
        <f t="shared" si="0"/>
        <v>2.3211665400000001</v>
      </c>
      <c r="E12" s="333">
        <f>'سهام بنیادی'!E8</f>
        <v>690</v>
      </c>
      <c r="F12" s="263">
        <f t="shared" si="3"/>
        <v>2.3415276500000002</v>
      </c>
      <c r="G12" s="268">
        <v>424</v>
      </c>
      <c r="H12" s="264">
        <f t="shared" si="4"/>
        <v>1.4388517733333333</v>
      </c>
      <c r="I12" s="264">
        <v>370</v>
      </c>
      <c r="J12" s="264">
        <f t="shared" si="5"/>
        <v>1.2556017833333333</v>
      </c>
      <c r="K12" s="264">
        <f>'سهام بنیادی'!H8</f>
        <v>3100</v>
      </c>
      <c r="L12" s="264">
        <f t="shared" si="1"/>
        <v>10.519906833333334</v>
      </c>
      <c r="M12" s="262">
        <f t="shared" si="6"/>
        <v>3100</v>
      </c>
      <c r="N12" s="264">
        <f t="shared" si="2"/>
        <v>10.519906833333334</v>
      </c>
    </row>
    <row r="13" spans="1:15" ht="15.75">
      <c r="A13" s="262" t="s">
        <v>6597</v>
      </c>
      <c r="B13" s="263">
        <v>1</v>
      </c>
      <c r="C13" s="263">
        <v>900000000000</v>
      </c>
      <c r="D13" s="263">
        <f t="shared" si="0"/>
        <v>30</v>
      </c>
      <c r="E13" s="263">
        <v>600000000000</v>
      </c>
      <c r="F13" s="263">
        <f t="shared" si="3"/>
        <v>20</v>
      </c>
      <c r="G13" s="263">
        <v>600000000000</v>
      </c>
      <c r="H13" s="262">
        <f t="shared" si="4"/>
        <v>20</v>
      </c>
      <c r="I13" s="263">
        <v>400000000000</v>
      </c>
      <c r="J13" s="262">
        <f t="shared" si="5"/>
        <v>13.333333333333334</v>
      </c>
      <c r="K13" s="262">
        <v>6000000000000</v>
      </c>
      <c r="L13" s="262">
        <f t="shared" si="1"/>
        <v>200</v>
      </c>
      <c r="M13" s="262">
        <f t="shared" si="6"/>
        <v>6000000000000</v>
      </c>
      <c r="N13" s="262">
        <f t="shared" si="2"/>
        <v>200</v>
      </c>
    </row>
    <row r="14" spans="1:15" ht="15.75">
      <c r="A14" s="264" t="s">
        <v>6175</v>
      </c>
      <c r="B14" s="265">
        <v>1</v>
      </c>
      <c r="C14" s="265">
        <v>750000000000</v>
      </c>
      <c r="D14" s="265">
        <f t="shared" si="0"/>
        <v>25</v>
      </c>
      <c r="E14" s="265">
        <v>450000000000</v>
      </c>
      <c r="F14" s="263">
        <f t="shared" si="3"/>
        <v>15</v>
      </c>
      <c r="G14" s="265">
        <v>500000000000</v>
      </c>
      <c r="H14" s="264">
        <f t="shared" si="4"/>
        <v>16.666666666666668</v>
      </c>
      <c r="I14" s="265">
        <v>300000000000</v>
      </c>
      <c r="J14" s="264">
        <f t="shared" si="5"/>
        <v>10</v>
      </c>
      <c r="K14" s="264">
        <v>4000000000000</v>
      </c>
      <c r="L14" s="264">
        <f t="shared" si="1"/>
        <v>133.33333333333334</v>
      </c>
      <c r="M14" s="262">
        <f t="shared" si="6"/>
        <v>4000000000000</v>
      </c>
      <c r="N14" s="264">
        <f t="shared" si="2"/>
        <v>133.33333333333334</v>
      </c>
    </row>
    <row r="15" spans="1:15" ht="15.75">
      <c r="A15" s="266"/>
      <c r="B15" s="260"/>
      <c r="C15" s="260"/>
      <c r="D15" s="260"/>
      <c r="E15" s="260"/>
      <c r="F15" s="260"/>
      <c r="G15" s="266"/>
      <c r="H15" s="266"/>
      <c r="I15" s="266"/>
      <c r="J15" s="266"/>
      <c r="K15" s="266"/>
      <c r="L15" s="266"/>
      <c r="M15" s="266"/>
      <c r="N15" s="262">
        <f t="shared" si="2"/>
        <v>0</v>
      </c>
    </row>
    <row r="16" spans="1:15" ht="21">
      <c r="A16" s="266"/>
      <c r="B16" s="266"/>
      <c r="C16" s="266"/>
      <c r="D16" s="260">
        <f>SUM(D2:D15)</f>
        <v>195.39957096749998</v>
      </c>
      <c r="E16" s="266"/>
      <c r="F16" s="260">
        <f>SUM(F2:F14)</f>
        <v>112.37767455531669</v>
      </c>
      <c r="G16" s="266"/>
      <c r="H16" s="266">
        <f>SUM(H2:H15)</f>
        <v>122.95306693414166</v>
      </c>
      <c r="I16" s="266"/>
      <c r="J16" s="266">
        <f>SUM(J2:J15)</f>
        <v>67.879900189195837</v>
      </c>
      <c r="K16" s="267" t="s">
        <v>4405</v>
      </c>
      <c r="L16" s="267">
        <f>SUM(L2:L14)</f>
        <v>1069.4694525739001</v>
      </c>
      <c r="M16" s="267" t="s">
        <v>4405</v>
      </c>
      <c r="N16" s="272">
        <f>SUM(N2:N14)</f>
        <v>1279.2295649488999</v>
      </c>
    </row>
    <row r="17" spans="1:14" ht="21">
      <c r="A17" s="266"/>
      <c r="B17" s="266"/>
      <c r="C17" s="266"/>
      <c r="D17" s="266" t="s">
        <v>6</v>
      </c>
      <c r="E17" s="266"/>
      <c r="F17" s="266" t="s">
        <v>6</v>
      </c>
      <c r="G17" s="266"/>
      <c r="H17" s="266" t="s">
        <v>6</v>
      </c>
      <c r="I17" s="266"/>
      <c r="J17" s="266" t="s">
        <v>6</v>
      </c>
      <c r="K17" s="267" t="s">
        <v>4971</v>
      </c>
      <c r="L17" s="267">
        <v>440</v>
      </c>
      <c r="M17" s="267"/>
      <c r="N17" s="272"/>
    </row>
    <row r="18" spans="1:14" ht="21">
      <c r="A18" s="266"/>
      <c r="B18" s="266"/>
      <c r="C18" s="266"/>
      <c r="D18" s="266"/>
      <c r="E18" s="266"/>
      <c r="F18" s="266"/>
      <c r="G18" s="266"/>
      <c r="H18" s="266"/>
      <c r="I18" s="266"/>
      <c r="J18" s="266"/>
      <c r="K18" s="267" t="s">
        <v>4972</v>
      </c>
      <c r="L18" s="267">
        <f>L17/L16</f>
        <v>0.41141895071528106</v>
      </c>
      <c r="M18" s="267" t="s">
        <v>4972</v>
      </c>
      <c r="N18" s="272">
        <f>L17/N16</f>
        <v>0.34395702855536819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برنامه 5 ساله</vt:lpstr>
      <vt:lpstr>خرید و فروش نسبتی</vt:lpstr>
      <vt:lpstr>Linux</vt:lpstr>
      <vt:lpstr>دلار</vt:lpstr>
      <vt:lpstr>AgentBased</vt:lpstr>
      <vt:lpstr>سهام بنیادی</vt:lpstr>
      <vt:lpstr>وسپه</vt:lpstr>
      <vt:lpstr>تاپیکو</vt:lpstr>
      <vt:lpstr>ومهان</vt:lpstr>
      <vt:lpstr>وغدیر</vt:lpstr>
      <vt:lpstr>نیرو کنترل بدر</vt:lpstr>
      <vt:lpstr>مهدی</vt:lpstr>
      <vt:lpstr>فروردین 98</vt:lpstr>
      <vt:lpstr>نقدینگی</vt:lpstr>
      <vt:lpstr>بدهی خانه</vt:lpstr>
      <vt:lpstr>سکه</vt:lpstr>
      <vt:lpstr>سارا</vt:lpstr>
      <vt:lpstr>مسکن ایلیا</vt:lpstr>
      <vt:lpstr>خرید و فروش سکه فیزیکی</vt:lpstr>
      <vt:lpstr>مسکن مریم یاران</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2023-01-14T15:06:53Z</dcterms:modified>
</cp:coreProperties>
</file>